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tables/table2.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harts/chart1.xml" ContentType="application/vnd.openxmlformats-officedocument.drawingml.chart+xml"/>
  <Override PartName="/xl/drawings/drawing37.xml" ContentType="application/vnd.openxmlformats-officedocument.drawing+xml"/>
  <Override PartName="/xl/charts/chart2.xml" ContentType="application/vnd.openxmlformats-officedocument.drawingml.chart+xml"/>
  <Override PartName="/xl/drawings/drawing38.xml" ContentType="application/vnd.openxmlformats-officedocument.drawing+xml"/>
  <Override PartName="/xl/charts/chart3.xml" ContentType="application/vnd.openxmlformats-officedocument.drawingml.chart+xml"/>
  <Override PartName="/xl/drawings/drawing39.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0.xml" ContentType="application/vnd.openxmlformats-officedocument.drawing+xml"/>
  <Override PartName="/xl/charts/chart6.xml" ContentType="application/vnd.openxmlformats-officedocument.drawingml.chart+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hidePivotFieldList="1"/>
  <mc:AlternateContent xmlns:mc="http://schemas.openxmlformats.org/markup-compatibility/2006">
    <mc:Choice Requires="x15">
      <x15ac:absPath xmlns:x15ac="http://schemas.microsoft.com/office/spreadsheetml/2010/11/ac" url="\\APSCSVR2\Cost Allocation and Rate Design\AAA CARD - New PRIMARY 2-28-2025\Energy Efficiency\EE Dockets - TF\EE Ann. Reports + EECR\Filing Year 2026\07-082-TF SWEPCO\Company Files\"/>
    </mc:Choice>
  </mc:AlternateContent>
  <xr:revisionPtr revIDLastSave="0" documentId="8_{7988A4B5-8E0C-442E-BDFE-E739C3BA78AD}" xr6:coauthVersionLast="47" xr6:coauthVersionMax="47" xr10:uidLastSave="{00000000-0000-0000-0000-000000000000}"/>
  <bookViews>
    <workbookView xWindow="-120" yWindow="-120" windowWidth="29040" windowHeight="15720" tabRatio="769" firstSheet="21" activeTab="21" xr2:uid="{00000000-000D-0000-FFFF-FFFF00000000}"/>
  </bookViews>
  <sheets>
    <sheet name="Instructions" sheetId="59" r:id="rId1"/>
    <sheet name="Main Menu" sheetId="57" r:id="rId2"/>
    <sheet name="Utility Information" sheetId="51" r:id="rId3"/>
    <sheet name="Program Descriptions" sheetId="52" r:id="rId4"/>
    <sheet name="Program Detail" sheetId="67" r:id="rId5"/>
    <sheet name="Budgets" sheetId="53" r:id="rId6"/>
    <sheet name="Rec1" sheetId="68" r:id="rId7"/>
    <sheet name="Savings &amp; Participants" sheetId="54" r:id="rId8"/>
    <sheet name="Training" sheetId="55" r:id="rId9"/>
    <sheet name="External" sheetId="69" r:id="rId10"/>
    <sheet name="Internal" sheetId="99" r:id="rId11"/>
    <sheet name="Not Used1" sheetId="56" state="hidden" r:id="rId12"/>
    <sheet name="Actual Expenses" sheetId="60" r:id="rId13"/>
    <sheet name="Rec2" sheetId="71" r:id="rId14"/>
    <sheet name="Evaluated Savings" sheetId="61" r:id="rId15"/>
    <sheet name="Savings Methodology" sheetId="72" r:id="rId16"/>
    <sheet name="Cost-Benefits" sheetId="62" r:id="rId17"/>
    <sheet name="Key Assumptions" sheetId="73" r:id="rId18"/>
    <sheet name="NEBs" sheetId="96" r:id="rId19"/>
    <sheet name="Other CB Test" sheetId="74" r:id="rId20"/>
    <sheet name="LCFC" sheetId="63" r:id="rId21"/>
    <sheet name="Incentives" sheetId="64" r:id="rId22"/>
    <sheet name="Not Used2" sheetId="58" r:id="rId23"/>
    <sheet name="Prior Year Progam" sheetId="75" r:id="rId24"/>
    <sheet name="Prior Year Portfolio" sheetId="94" r:id="rId25"/>
    <sheet name="Glossary" sheetId="66" r:id="rId26"/>
    <sheet name="Definition-Program Type" sheetId="84" r:id="rId27"/>
    <sheet name="Definition-Participants" sheetId="98" r:id="rId28"/>
    <sheet name="Definition-Res" sheetId="88" r:id="rId29"/>
    <sheet name="Definition-C&amp;I" sheetId="89" r:id="rId30"/>
    <sheet name="Definition-CS" sheetId="90" r:id="rId31"/>
    <sheet name="Cost" sheetId="49" r:id="rId32"/>
    <sheet name="List" sheetId="65" r:id="rId33"/>
    <sheet name="Data" sheetId="78" r:id="rId34"/>
    <sheet name="Order" sheetId="77" state="hidden" r:id="rId35"/>
    <sheet name="Tables" sheetId="79" r:id="rId36"/>
    <sheet name="Table 1" sheetId="82" r:id="rId37"/>
    <sheet name="Table 2" sheetId="76" r:id="rId38"/>
    <sheet name="Table 3" sheetId="80" r:id="rId39"/>
    <sheet name="Table 4" sheetId="81" r:id="rId40"/>
    <sheet name="Table 5" sheetId="86" r:id="rId41"/>
    <sheet name="Report 1" sheetId="83" r:id="rId42"/>
    <sheet name="Report 2" sheetId="92" r:id="rId43"/>
    <sheet name="Report 3" sheetId="95" r:id="rId44"/>
    <sheet name="PY Data" sheetId="91" r:id="rId45"/>
    <sheet name="Next Years" sheetId="87" r:id="rId46"/>
    <sheet name="Titles" sheetId="45" state="hidden" r:id="rId47"/>
    <sheet name="Incomplete" sheetId="97" r:id="rId48"/>
    <sheet name="Targets" sheetId="93" r:id="rId49"/>
  </sheets>
  <definedNames>
    <definedName name="D_Channel">OFFSET(List!$E$5,0,0,COUNTA(List!$E$5:$E$108),1)</definedName>
    <definedName name="Demand_1">Titles!$F$15</definedName>
    <definedName name="Demand_2">Titles!$F$16</definedName>
    <definedName name="Discount_Rate">'Key Assumptions'!$D$6</definedName>
    <definedName name="Energy_1">Titles!$F$13</definedName>
    <definedName name="Energy_2">Titles!$F$14</definedName>
    <definedName name="F_Utility">Titles!$F$3</definedName>
    <definedName name="G_List">'Report 2'!$D$24:$D$25</definedName>
    <definedName name="Graph_2">OFFSET(Tables!$I$94,0,0,COUNTIF(Tables!$E$94:$E$103,"&gt;0"),1)</definedName>
    <definedName name="Graph_C2">OFFSET(Tables!$E$107,0,0,COUNTIF(Tables!$D$107:$D$126,"&gt;0"),1)</definedName>
    <definedName name="Graph_S2">OFFSET(Tables!$G$107,0,0,COUNTIF(Tables!$E$107:$E$126,"&gt;0"),1)</definedName>
    <definedName name="NG_Demand">Titles!$B$29</definedName>
    <definedName name="Participant_List">OFFSET(List!$G$5,0,0,COUNTA(List!$G$5:$G$109),1)</definedName>
    <definedName name="Prg_Empty">Titles!$B$33</definedName>
    <definedName name="Prg_Names">OFFSET(Order!$J$3,0,0,COUNTIF(Order!$J$3:$J$22,"&lt;&gt;*Hide*"),1)</definedName>
    <definedName name="Prg_Type">OFFSET(List!$D$5,0,0,COUNTA(List!$D$5:$D$108),1)</definedName>
    <definedName name="Prg_Year">Titles!$F$2</definedName>
    <definedName name="_xlnm.Print_Titles" localSheetId="12">'Actual Expenses'!$4:$4</definedName>
    <definedName name="_xlnm.Print_Titles" localSheetId="29">'Definition-C&amp;I'!$2:$3</definedName>
    <definedName name="_xlnm.Print_Titles" localSheetId="30">'Definition-CS'!$2:$3</definedName>
    <definedName name="_xlnm.Print_Titles" localSheetId="27">'Definition-Participants'!$2:$3</definedName>
    <definedName name="_xlnm.Print_Titles" localSheetId="26">'Definition-Program Type'!$2:$3</definedName>
    <definedName name="_xlnm.Print_Titles" localSheetId="28">'Definition-Res'!$2:$3</definedName>
    <definedName name="_xlnm.Print_Titles" localSheetId="9">External!$6:$6</definedName>
    <definedName name="_xlnm.Print_Titles" localSheetId="25">Glossary!$2:$3</definedName>
    <definedName name="_xlnm.Print_Titles" localSheetId="10">Internal!$6:$6</definedName>
    <definedName name="_xlnm.Print_Titles" localSheetId="4">'Program Detail'!$B:$C</definedName>
    <definedName name="_xlnm.Print_Titles" localSheetId="44">'PY Data'!$B:$B</definedName>
    <definedName name="Programs">20-COUNTIF('Program Descriptions'!$C$5:$C$24,"Empty")</definedName>
    <definedName name="Sector_Type">OFFSET(List!$B$5,0,0,COUNTA(List!$B$5:$B$108),1)</definedName>
    <definedName name="Status">Incomplete!$E$29</definedName>
    <definedName name="Target_Type">Targets!$C$2:$D$2</definedName>
    <definedName name="Target_Year">Targets!$B$3:$B$22</definedName>
    <definedName name="Targets">Targets!$C$3:$E$22</definedName>
    <definedName name="Utility_Type">Titles!$B$20:$B$21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62" l="1"/>
  <c r="D21" i="64"/>
  <c r="G28" i="62" l="1"/>
  <c r="L67" i="99" l="1"/>
  <c r="L102" i="69"/>
  <c r="L103" i="69"/>
  <c r="L104" i="69"/>
  <c r="L105" i="69"/>
  <c r="L106" i="69"/>
  <c r="L107" i="69"/>
  <c r="L108" i="69"/>
  <c r="L109" i="69"/>
  <c r="L110" i="69"/>
  <c r="L111" i="69"/>
  <c r="L112" i="69"/>
  <c r="L113" i="69"/>
  <c r="L114" i="69"/>
  <c r="L115" i="69"/>
  <c r="L116" i="69"/>
  <c r="L117" i="69"/>
  <c r="L118" i="69"/>
  <c r="L119" i="69"/>
  <c r="L101" i="69"/>
  <c r="L100" i="69"/>
  <c r="L99" i="69"/>
  <c r="L98" i="69"/>
  <c r="L97" i="69"/>
  <c r="L96" i="69"/>
  <c r="L95" i="69"/>
  <c r="L94" i="69"/>
  <c r="L93" i="69"/>
  <c r="L92" i="69"/>
  <c r="L91" i="69"/>
  <c r="L90" i="69"/>
  <c r="L89" i="69"/>
  <c r="L88" i="69"/>
  <c r="L87" i="69"/>
  <c r="L86" i="69"/>
  <c r="L85" i="69"/>
  <c r="L84" i="69"/>
  <c r="L83" i="69"/>
  <c r="L82" i="69"/>
  <c r="L81" i="69"/>
  <c r="L80" i="69"/>
  <c r="L79" i="69"/>
  <c r="L78" i="69"/>
  <c r="L77" i="69"/>
  <c r="L76" i="69"/>
  <c r="L75" i="69"/>
  <c r="L74" i="69"/>
  <c r="L73" i="69"/>
  <c r="L72" i="69"/>
  <c r="L71" i="69"/>
  <c r="L70" i="69"/>
  <c r="L69" i="69"/>
  <c r="L68" i="69"/>
  <c r="L67" i="69"/>
  <c r="L66" i="69"/>
  <c r="L65" i="69"/>
  <c r="L64" i="69"/>
  <c r="L63" i="69"/>
  <c r="L62" i="69"/>
  <c r="L61" i="69"/>
  <c r="L60" i="69"/>
  <c r="L59" i="69"/>
  <c r="L58" i="69"/>
  <c r="L57" i="69"/>
  <c r="L56" i="69"/>
  <c r="L55" i="69"/>
  <c r="L54" i="69"/>
  <c r="L53" i="69"/>
  <c r="L52" i="69"/>
  <c r="L51" i="69"/>
  <c r="L50" i="69"/>
  <c r="L49" i="69"/>
  <c r="L48" i="69"/>
  <c r="L47" i="69"/>
  <c r="L46" i="69"/>
  <c r="L45" i="69"/>
  <c r="L44" i="69"/>
  <c r="L43" i="69"/>
  <c r="L42" i="69"/>
  <c r="L41" i="69"/>
  <c r="L40" i="69"/>
  <c r="L39" i="69"/>
  <c r="L38" i="69"/>
  <c r="L37" i="69"/>
  <c r="L36" i="69"/>
  <c r="L35" i="69"/>
  <c r="L34" i="69"/>
  <c r="L33" i="69"/>
  <c r="L32" i="69"/>
  <c r="L31" i="69"/>
  <c r="L30" i="69"/>
  <c r="L29" i="69"/>
  <c r="L28" i="69"/>
  <c r="L27" i="69"/>
  <c r="L26" i="69"/>
  <c r="L25" i="69"/>
  <c r="L24" i="69"/>
  <c r="L23" i="69"/>
  <c r="L22" i="69"/>
  <c r="L21" i="69"/>
  <c r="L20" i="69"/>
  <c r="L19" i="69"/>
  <c r="L18" i="69"/>
  <c r="L17" i="69"/>
  <c r="L16" i="69"/>
  <c r="L15" i="69"/>
  <c r="L14" i="69"/>
  <c r="L13" i="69"/>
  <c r="L12" i="69"/>
  <c r="L11" i="69"/>
  <c r="L10" i="69"/>
  <c r="L9" i="69"/>
  <c r="L8" i="69"/>
  <c r="L7" i="69"/>
  <c r="J273" i="69" l="1"/>
  <c r="N273" i="69"/>
  <c r="C111" i="99"/>
  <c r="C112" i="99"/>
  <c r="C113" i="99"/>
  <c r="C114" i="99"/>
  <c r="C115" i="99"/>
  <c r="C116" i="99"/>
  <c r="C117" i="99"/>
  <c r="C118" i="99"/>
  <c r="C119" i="99"/>
  <c r="C120" i="99"/>
  <c r="C121" i="99"/>
  <c r="C122" i="99"/>
  <c r="C123" i="99"/>
  <c r="C124" i="99"/>
  <c r="C125" i="99"/>
  <c r="C126" i="99"/>
  <c r="C127" i="99"/>
  <c r="C128" i="99"/>
  <c r="C129" i="99"/>
  <c r="C130" i="99"/>
  <c r="C131" i="99"/>
  <c r="C132" i="99"/>
  <c r="C133" i="99"/>
  <c r="C134" i="99"/>
  <c r="D111" i="99"/>
  <c r="D112" i="99"/>
  <c r="D113" i="99"/>
  <c r="D114" i="99"/>
  <c r="D115" i="99"/>
  <c r="D116" i="99"/>
  <c r="D117" i="99"/>
  <c r="D118" i="99"/>
  <c r="D119" i="99"/>
  <c r="D120" i="99"/>
  <c r="D121" i="99"/>
  <c r="D122" i="99"/>
  <c r="D123" i="99"/>
  <c r="D124" i="99"/>
  <c r="D125" i="99"/>
  <c r="D126" i="99"/>
  <c r="D127" i="99"/>
  <c r="D128" i="99"/>
  <c r="D129" i="99"/>
  <c r="D130" i="99"/>
  <c r="D131" i="99"/>
  <c r="D132" i="99"/>
  <c r="D133" i="99"/>
  <c r="D134" i="99"/>
  <c r="L111" i="99"/>
  <c r="L112" i="99"/>
  <c r="L113" i="99"/>
  <c r="L114" i="99"/>
  <c r="L115" i="99"/>
  <c r="L116" i="99"/>
  <c r="L117" i="99"/>
  <c r="L118" i="99"/>
  <c r="L119" i="99"/>
  <c r="L120" i="99"/>
  <c r="L121" i="99"/>
  <c r="L122" i="99"/>
  <c r="L123" i="99"/>
  <c r="L124" i="99"/>
  <c r="L125" i="99"/>
  <c r="L126" i="99"/>
  <c r="L127" i="99"/>
  <c r="L128" i="99"/>
  <c r="L129" i="99"/>
  <c r="L130" i="99"/>
  <c r="L131" i="99"/>
  <c r="L132" i="99"/>
  <c r="L133" i="99"/>
  <c r="L134" i="99"/>
  <c r="N135" i="99"/>
  <c r="J135" i="99"/>
  <c r="C92" i="99"/>
  <c r="C93" i="99"/>
  <c r="C94" i="99"/>
  <c r="C95" i="99"/>
  <c r="C96" i="99"/>
  <c r="C97" i="99"/>
  <c r="C98" i="99"/>
  <c r="C99" i="99"/>
  <c r="C100" i="99"/>
  <c r="C101" i="99"/>
  <c r="C102" i="99"/>
  <c r="C103" i="99"/>
  <c r="C104" i="99"/>
  <c r="C105" i="99"/>
  <c r="C106" i="99"/>
  <c r="C107" i="99"/>
  <c r="C108" i="99"/>
  <c r="C109" i="99"/>
  <c r="C110" i="99"/>
  <c r="D92" i="99"/>
  <c r="D93" i="99"/>
  <c r="D94" i="99"/>
  <c r="D95" i="99"/>
  <c r="D96" i="99"/>
  <c r="D97" i="99"/>
  <c r="D98" i="99"/>
  <c r="D99" i="99"/>
  <c r="D100" i="99"/>
  <c r="D101" i="99"/>
  <c r="D102" i="99"/>
  <c r="D103" i="99"/>
  <c r="D104" i="99"/>
  <c r="D105" i="99"/>
  <c r="D106" i="99"/>
  <c r="D107" i="99"/>
  <c r="D108" i="99"/>
  <c r="D109" i="99"/>
  <c r="D110" i="99"/>
  <c r="L92" i="99"/>
  <c r="L93" i="99"/>
  <c r="L94" i="99"/>
  <c r="L95" i="99"/>
  <c r="L96" i="99"/>
  <c r="L97" i="99"/>
  <c r="L98" i="99"/>
  <c r="L99" i="99"/>
  <c r="L100" i="99"/>
  <c r="L101" i="99"/>
  <c r="L102" i="99"/>
  <c r="L103" i="99"/>
  <c r="L104" i="99"/>
  <c r="L105" i="99"/>
  <c r="L106" i="99"/>
  <c r="L107" i="99"/>
  <c r="L108" i="99"/>
  <c r="L109" i="99"/>
  <c r="L110" i="99"/>
  <c r="L7" i="99"/>
  <c r="L8" i="99"/>
  <c r="L9" i="99"/>
  <c r="L10" i="99"/>
  <c r="L11" i="99"/>
  <c r="L12" i="99"/>
  <c r="L13" i="99"/>
  <c r="L14" i="99"/>
  <c r="L15" i="99"/>
  <c r="L16" i="99"/>
  <c r="L17" i="99"/>
  <c r="L18" i="99"/>
  <c r="L19" i="99"/>
  <c r="L20" i="99"/>
  <c r="L21" i="99"/>
  <c r="L22" i="99"/>
  <c r="L23" i="99"/>
  <c r="L24" i="99"/>
  <c r="L25" i="99"/>
  <c r="L26" i="99"/>
  <c r="L27" i="99"/>
  <c r="L28" i="99"/>
  <c r="L29" i="99"/>
  <c r="L30" i="99"/>
  <c r="L31" i="99"/>
  <c r="L32" i="99"/>
  <c r="L33" i="99"/>
  <c r="L34" i="99"/>
  <c r="L35" i="99"/>
  <c r="L36" i="99"/>
  <c r="L37" i="99"/>
  <c r="L38" i="99"/>
  <c r="L39" i="99"/>
  <c r="L40" i="99"/>
  <c r="L41" i="99"/>
  <c r="L42" i="99"/>
  <c r="L43" i="99"/>
  <c r="L44" i="99"/>
  <c r="L45" i="99"/>
  <c r="L46" i="99"/>
  <c r="L47" i="99"/>
  <c r="L48" i="99"/>
  <c r="L49" i="99"/>
  <c r="L50" i="99"/>
  <c r="L51" i="99"/>
  <c r="L52" i="99"/>
  <c r="L53" i="99"/>
  <c r="L54" i="99"/>
  <c r="L55" i="99"/>
  <c r="L56" i="99"/>
  <c r="L57" i="99"/>
  <c r="L58" i="99"/>
  <c r="L59" i="99"/>
  <c r="L60" i="99"/>
  <c r="L61" i="99"/>
  <c r="L62" i="99"/>
  <c r="L63" i="99"/>
  <c r="L64" i="99"/>
  <c r="L65" i="99"/>
  <c r="L66" i="99"/>
  <c r="L68" i="99"/>
  <c r="L69" i="99"/>
  <c r="L70" i="99"/>
  <c r="L71" i="99"/>
  <c r="L72" i="99"/>
  <c r="L73" i="99"/>
  <c r="L74" i="99"/>
  <c r="L75" i="99"/>
  <c r="L76" i="99"/>
  <c r="L77" i="99"/>
  <c r="L78" i="99"/>
  <c r="L79" i="99"/>
  <c r="L80" i="99"/>
  <c r="L81" i="99"/>
  <c r="L82" i="99"/>
  <c r="L83" i="99"/>
  <c r="L84" i="99"/>
  <c r="L85" i="99"/>
  <c r="L86" i="99"/>
  <c r="L87" i="99"/>
  <c r="L88" i="99"/>
  <c r="L89" i="99"/>
  <c r="L90" i="99"/>
  <c r="L91" i="99"/>
  <c r="N8" i="96"/>
  <c r="N9" i="96"/>
  <c r="N10" i="96"/>
  <c r="N11" i="96"/>
  <c r="N12" i="96"/>
  <c r="N13" i="96"/>
  <c r="N14" i="96"/>
  <c r="N15" i="96"/>
  <c r="N16" i="96"/>
  <c r="N17" i="96"/>
  <c r="N18" i="96"/>
  <c r="N19" i="96"/>
  <c r="N20" i="96"/>
  <c r="N21" i="96"/>
  <c r="N22" i="96"/>
  <c r="N23" i="96"/>
  <c r="N24" i="96"/>
  <c r="N25" i="96"/>
  <c r="N26" i="96"/>
  <c r="N7" i="96"/>
  <c r="L135" i="99" l="1"/>
  <c r="C64" i="99"/>
  <c r="D64" i="99"/>
  <c r="C47" i="99" l="1"/>
  <c r="C48" i="99"/>
  <c r="C49" i="99"/>
  <c r="C50" i="99"/>
  <c r="C51" i="99"/>
  <c r="C52" i="99"/>
  <c r="C53" i="99"/>
  <c r="C54" i="99"/>
  <c r="C55" i="99"/>
  <c r="C56" i="99"/>
  <c r="C57" i="99"/>
  <c r="C58" i="99"/>
  <c r="C59" i="99"/>
  <c r="C60" i="99"/>
  <c r="C61" i="99"/>
  <c r="C62" i="99"/>
  <c r="C63" i="99"/>
  <c r="C65" i="99"/>
  <c r="C66" i="99"/>
  <c r="C67" i="99"/>
  <c r="C68" i="99"/>
  <c r="C69" i="99"/>
  <c r="C70" i="99"/>
  <c r="C71" i="99"/>
  <c r="C72" i="99"/>
  <c r="C73" i="99"/>
  <c r="C74" i="99"/>
  <c r="C75" i="99"/>
  <c r="C76" i="99"/>
  <c r="C77" i="99"/>
  <c r="C78" i="99"/>
  <c r="C79" i="99"/>
  <c r="C80" i="99"/>
  <c r="C81" i="99"/>
  <c r="C82" i="99"/>
  <c r="C83" i="99"/>
  <c r="C84" i="99"/>
  <c r="C85" i="99"/>
  <c r="C86" i="99"/>
  <c r="C87" i="99"/>
  <c r="C88" i="99"/>
  <c r="C89" i="99"/>
  <c r="C90" i="99"/>
  <c r="C91" i="99"/>
  <c r="D47" i="99"/>
  <c r="D48" i="99"/>
  <c r="D49" i="99"/>
  <c r="D50" i="99"/>
  <c r="D51" i="99"/>
  <c r="D52" i="99"/>
  <c r="D53" i="99"/>
  <c r="D54" i="99"/>
  <c r="D55" i="99"/>
  <c r="D56" i="99"/>
  <c r="D57" i="99"/>
  <c r="D58" i="99"/>
  <c r="D59" i="99"/>
  <c r="D60" i="99"/>
  <c r="D61" i="99"/>
  <c r="D62" i="99"/>
  <c r="D63" i="99"/>
  <c r="D65" i="99"/>
  <c r="D66" i="99"/>
  <c r="D67" i="99"/>
  <c r="D68" i="99"/>
  <c r="D69" i="99"/>
  <c r="D70" i="99"/>
  <c r="D71" i="99"/>
  <c r="D72" i="99"/>
  <c r="D73" i="99"/>
  <c r="D74" i="99"/>
  <c r="D75" i="99"/>
  <c r="D76" i="99"/>
  <c r="D77" i="99"/>
  <c r="D78" i="99"/>
  <c r="D79" i="99"/>
  <c r="D80" i="99"/>
  <c r="D81" i="99"/>
  <c r="D82" i="99"/>
  <c r="D83" i="99"/>
  <c r="D84" i="99"/>
  <c r="D85" i="99"/>
  <c r="D86" i="99"/>
  <c r="D87" i="99"/>
  <c r="D88" i="99"/>
  <c r="D89" i="99"/>
  <c r="D90" i="99"/>
  <c r="D91" i="99"/>
  <c r="C7" i="69" l="1"/>
  <c r="C8" i="69"/>
  <c r="C9" i="69"/>
  <c r="C10" i="69"/>
  <c r="C11" i="69"/>
  <c r="C12" i="69"/>
  <c r="C13" i="69"/>
  <c r="C14" i="69"/>
  <c r="C15" i="69"/>
  <c r="C16" i="69"/>
  <c r="C17" i="69"/>
  <c r="C18" i="69"/>
  <c r="C19" i="69"/>
  <c r="C20" i="69"/>
  <c r="C21" i="69"/>
  <c r="C22" i="69"/>
  <c r="C23" i="69"/>
  <c r="C24" i="69"/>
  <c r="C25" i="69"/>
  <c r="C26" i="69"/>
  <c r="C27" i="69"/>
  <c r="C28" i="69"/>
  <c r="C29" i="69"/>
  <c r="C30" i="69"/>
  <c r="C31" i="69"/>
  <c r="C32" i="69"/>
  <c r="C33" i="69"/>
  <c r="C34" i="69"/>
  <c r="C35" i="69"/>
  <c r="C36" i="69"/>
  <c r="C37" i="69"/>
  <c r="C38" i="69"/>
  <c r="C39" i="69"/>
  <c r="C40" i="69"/>
  <c r="C41" i="69"/>
  <c r="C42" i="69"/>
  <c r="C43" i="69"/>
  <c r="C44" i="69"/>
  <c r="C45" i="69"/>
  <c r="C46" i="69"/>
  <c r="C47" i="69"/>
  <c r="C48" i="69"/>
  <c r="C49" i="69"/>
  <c r="C50" i="69"/>
  <c r="C51" i="69"/>
  <c r="C52" i="69"/>
  <c r="C53" i="69"/>
  <c r="C54" i="69"/>
  <c r="C55" i="69"/>
  <c r="C56" i="69"/>
  <c r="C57" i="69"/>
  <c r="C58" i="69"/>
  <c r="C59" i="69"/>
  <c r="C60" i="69"/>
  <c r="C61" i="69"/>
  <c r="C62" i="69"/>
  <c r="C63" i="69"/>
  <c r="C64" i="69"/>
  <c r="C65" i="69"/>
  <c r="C66" i="69"/>
  <c r="C67" i="69"/>
  <c r="C68" i="69"/>
  <c r="C69" i="69"/>
  <c r="C70" i="69"/>
  <c r="C71" i="69"/>
  <c r="C72" i="69"/>
  <c r="C73" i="69"/>
  <c r="C74" i="69"/>
  <c r="C75" i="69"/>
  <c r="C76" i="69"/>
  <c r="C77" i="69"/>
  <c r="C78" i="69"/>
  <c r="C79" i="69"/>
  <c r="C80" i="69"/>
  <c r="C81" i="69"/>
  <c r="C82" i="69"/>
  <c r="C83" i="69"/>
  <c r="C84" i="69"/>
  <c r="L273" i="69" l="1"/>
  <c r="C15" i="99" l="1"/>
  <c r="C16" i="99"/>
  <c r="C17" i="99"/>
  <c r="C18" i="99"/>
  <c r="C19" i="99"/>
  <c r="C20" i="99"/>
  <c r="C21" i="99"/>
  <c r="C22" i="99"/>
  <c r="C23" i="99"/>
  <c r="C24" i="99"/>
  <c r="C25" i="99"/>
  <c r="C26" i="99"/>
  <c r="C27" i="99"/>
  <c r="C28" i="99"/>
  <c r="C29" i="99"/>
  <c r="C30" i="99"/>
  <c r="D15" i="99"/>
  <c r="D16" i="99"/>
  <c r="D17" i="99"/>
  <c r="D18" i="99"/>
  <c r="D19" i="99"/>
  <c r="D20" i="99"/>
  <c r="D21" i="99"/>
  <c r="D22" i="99"/>
  <c r="D23" i="99"/>
  <c r="D24" i="99"/>
  <c r="D25" i="99"/>
  <c r="D26" i="99"/>
  <c r="D27" i="99"/>
  <c r="D28" i="99"/>
  <c r="D29" i="99"/>
  <c r="D30" i="99"/>
  <c r="C31" i="99"/>
  <c r="C32" i="99"/>
  <c r="C33" i="99"/>
  <c r="C34" i="99"/>
  <c r="C35" i="99"/>
  <c r="C36" i="99"/>
  <c r="C37" i="99"/>
  <c r="C38" i="99"/>
  <c r="D31" i="99"/>
  <c r="D32" i="99"/>
  <c r="D33" i="99"/>
  <c r="D34" i="99"/>
  <c r="D35" i="99"/>
  <c r="D36" i="99"/>
  <c r="D37" i="99"/>
  <c r="D38" i="99"/>
  <c r="C39" i="99"/>
  <c r="C40" i="99"/>
  <c r="C41" i="99"/>
  <c r="C42" i="99"/>
  <c r="D39" i="99"/>
  <c r="D40" i="99"/>
  <c r="D41" i="99"/>
  <c r="D42" i="99"/>
  <c r="C43" i="99"/>
  <c r="C44" i="99"/>
  <c r="D43" i="99"/>
  <c r="D44" i="99"/>
  <c r="C13" i="99"/>
  <c r="C14" i="99"/>
  <c r="D13" i="99"/>
  <c r="D14" i="99"/>
  <c r="O6" i="64"/>
  <c r="O5" i="64"/>
  <c r="E14" i="97"/>
  <c r="F14" i="97" s="1"/>
  <c r="H10" i="61"/>
  <c r="H11" i="61"/>
  <c r="H12" i="61"/>
  <c r="H13" i="61"/>
  <c r="H14" i="61"/>
  <c r="H15" i="61"/>
  <c r="H16" i="61"/>
  <c r="H17" i="61"/>
  <c r="H18" i="61"/>
  <c r="H19" i="61"/>
  <c r="H20" i="61"/>
  <c r="H21" i="61"/>
  <c r="H22" i="61"/>
  <c r="H23" i="61"/>
  <c r="H24" i="61"/>
  <c r="H25" i="61"/>
  <c r="G12" i="55"/>
  <c r="E12" i="55"/>
  <c r="F135" i="99"/>
  <c r="D12" i="55" s="1"/>
  <c r="D46" i="99"/>
  <c r="C46" i="99"/>
  <c r="D45" i="99"/>
  <c r="C45" i="99"/>
  <c r="D12" i="99"/>
  <c r="C12" i="99"/>
  <c r="D11" i="99"/>
  <c r="C11" i="99"/>
  <c r="D10" i="99"/>
  <c r="C10" i="99"/>
  <c r="D9" i="99"/>
  <c r="C9" i="99"/>
  <c r="D8" i="99"/>
  <c r="C8" i="99"/>
  <c r="C7" i="99"/>
  <c r="F273" i="69"/>
  <c r="D6" i="55" s="1"/>
  <c r="F9" i="95" s="1"/>
  <c r="O56" i="78"/>
  <c r="P56" i="78"/>
  <c r="Q56" i="78"/>
  <c r="R56" i="78"/>
  <c r="O57" i="78"/>
  <c r="P57" i="78"/>
  <c r="Q57" i="78"/>
  <c r="R57" i="78"/>
  <c r="O58" i="78"/>
  <c r="P58" i="78"/>
  <c r="Q58" i="78"/>
  <c r="R58" i="78"/>
  <c r="O59" i="78"/>
  <c r="P59" i="78"/>
  <c r="Q59" i="78"/>
  <c r="R59" i="78"/>
  <c r="O60" i="78"/>
  <c r="P60" i="78"/>
  <c r="Q60" i="78"/>
  <c r="R60" i="78"/>
  <c r="O61" i="78"/>
  <c r="P61" i="78"/>
  <c r="Q61" i="78"/>
  <c r="R61" i="78"/>
  <c r="O62" i="78"/>
  <c r="P62" i="78"/>
  <c r="Q62" i="78"/>
  <c r="R62" i="78"/>
  <c r="O63" i="78"/>
  <c r="P63" i="78"/>
  <c r="Q63" i="78"/>
  <c r="R63" i="78"/>
  <c r="O64" i="78"/>
  <c r="P64" i="78"/>
  <c r="Q64" i="78"/>
  <c r="R64" i="78"/>
  <c r="O65" i="78"/>
  <c r="P65" i="78"/>
  <c r="Q65" i="78"/>
  <c r="R65" i="78"/>
  <c r="O66" i="78"/>
  <c r="P66" i="78"/>
  <c r="Q66" i="78"/>
  <c r="R66" i="78"/>
  <c r="O67" i="78"/>
  <c r="P67" i="78"/>
  <c r="Q67" i="78"/>
  <c r="R67" i="78"/>
  <c r="O68" i="78"/>
  <c r="P68" i="78"/>
  <c r="Q68" i="78"/>
  <c r="R68" i="78"/>
  <c r="O69" i="78"/>
  <c r="P69" i="78"/>
  <c r="Q69" i="78"/>
  <c r="R69" i="78"/>
  <c r="O70" i="78"/>
  <c r="P70" i="78"/>
  <c r="Q70" i="78"/>
  <c r="R70" i="78"/>
  <c r="O71" i="78"/>
  <c r="P71" i="78"/>
  <c r="Q71" i="78"/>
  <c r="R71" i="78"/>
  <c r="O72" i="78"/>
  <c r="P72" i="78"/>
  <c r="Q72" i="78"/>
  <c r="R72" i="78"/>
  <c r="O73" i="78"/>
  <c r="P73" i="78"/>
  <c r="Q73" i="78"/>
  <c r="R73" i="78"/>
  <c r="O74" i="78"/>
  <c r="P74" i="78"/>
  <c r="Q74" i="78"/>
  <c r="R74" i="78"/>
  <c r="P55" i="78"/>
  <c r="Q55" i="78"/>
  <c r="R55" i="78"/>
  <c r="O55" i="78"/>
  <c r="X31" i="75"/>
  <c r="W31" i="75"/>
  <c r="V31" i="75"/>
  <c r="U31" i="75"/>
  <c r="X51" i="75"/>
  <c r="W51" i="75"/>
  <c r="V51" i="75"/>
  <c r="U51" i="75"/>
  <c r="X39" i="75"/>
  <c r="W39" i="75"/>
  <c r="V39" i="75"/>
  <c r="U39" i="75"/>
  <c r="S39" i="75"/>
  <c r="R39" i="75"/>
  <c r="Q39" i="75"/>
  <c r="P39" i="75"/>
  <c r="N39" i="75"/>
  <c r="M39" i="75"/>
  <c r="L39" i="75"/>
  <c r="K39" i="75"/>
  <c r="I39" i="75"/>
  <c r="H39" i="75"/>
  <c r="G39" i="75"/>
  <c r="F39" i="75"/>
  <c r="U37" i="75"/>
  <c r="F37" i="75"/>
  <c r="I4" i="79"/>
  <c r="I9" i="82" s="1"/>
  <c r="B14" i="64"/>
  <c r="B15" i="64" s="1"/>
  <c r="B16" i="64" s="1"/>
  <c r="B17" i="64" s="1"/>
  <c r="B18" i="64" s="1"/>
  <c r="B19" i="64" s="1"/>
  <c r="B20" i="64" s="1"/>
  <c r="C9" i="52"/>
  <c r="C11" i="62" s="1"/>
  <c r="P11" i="62" s="1"/>
  <c r="C10" i="52"/>
  <c r="C12" i="62" s="1"/>
  <c r="P12" i="62" s="1"/>
  <c r="C11" i="52"/>
  <c r="C13" i="62" s="1"/>
  <c r="P13" i="62" s="1"/>
  <c r="C12" i="52"/>
  <c r="C14" i="62" s="1"/>
  <c r="P14" i="62" s="1"/>
  <c r="C13" i="52"/>
  <c r="C15" i="62" s="1"/>
  <c r="P15" i="62" s="1"/>
  <c r="C14" i="52"/>
  <c r="C14" i="53" s="1"/>
  <c r="N14" i="53" s="1"/>
  <c r="C15" i="52"/>
  <c r="C16" i="74" s="1"/>
  <c r="O16" i="74" s="1"/>
  <c r="C16" i="52"/>
  <c r="C18" i="62" s="1"/>
  <c r="P18" i="62" s="1"/>
  <c r="C17" i="52"/>
  <c r="C19" i="62" s="1"/>
  <c r="P19" i="62" s="1"/>
  <c r="C18" i="52"/>
  <c r="C20" i="62" s="1"/>
  <c r="P20" i="62" s="1"/>
  <c r="C19" i="52"/>
  <c r="C21" i="62" s="1"/>
  <c r="P21" i="62" s="1"/>
  <c r="C20" i="52"/>
  <c r="C22" i="62" s="1"/>
  <c r="P22" i="62" s="1"/>
  <c r="C21" i="52"/>
  <c r="C23" i="62" s="1"/>
  <c r="P23" i="62" s="1"/>
  <c r="C22" i="52"/>
  <c r="C22" i="53" s="1"/>
  <c r="N22" i="53" s="1"/>
  <c r="C23" i="52"/>
  <c r="C23" i="53" s="1"/>
  <c r="N23" i="53" s="1"/>
  <c r="C24" i="52"/>
  <c r="C27" i="87" s="1"/>
  <c r="N11" i="94"/>
  <c r="N12" i="94"/>
  <c r="N13" i="94"/>
  <c r="N10" i="94"/>
  <c r="N6" i="73"/>
  <c r="C4" i="73" s="1"/>
  <c r="N28" i="68"/>
  <c r="N26" i="53"/>
  <c r="B32" i="96"/>
  <c r="B33" i="96" s="1"/>
  <c r="B34" i="96" s="1"/>
  <c r="B35" i="96" s="1"/>
  <c r="L27" i="96"/>
  <c r="M27" i="96"/>
  <c r="K27" i="96"/>
  <c r="J27" i="96"/>
  <c r="I27" i="96"/>
  <c r="H27" i="96"/>
  <c r="G27" i="96"/>
  <c r="F27" i="96"/>
  <c r="D27" i="96"/>
  <c r="E27" i="96"/>
  <c r="B8" i="96"/>
  <c r="B9" i="96" s="1"/>
  <c r="B10" i="96" s="1"/>
  <c r="B11" i="96" s="1"/>
  <c r="B12" i="96" s="1"/>
  <c r="B13" i="96" s="1"/>
  <c r="B14" i="96" s="1"/>
  <c r="B15" i="96" s="1"/>
  <c r="B16" i="96" s="1"/>
  <c r="B17" i="96" s="1"/>
  <c r="B18" i="96" s="1"/>
  <c r="B19" i="96" s="1"/>
  <c r="B20" i="96" s="1"/>
  <c r="B21" i="96" s="1"/>
  <c r="B22" i="96" s="1"/>
  <c r="B23" i="96" s="1"/>
  <c r="B24" i="96" s="1"/>
  <c r="B25" i="96" s="1"/>
  <c r="B26" i="96" s="1"/>
  <c r="B7" i="73"/>
  <c r="B8" i="73" s="1"/>
  <c r="B12" i="73" s="1"/>
  <c r="B13" i="73" s="1"/>
  <c r="B14" i="73" s="1"/>
  <c r="B15" i="73" s="1"/>
  <c r="B16" i="73" s="1"/>
  <c r="B17" i="73" s="1"/>
  <c r="B18" i="73" s="1"/>
  <c r="B19" i="73" s="1"/>
  <c r="B20" i="73" s="1"/>
  <c r="B21" i="73" s="1"/>
  <c r="B23" i="73" s="1"/>
  <c r="B24" i="73" s="1"/>
  <c r="B25" i="73" s="1"/>
  <c r="B26" i="73" s="1"/>
  <c r="B27" i="73" s="1"/>
  <c r="B28" i="73" s="1"/>
  <c r="B29" i="73" s="1"/>
  <c r="B30" i="73" s="1"/>
  <c r="B31" i="73" s="1"/>
  <c r="B32" i="73" s="1"/>
  <c r="B33" i="73" s="1"/>
  <c r="B35" i="73" s="1"/>
  <c r="B36" i="73" s="1"/>
  <c r="B37" i="73" s="1"/>
  <c r="B38" i="73" s="1"/>
  <c r="B39" i="73" s="1"/>
  <c r="B40" i="73" s="1"/>
  <c r="B41" i="73" s="1"/>
  <c r="C25" i="74"/>
  <c r="O25" i="74" s="1"/>
  <c r="O26" i="74"/>
  <c r="D63" i="59"/>
  <c r="D62" i="59"/>
  <c r="D61" i="59"/>
  <c r="D60" i="59"/>
  <c r="D59" i="59"/>
  <c r="D58" i="59"/>
  <c r="L16" i="52"/>
  <c r="C27" i="45"/>
  <c r="B27" i="45"/>
  <c r="C23" i="45"/>
  <c r="B23" i="45"/>
  <c r="A29" i="45"/>
  <c r="A28" i="45"/>
  <c r="A25" i="45"/>
  <c r="A24" i="45"/>
  <c r="O11" i="51"/>
  <c r="O8" i="51"/>
  <c r="N6" i="51"/>
  <c r="N7" i="51"/>
  <c r="N8" i="51"/>
  <c r="N9" i="51"/>
  <c r="N10" i="51"/>
  <c r="N11" i="51"/>
  <c r="N12" i="51"/>
  <c r="N13" i="51"/>
  <c r="N5" i="51"/>
  <c r="C8" i="52"/>
  <c r="L8" i="52" s="1"/>
  <c r="D9" i="95"/>
  <c r="D48" i="79"/>
  <c r="J14" i="81" s="1"/>
  <c r="C48" i="79"/>
  <c r="D14" i="81" s="1"/>
  <c r="M39" i="87"/>
  <c r="N39" i="87"/>
  <c r="M40" i="87"/>
  <c r="N40" i="87"/>
  <c r="N38" i="87"/>
  <c r="M38" i="87"/>
  <c r="K39" i="87"/>
  <c r="L39" i="87"/>
  <c r="K40" i="87"/>
  <c r="L40" i="87"/>
  <c r="L38" i="87"/>
  <c r="K38" i="87"/>
  <c r="I39" i="87"/>
  <c r="I40" i="87"/>
  <c r="I38" i="87"/>
  <c r="H39" i="87"/>
  <c r="H40" i="87"/>
  <c r="H38" i="87"/>
  <c r="I37" i="87"/>
  <c r="H37" i="87"/>
  <c r="D9" i="87"/>
  <c r="D10" i="87"/>
  <c r="D11" i="87"/>
  <c r="D12" i="87"/>
  <c r="D13" i="87"/>
  <c r="D14" i="87"/>
  <c r="D15" i="87"/>
  <c r="D16" i="87"/>
  <c r="D17" i="87"/>
  <c r="D18" i="87"/>
  <c r="D19" i="87"/>
  <c r="D20" i="87"/>
  <c r="D21" i="87"/>
  <c r="D22" i="87"/>
  <c r="D23" i="87"/>
  <c r="D24" i="87"/>
  <c r="D25" i="87"/>
  <c r="D26" i="87"/>
  <c r="D27" i="87"/>
  <c r="D8" i="87"/>
  <c r="F3" i="45"/>
  <c r="E12" i="45" s="1"/>
  <c r="S51" i="75"/>
  <c r="R51" i="75"/>
  <c r="Q51" i="75"/>
  <c r="P51" i="75"/>
  <c r="N51" i="75"/>
  <c r="M51" i="75"/>
  <c r="L51" i="75"/>
  <c r="K51" i="75"/>
  <c r="I51" i="75"/>
  <c r="H51" i="75"/>
  <c r="G51" i="75"/>
  <c r="F51" i="75"/>
  <c r="S31" i="75"/>
  <c r="R31" i="75"/>
  <c r="Q31" i="75"/>
  <c r="P31" i="75"/>
  <c r="L31" i="75"/>
  <c r="M31" i="75"/>
  <c r="N31" i="75"/>
  <c r="K31" i="75"/>
  <c r="C29" i="79"/>
  <c r="C29" i="76" s="1"/>
  <c r="D29" i="79"/>
  <c r="D29" i="76" s="1"/>
  <c r="D49" i="78"/>
  <c r="E49" i="78"/>
  <c r="C49" i="78"/>
  <c r="K24" i="78"/>
  <c r="C39" i="79" s="1"/>
  <c r="E14" i="80" s="1"/>
  <c r="H7" i="61"/>
  <c r="H8" i="61"/>
  <c r="H9" i="61"/>
  <c r="H6" i="61"/>
  <c r="C6" i="52"/>
  <c r="L6" i="52" s="1"/>
  <c r="C7" i="52"/>
  <c r="C7" i="53" s="1"/>
  <c r="N7" i="53" s="1"/>
  <c r="C5" i="52"/>
  <c r="B4" i="78" s="1"/>
  <c r="C19" i="87"/>
  <c r="I9" i="53"/>
  <c r="F9" i="68" s="1"/>
  <c r="G9" i="68" s="1"/>
  <c r="H9" i="68" s="1"/>
  <c r="D25" i="72"/>
  <c r="D2" i="93"/>
  <c r="C2" i="93"/>
  <c r="D7" i="64"/>
  <c r="D13" i="64" s="1"/>
  <c r="I26" i="62"/>
  <c r="R48" i="78" s="1"/>
  <c r="Q27" i="91" s="1"/>
  <c r="F1" i="45"/>
  <c r="E28" i="78"/>
  <c r="E2" i="77"/>
  <c r="D2" i="77"/>
  <c r="C2" i="77"/>
  <c r="E26" i="68"/>
  <c r="I5" i="64" s="1"/>
  <c r="F25" i="68"/>
  <c r="G25" i="68" s="1"/>
  <c r="H25" i="68" s="1"/>
  <c r="D7" i="62"/>
  <c r="D8" i="62"/>
  <c r="D28" i="83"/>
  <c r="B89" i="79"/>
  <c r="B16" i="92" s="1"/>
  <c r="B90" i="79"/>
  <c r="B17" i="92" s="1"/>
  <c r="B91" i="79"/>
  <c r="B19" i="92" s="1"/>
  <c r="B88" i="79"/>
  <c r="B15" i="92" s="1"/>
  <c r="B83" i="79"/>
  <c r="B9" i="92" s="1"/>
  <c r="B84" i="79"/>
  <c r="B10" i="92" s="1"/>
  <c r="B85" i="79"/>
  <c r="B11" i="92" s="1"/>
  <c r="B86" i="79"/>
  <c r="B12" i="92" s="1"/>
  <c r="B87" i="79"/>
  <c r="B13" i="92" s="1"/>
  <c r="B82" i="79"/>
  <c r="B8" i="92" s="1"/>
  <c r="Q30" i="78"/>
  <c r="P9" i="91" s="1"/>
  <c r="Q31" i="78"/>
  <c r="P10" i="91" s="1"/>
  <c r="Q32" i="78"/>
  <c r="P11" i="91" s="1"/>
  <c r="Q33" i="78"/>
  <c r="P12" i="91" s="1"/>
  <c r="Q34" i="78"/>
  <c r="Q35" i="78"/>
  <c r="P14" i="91" s="1"/>
  <c r="Q36" i="78"/>
  <c r="P15" i="91" s="1"/>
  <c r="Q37" i="78"/>
  <c r="P16" i="91" s="1"/>
  <c r="Q38" i="78"/>
  <c r="P17" i="91" s="1"/>
  <c r="Q39" i="78"/>
  <c r="P18" i="91" s="1"/>
  <c r="Q40" i="78"/>
  <c r="P19" i="91" s="1"/>
  <c r="Q41" i="78"/>
  <c r="P20" i="91" s="1"/>
  <c r="Q42" i="78"/>
  <c r="P21" i="91" s="1"/>
  <c r="Q43" i="78"/>
  <c r="P22" i="91" s="1"/>
  <c r="Q44" i="78"/>
  <c r="P23" i="91" s="1"/>
  <c r="Q45" i="78"/>
  <c r="P24" i="91" s="1"/>
  <c r="Q46" i="78"/>
  <c r="P25" i="91" s="1"/>
  <c r="Q47" i="78"/>
  <c r="P26" i="91" s="1"/>
  <c r="Q48" i="78"/>
  <c r="P27" i="91" s="1"/>
  <c r="Q29" i="78"/>
  <c r="P8" i="91" s="1"/>
  <c r="P30" i="78"/>
  <c r="O9" i="91" s="1"/>
  <c r="P31" i="78"/>
  <c r="O10" i="91" s="1"/>
  <c r="P32" i="78"/>
  <c r="O11" i="91" s="1"/>
  <c r="P33" i="78"/>
  <c r="O12" i="91" s="1"/>
  <c r="P34" i="78"/>
  <c r="O13" i="91" s="1"/>
  <c r="P35" i="78"/>
  <c r="O14" i="91" s="1"/>
  <c r="P36" i="78"/>
  <c r="O15" i="91" s="1"/>
  <c r="P37" i="78"/>
  <c r="O16" i="91" s="1"/>
  <c r="P38" i="78"/>
  <c r="O17" i="91" s="1"/>
  <c r="P39" i="78"/>
  <c r="O18" i="91" s="1"/>
  <c r="P40" i="78"/>
  <c r="O19" i="91" s="1"/>
  <c r="P41" i="78"/>
  <c r="O20" i="91" s="1"/>
  <c r="P42" i="78"/>
  <c r="O21" i="91" s="1"/>
  <c r="P43" i="78"/>
  <c r="O22" i="91" s="1"/>
  <c r="P44" i="78"/>
  <c r="O23" i="91" s="1"/>
  <c r="P45" i="78"/>
  <c r="O24" i="91" s="1"/>
  <c r="P46" i="78"/>
  <c r="O25" i="91" s="1"/>
  <c r="P47" i="78"/>
  <c r="O26" i="91" s="1"/>
  <c r="P48" i="78"/>
  <c r="O27" i="91" s="1"/>
  <c r="P29" i="78"/>
  <c r="O8" i="91" s="1"/>
  <c r="O30" i="78"/>
  <c r="N9" i="91" s="1"/>
  <c r="O31" i="78"/>
  <c r="N10" i="91" s="1"/>
  <c r="O32" i="78"/>
  <c r="N11" i="91" s="1"/>
  <c r="O33" i="78"/>
  <c r="N12" i="91" s="1"/>
  <c r="O34" i="78"/>
  <c r="N13" i="91" s="1"/>
  <c r="O35" i="78"/>
  <c r="N14" i="91" s="1"/>
  <c r="O36" i="78"/>
  <c r="N15" i="91" s="1"/>
  <c r="O37" i="78"/>
  <c r="N16" i="91" s="1"/>
  <c r="O38" i="78"/>
  <c r="N17" i="91" s="1"/>
  <c r="O39" i="78"/>
  <c r="N18" i="91" s="1"/>
  <c r="O40" i="78"/>
  <c r="N19" i="91" s="1"/>
  <c r="O41" i="78"/>
  <c r="N20" i="91" s="1"/>
  <c r="O42" i="78"/>
  <c r="N21" i="91" s="1"/>
  <c r="O43" i="78"/>
  <c r="N22" i="91" s="1"/>
  <c r="O44" i="78"/>
  <c r="N23" i="91" s="1"/>
  <c r="O45" i="78"/>
  <c r="N24" i="91" s="1"/>
  <c r="O46" i="78"/>
  <c r="N25" i="91" s="1"/>
  <c r="O47" i="78"/>
  <c r="N26" i="91" s="1"/>
  <c r="O48" i="78"/>
  <c r="N27" i="91" s="1"/>
  <c r="O29" i="78"/>
  <c r="N8" i="91" s="1"/>
  <c r="P9" i="87"/>
  <c r="Q9" i="87"/>
  <c r="P10" i="87"/>
  <c r="Q10" i="87"/>
  <c r="P11" i="87"/>
  <c r="Q11" i="87"/>
  <c r="P12" i="87"/>
  <c r="Q12" i="87"/>
  <c r="P13" i="87"/>
  <c r="Q13" i="87"/>
  <c r="P14" i="87"/>
  <c r="Q14" i="87"/>
  <c r="P15" i="87"/>
  <c r="Q15" i="87"/>
  <c r="P16" i="87"/>
  <c r="Q16" i="87"/>
  <c r="P17" i="87"/>
  <c r="Q17" i="87"/>
  <c r="P18" i="87"/>
  <c r="Q18" i="87"/>
  <c r="P19" i="87"/>
  <c r="Q19" i="87"/>
  <c r="P20" i="87"/>
  <c r="Q20" i="87"/>
  <c r="P21" i="87"/>
  <c r="Q21" i="87"/>
  <c r="P22" i="87"/>
  <c r="Q22" i="87"/>
  <c r="P23" i="87"/>
  <c r="Q23" i="87"/>
  <c r="P24" i="87"/>
  <c r="Q24" i="87"/>
  <c r="P25" i="87"/>
  <c r="Q25" i="87"/>
  <c r="P26" i="87"/>
  <c r="Q26" i="87"/>
  <c r="P27" i="87"/>
  <c r="Q27" i="87"/>
  <c r="Q8" i="87"/>
  <c r="P8" i="87"/>
  <c r="K9" i="87"/>
  <c r="L9" i="87"/>
  <c r="K10" i="87"/>
  <c r="L10" i="87"/>
  <c r="K11" i="87"/>
  <c r="L11" i="87"/>
  <c r="K12" i="87"/>
  <c r="L12" i="87"/>
  <c r="K13" i="87"/>
  <c r="L13" i="87"/>
  <c r="K14" i="87"/>
  <c r="L14" i="87"/>
  <c r="K15" i="87"/>
  <c r="L15" i="87"/>
  <c r="K16" i="87"/>
  <c r="L16" i="87"/>
  <c r="K17" i="87"/>
  <c r="L17" i="87"/>
  <c r="K18" i="87"/>
  <c r="L18" i="87"/>
  <c r="K19" i="87"/>
  <c r="L19" i="87"/>
  <c r="K20" i="87"/>
  <c r="L20" i="87"/>
  <c r="K21" i="87"/>
  <c r="L21" i="87"/>
  <c r="K22" i="87"/>
  <c r="L22" i="87"/>
  <c r="K23" i="87"/>
  <c r="L23" i="87"/>
  <c r="K24" i="87"/>
  <c r="L24" i="87"/>
  <c r="K25" i="87"/>
  <c r="L25" i="87"/>
  <c r="K26" i="87"/>
  <c r="L26" i="87"/>
  <c r="K27" i="87"/>
  <c r="L27" i="87"/>
  <c r="L8" i="87"/>
  <c r="K8" i="87"/>
  <c r="F9" i="87"/>
  <c r="G9" i="87"/>
  <c r="F10" i="87"/>
  <c r="G10" i="87"/>
  <c r="F11" i="87"/>
  <c r="G11" i="87"/>
  <c r="F12" i="87"/>
  <c r="G12" i="87"/>
  <c r="F13" i="87"/>
  <c r="G13" i="87"/>
  <c r="F14" i="87"/>
  <c r="G14" i="87"/>
  <c r="F15" i="87"/>
  <c r="G15" i="87"/>
  <c r="F16" i="87"/>
  <c r="G16" i="87"/>
  <c r="F17" i="87"/>
  <c r="G17" i="87"/>
  <c r="F18" i="87"/>
  <c r="G18" i="87"/>
  <c r="F19" i="87"/>
  <c r="G19" i="87"/>
  <c r="F20" i="87"/>
  <c r="G20" i="87"/>
  <c r="F21" i="87"/>
  <c r="G21" i="87"/>
  <c r="F22" i="87"/>
  <c r="G22" i="87"/>
  <c r="F23" i="87"/>
  <c r="G23" i="87"/>
  <c r="F24" i="87"/>
  <c r="G24" i="87"/>
  <c r="F25" i="87"/>
  <c r="G25" i="87"/>
  <c r="F26" i="87"/>
  <c r="G26" i="87"/>
  <c r="F27" i="87"/>
  <c r="G27" i="87"/>
  <c r="F28" i="87"/>
  <c r="G28" i="87"/>
  <c r="G8" i="87"/>
  <c r="F8" i="87"/>
  <c r="G56" i="78"/>
  <c r="H56" i="78"/>
  <c r="I56" i="78"/>
  <c r="J56" i="78"/>
  <c r="G57" i="78"/>
  <c r="H57" i="78"/>
  <c r="I57" i="78"/>
  <c r="J57" i="78"/>
  <c r="G58" i="78"/>
  <c r="H58" i="78"/>
  <c r="I58" i="78"/>
  <c r="J58" i="78"/>
  <c r="G59" i="78"/>
  <c r="H59" i="78"/>
  <c r="I59" i="78"/>
  <c r="J59" i="78"/>
  <c r="G60" i="78"/>
  <c r="H60" i="78"/>
  <c r="I60" i="78"/>
  <c r="J60" i="78"/>
  <c r="G61" i="78"/>
  <c r="H61" i="78"/>
  <c r="I61" i="78"/>
  <c r="J61" i="78"/>
  <c r="G62" i="78"/>
  <c r="H62" i="78"/>
  <c r="I62" i="78"/>
  <c r="J62" i="78"/>
  <c r="G63" i="78"/>
  <c r="H63" i="78"/>
  <c r="I63" i="78"/>
  <c r="J63" i="78"/>
  <c r="G64" i="78"/>
  <c r="H64" i="78"/>
  <c r="I64" i="78"/>
  <c r="J64" i="78"/>
  <c r="G65" i="78"/>
  <c r="H65" i="78"/>
  <c r="I65" i="78"/>
  <c r="J65" i="78"/>
  <c r="G66" i="78"/>
  <c r="H66" i="78"/>
  <c r="I66" i="78"/>
  <c r="J66" i="78"/>
  <c r="G67" i="78"/>
  <c r="H67" i="78"/>
  <c r="I67" i="78"/>
  <c r="J67" i="78"/>
  <c r="G68" i="78"/>
  <c r="H68" i="78"/>
  <c r="I68" i="78"/>
  <c r="J68" i="78"/>
  <c r="G69" i="78"/>
  <c r="H69" i="78"/>
  <c r="I69" i="78"/>
  <c r="J69" i="78"/>
  <c r="G70" i="78"/>
  <c r="H70" i="78"/>
  <c r="I70" i="78"/>
  <c r="J70" i="78"/>
  <c r="G71" i="78"/>
  <c r="H71" i="78"/>
  <c r="I71" i="78"/>
  <c r="J71" i="78"/>
  <c r="G72" i="78"/>
  <c r="H72" i="78"/>
  <c r="I72" i="78"/>
  <c r="J72" i="78"/>
  <c r="G73" i="78"/>
  <c r="H73" i="78"/>
  <c r="I73" i="78"/>
  <c r="J73" i="78"/>
  <c r="G74" i="78"/>
  <c r="H74" i="78"/>
  <c r="I74" i="78"/>
  <c r="J74" i="78"/>
  <c r="H55" i="78"/>
  <c r="I55" i="78"/>
  <c r="J55" i="78"/>
  <c r="G55" i="78"/>
  <c r="C56" i="78"/>
  <c r="D56" i="78"/>
  <c r="E56" i="78"/>
  <c r="F56" i="78"/>
  <c r="C57" i="78"/>
  <c r="D57" i="78"/>
  <c r="E57" i="78"/>
  <c r="F57" i="78"/>
  <c r="C58" i="78"/>
  <c r="D58" i="78"/>
  <c r="E58" i="78"/>
  <c r="F58" i="78"/>
  <c r="C59" i="78"/>
  <c r="D59" i="78"/>
  <c r="E59" i="78"/>
  <c r="F59" i="78"/>
  <c r="C60" i="78"/>
  <c r="D60" i="78"/>
  <c r="E60" i="78"/>
  <c r="F60" i="78"/>
  <c r="C61" i="78"/>
  <c r="D61" i="78"/>
  <c r="E61" i="78"/>
  <c r="F61" i="78"/>
  <c r="C62" i="78"/>
  <c r="D62" i="78"/>
  <c r="E62" i="78"/>
  <c r="F62" i="78"/>
  <c r="C63" i="78"/>
  <c r="D63" i="78"/>
  <c r="E63" i="78"/>
  <c r="F63" i="78"/>
  <c r="C64" i="78"/>
  <c r="D64" i="78"/>
  <c r="E64" i="78"/>
  <c r="F64" i="78"/>
  <c r="C65" i="78"/>
  <c r="D65" i="78"/>
  <c r="E65" i="78"/>
  <c r="F65" i="78"/>
  <c r="C66" i="78"/>
  <c r="D66" i="78"/>
  <c r="E66" i="78"/>
  <c r="F66" i="78"/>
  <c r="C67" i="78"/>
  <c r="D67" i="78"/>
  <c r="E67" i="78"/>
  <c r="F67" i="78"/>
  <c r="C68" i="78"/>
  <c r="D68" i="78"/>
  <c r="E68" i="78"/>
  <c r="F68" i="78"/>
  <c r="C69" i="78"/>
  <c r="D69" i="78"/>
  <c r="E69" i="78"/>
  <c r="F69" i="78"/>
  <c r="C70" i="78"/>
  <c r="D70" i="78"/>
  <c r="E70" i="78"/>
  <c r="F70" i="78"/>
  <c r="C71" i="78"/>
  <c r="D71" i="78"/>
  <c r="E71" i="78"/>
  <c r="F71" i="78"/>
  <c r="C72" i="78"/>
  <c r="D72" i="78"/>
  <c r="E72" i="78"/>
  <c r="F72" i="78"/>
  <c r="C73" i="78"/>
  <c r="D73" i="78"/>
  <c r="E73" i="78"/>
  <c r="F73" i="78"/>
  <c r="C74" i="78"/>
  <c r="D74" i="78"/>
  <c r="E74" i="78"/>
  <c r="F74" i="78"/>
  <c r="B54" i="78"/>
  <c r="D55" i="78"/>
  <c r="E55" i="78"/>
  <c r="F55" i="78"/>
  <c r="C55" i="78"/>
  <c r="J9" i="62"/>
  <c r="S31" i="78" s="1"/>
  <c r="R10" i="91" s="1"/>
  <c r="J10" i="62"/>
  <c r="S32" i="78" s="1"/>
  <c r="R11" i="91" s="1"/>
  <c r="J11" i="62"/>
  <c r="S33" i="78" s="1"/>
  <c r="R12" i="91" s="1"/>
  <c r="J12" i="62"/>
  <c r="S34" i="78" s="1"/>
  <c r="R13" i="91" s="1"/>
  <c r="J13" i="62"/>
  <c r="S35" i="78" s="1"/>
  <c r="R14" i="91" s="1"/>
  <c r="J14" i="62"/>
  <c r="S36" i="78" s="1"/>
  <c r="R15" i="91" s="1"/>
  <c r="J15" i="62"/>
  <c r="S37" i="78" s="1"/>
  <c r="R16" i="91" s="1"/>
  <c r="J16" i="62"/>
  <c r="S38" i="78" s="1"/>
  <c r="R17" i="91" s="1"/>
  <c r="J17" i="62"/>
  <c r="S39" i="78" s="1"/>
  <c r="R18" i="91" s="1"/>
  <c r="J18" i="62"/>
  <c r="S40" i="78" s="1"/>
  <c r="R19" i="91" s="1"/>
  <c r="J19" i="62"/>
  <c r="S41" i="78" s="1"/>
  <c r="R20" i="91" s="1"/>
  <c r="J20" i="62"/>
  <c r="S42" i="78" s="1"/>
  <c r="R21" i="91" s="1"/>
  <c r="J21" i="62"/>
  <c r="S43" i="78" s="1"/>
  <c r="R22" i="91" s="1"/>
  <c r="S44" i="78"/>
  <c r="J23" i="62"/>
  <c r="S45" i="78" s="1"/>
  <c r="R24" i="91" s="1"/>
  <c r="J24" i="62"/>
  <c r="S46" i="78" s="1"/>
  <c r="R25" i="91" s="1"/>
  <c r="J25" i="62"/>
  <c r="S47" i="78" s="1"/>
  <c r="R26" i="91" s="1"/>
  <c r="J26" i="62"/>
  <c r="S48" i="78" s="1"/>
  <c r="R27" i="91" s="1"/>
  <c r="J8" i="62"/>
  <c r="S30" i="78" s="1"/>
  <c r="R9" i="91" s="1"/>
  <c r="J7" i="62"/>
  <c r="S29" i="78" s="1"/>
  <c r="R8" i="91" s="1"/>
  <c r="I31" i="75"/>
  <c r="H31" i="75"/>
  <c r="G31" i="75"/>
  <c r="F31" i="75"/>
  <c r="M30" i="78"/>
  <c r="I9" i="91" s="1"/>
  <c r="N30" i="78"/>
  <c r="M9" i="91" s="1"/>
  <c r="M31" i="78"/>
  <c r="N31" i="78"/>
  <c r="M10" i="91" s="1"/>
  <c r="M32" i="78"/>
  <c r="N11" i="87" s="1"/>
  <c r="N32" i="78"/>
  <c r="M11" i="91" s="1"/>
  <c r="M33" i="78"/>
  <c r="N12" i="87" s="1"/>
  <c r="N33" i="78"/>
  <c r="M12" i="91" s="1"/>
  <c r="M34" i="78"/>
  <c r="I13" i="91" s="1"/>
  <c r="N34" i="78"/>
  <c r="M13" i="91" s="1"/>
  <c r="M35" i="78"/>
  <c r="N14" i="87" s="1"/>
  <c r="N35" i="78"/>
  <c r="M36" i="78"/>
  <c r="N15" i="87" s="1"/>
  <c r="N36" i="78"/>
  <c r="M15" i="91" s="1"/>
  <c r="M37" i="78"/>
  <c r="N16" i="87" s="1"/>
  <c r="N37" i="78"/>
  <c r="M16" i="91" s="1"/>
  <c r="M38" i="78"/>
  <c r="I17" i="91" s="1"/>
  <c r="N38" i="78"/>
  <c r="M17" i="91" s="1"/>
  <c r="M39" i="78"/>
  <c r="N18" i="87" s="1"/>
  <c r="N39" i="78"/>
  <c r="M18" i="91" s="1"/>
  <c r="M40" i="78"/>
  <c r="N40" i="78"/>
  <c r="M19" i="91" s="1"/>
  <c r="M41" i="78"/>
  <c r="N20" i="87" s="1"/>
  <c r="N41" i="78"/>
  <c r="M20" i="91" s="1"/>
  <c r="M42" i="78"/>
  <c r="I21" i="91" s="1"/>
  <c r="N42" i="78"/>
  <c r="M21" i="91" s="1"/>
  <c r="M43" i="78"/>
  <c r="N22" i="87" s="1"/>
  <c r="N43" i="78"/>
  <c r="M22" i="91" s="1"/>
  <c r="M44" i="78"/>
  <c r="N23" i="87" s="1"/>
  <c r="N44" i="78"/>
  <c r="M23" i="91" s="1"/>
  <c r="M45" i="78"/>
  <c r="N24" i="87" s="1"/>
  <c r="N45" i="78"/>
  <c r="M24" i="91" s="1"/>
  <c r="M46" i="78"/>
  <c r="I25" i="91" s="1"/>
  <c r="N46" i="78"/>
  <c r="M25" i="91" s="1"/>
  <c r="M47" i="78"/>
  <c r="I26" i="91" s="1"/>
  <c r="N47" i="78"/>
  <c r="M26" i="91" s="1"/>
  <c r="M48" i="78"/>
  <c r="I27" i="91" s="1"/>
  <c r="N48" i="78"/>
  <c r="M27" i="91" s="1"/>
  <c r="N29" i="78"/>
  <c r="M8" i="91" s="1"/>
  <c r="M29" i="78"/>
  <c r="I8" i="91" s="1"/>
  <c r="C28" i="78"/>
  <c r="D28" i="78"/>
  <c r="B28" i="78"/>
  <c r="F5" i="78"/>
  <c r="G5" i="78"/>
  <c r="H5" i="78"/>
  <c r="I5" i="78"/>
  <c r="J5" i="78"/>
  <c r="M5" i="78"/>
  <c r="M9" i="87" s="1"/>
  <c r="N5" i="78"/>
  <c r="L9" i="91" s="1"/>
  <c r="F6" i="78"/>
  <c r="G6" i="78"/>
  <c r="H6" i="78"/>
  <c r="I6" i="78"/>
  <c r="J6" i="78"/>
  <c r="M6" i="78"/>
  <c r="N6" i="78"/>
  <c r="L10" i="91" s="1"/>
  <c r="F7" i="78"/>
  <c r="G7" i="78"/>
  <c r="H7" i="78"/>
  <c r="I7" i="78"/>
  <c r="J7" i="78"/>
  <c r="M7" i="78"/>
  <c r="M11" i="87" s="1"/>
  <c r="N7" i="78"/>
  <c r="L11" i="91" s="1"/>
  <c r="F8" i="78"/>
  <c r="G8" i="78"/>
  <c r="H8" i="78"/>
  <c r="I8" i="78"/>
  <c r="J8" i="78"/>
  <c r="M8" i="78"/>
  <c r="H12" i="91" s="1"/>
  <c r="N8" i="78"/>
  <c r="L12" i="91" s="1"/>
  <c r="F9" i="78"/>
  <c r="G9" i="78"/>
  <c r="H9" i="78"/>
  <c r="I9" i="78"/>
  <c r="J9" i="78"/>
  <c r="M9" i="78"/>
  <c r="N9" i="78"/>
  <c r="L13" i="91" s="1"/>
  <c r="F10" i="78"/>
  <c r="G10" i="78"/>
  <c r="H10" i="78"/>
  <c r="I10" i="78"/>
  <c r="J10" i="78"/>
  <c r="M10" i="78"/>
  <c r="H14" i="91" s="1"/>
  <c r="N10" i="78"/>
  <c r="L14" i="91" s="1"/>
  <c r="F11" i="78"/>
  <c r="G11" i="78"/>
  <c r="H11" i="78"/>
  <c r="I11" i="78"/>
  <c r="J11" i="78"/>
  <c r="M11" i="78"/>
  <c r="N11" i="78"/>
  <c r="L15" i="91" s="1"/>
  <c r="F12" i="78"/>
  <c r="G12" i="78"/>
  <c r="H12" i="78"/>
  <c r="I12" i="78"/>
  <c r="J12" i="78"/>
  <c r="M12" i="78"/>
  <c r="H16" i="91" s="1"/>
  <c r="N12" i="78"/>
  <c r="L16" i="91" s="1"/>
  <c r="F13" i="78"/>
  <c r="G13" i="78"/>
  <c r="H13" i="78"/>
  <c r="I13" i="78"/>
  <c r="J13" i="78"/>
  <c r="M13" i="78"/>
  <c r="H17" i="91" s="1"/>
  <c r="N13" i="78"/>
  <c r="L17" i="91" s="1"/>
  <c r="F14" i="78"/>
  <c r="G14" i="78"/>
  <c r="H14" i="78"/>
  <c r="I14" i="78"/>
  <c r="J14" i="78"/>
  <c r="M14" i="78"/>
  <c r="H18" i="91" s="1"/>
  <c r="N14" i="78"/>
  <c r="L18" i="91" s="1"/>
  <c r="F15" i="78"/>
  <c r="G15" i="78"/>
  <c r="H15" i="78"/>
  <c r="I15" i="78"/>
  <c r="J15" i="78"/>
  <c r="M15" i="78"/>
  <c r="M19" i="87" s="1"/>
  <c r="N15" i="78"/>
  <c r="L19" i="91" s="1"/>
  <c r="F16" i="78"/>
  <c r="G16" i="78"/>
  <c r="H16" i="78"/>
  <c r="I16" i="78"/>
  <c r="J16" i="78"/>
  <c r="M16" i="78"/>
  <c r="N16" i="78"/>
  <c r="L20" i="91" s="1"/>
  <c r="F17" i="78"/>
  <c r="G17" i="78"/>
  <c r="H17" i="78"/>
  <c r="I17" i="78"/>
  <c r="J17" i="78"/>
  <c r="M17" i="78"/>
  <c r="M21" i="87" s="1"/>
  <c r="N17" i="78"/>
  <c r="L21" i="91" s="1"/>
  <c r="F18" i="78"/>
  <c r="G18" i="78"/>
  <c r="H18" i="78"/>
  <c r="I18" i="78"/>
  <c r="J18" i="78"/>
  <c r="M18" i="78"/>
  <c r="H22" i="91" s="1"/>
  <c r="N18" i="78"/>
  <c r="L22" i="91" s="1"/>
  <c r="F19" i="78"/>
  <c r="G19" i="78"/>
  <c r="H19" i="78"/>
  <c r="I19" i="78"/>
  <c r="J19" i="78"/>
  <c r="M19" i="78"/>
  <c r="H23" i="91" s="1"/>
  <c r="N19" i="78"/>
  <c r="L23" i="91" s="1"/>
  <c r="F20" i="78"/>
  <c r="G20" i="78"/>
  <c r="H20" i="78"/>
  <c r="I20" i="78"/>
  <c r="J20" i="78"/>
  <c r="M20" i="78"/>
  <c r="M24" i="87" s="1"/>
  <c r="N20" i="78"/>
  <c r="L24" i="91" s="1"/>
  <c r="F21" i="78"/>
  <c r="G21" i="78"/>
  <c r="H21" i="78"/>
  <c r="I21" i="78"/>
  <c r="J21" i="78"/>
  <c r="M21" i="78"/>
  <c r="H25" i="91" s="1"/>
  <c r="N21" i="78"/>
  <c r="L25" i="91" s="1"/>
  <c r="F22" i="78"/>
  <c r="G22" i="78"/>
  <c r="H22" i="78"/>
  <c r="I22" i="78"/>
  <c r="J22" i="78"/>
  <c r="M22" i="78"/>
  <c r="M26" i="87" s="1"/>
  <c r="N22" i="78"/>
  <c r="L26" i="91" s="1"/>
  <c r="F23" i="78"/>
  <c r="G23" i="78"/>
  <c r="H23" i="78"/>
  <c r="I23" i="78"/>
  <c r="J23" i="78"/>
  <c r="M23" i="78"/>
  <c r="H27" i="91" s="1"/>
  <c r="N23" i="78"/>
  <c r="L27" i="91" s="1"/>
  <c r="N4" i="78"/>
  <c r="L8" i="91" s="1"/>
  <c r="M4" i="78"/>
  <c r="M8" i="87" s="1"/>
  <c r="N3" i="78"/>
  <c r="N28" i="78" s="1"/>
  <c r="M3" i="78"/>
  <c r="M28" i="78" s="1"/>
  <c r="L3" i="78"/>
  <c r="L28" i="78" s="1"/>
  <c r="G4" i="78"/>
  <c r="H4" i="78"/>
  <c r="I4" i="78"/>
  <c r="J4" i="78"/>
  <c r="F4" i="78"/>
  <c r="K3" i="78"/>
  <c r="K28" i="78" s="1"/>
  <c r="I27" i="63"/>
  <c r="J27" i="63"/>
  <c r="H27" i="63"/>
  <c r="F27" i="63"/>
  <c r="E27" i="63"/>
  <c r="D27" i="63"/>
  <c r="H27" i="62"/>
  <c r="G27" i="62"/>
  <c r="F27" i="62"/>
  <c r="D21" i="62"/>
  <c r="I21" i="62"/>
  <c r="R43" i="78" s="1"/>
  <c r="Q22" i="91" s="1"/>
  <c r="D22" i="62"/>
  <c r="I22" i="62"/>
  <c r="R44" i="78" s="1"/>
  <c r="Q23" i="91" s="1"/>
  <c r="D23" i="62"/>
  <c r="I23" i="62"/>
  <c r="R45" i="78" s="1"/>
  <c r="Q24" i="91" s="1"/>
  <c r="D24" i="62"/>
  <c r="I24" i="62"/>
  <c r="R46" i="78" s="1"/>
  <c r="Q25" i="91" s="1"/>
  <c r="D25" i="62"/>
  <c r="I25" i="62"/>
  <c r="R47" i="78" s="1"/>
  <c r="Q26" i="91" s="1"/>
  <c r="D26" i="62"/>
  <c r="D11" i="62"/>
  <c r="I11" i="62"/>
  <c r="R33" i="78" s="1"/>
  <c r="Q12" i="91" s="1"/>
  <c r="D12" i="62"/>
  <c r="I12" i="62"/>
  <c r="R34" i="78" s="1"/>
  <c r="Q13" i="91" s="1"/>
  <c r="D13" i="62"/>
  <c r="I13" i="62"/>
  <c r="R35" i="78" s="1"/>
  <c r="Q14" i="91" s="1"/>
  <c r="D14" i="62"/>
  <c r="I14" i="62"/>
  <c r="R36" i="78" s="1"/>
  <c r="Q15" i="91" s="1"/>
  <c r="D15" i="62"/>
  <c r="I15" i="62"/>
  <c r="R37" i="78" s="1"/>
  <c r="Q16" i="91" s="1"/>
  <c r="D16" i="62"/>
  <c r="I16" i="62"/>
  <c r="R38" i="78" s="1"/>
  <c r="Q17" i="91" s="1"/>
  <c r="D17" i="62"/>
  <c r="I17" i="62"/>
  <c r="R39" i="78" s="1"/>
  <c r="Q18" i="91" s="1"/>
  <c r="D18" i="62"/>
  <c r="I18" i="62"/>
  <c r="R40" i="78" s="1"/>
  <c r="Q19" i="91" s="1"/>
  <c r="D19" i="62"/>
  <c r="I19" i="62"/>
  <c r="R41" i="78" s="1"/>
  <c r="Q20" i="91" s="1"/>
  <c r="D20" i="62"/>
  <c r="I20" i="62"/>
  <c r="R42" i="78" s="1"/>
  <c r="Q21" i="91" s="1"/>
  <c r="D9" i="62"/>
  <c r="I9" i="62"/>
  <c r="R31" i="78" s="1"/>
  <c r="Q10" i="91" s="1"/>
  <c r="D10" i="62"/>
  <c r="I10" i="62"/>
  <c r="R32" i="78" s="1"/>
  <c r="Q11" i="91" s="1"/>
  <c r="I8" i="62"/>
  <c r="R30" i="78" s="1"/>
  <c r="Q9" i="91" s="1"/>
  <c r="I7" i="62"/>
  <c r="R29" i="78" s="1"/>
  <c r="Q8" i="91" s="1"/>
  <c r="F26" i="72"/>
  <c r="G26" i="72"/>
  <c r="H8" i="72"/>
  <c r="N8" i="72" s="1"/>
  <c r="H9" i="72"/>
  <c r="N9" i="72" s="1"/>
  <c r="H10" i="72"/>
  <c r="N10" i="72" s="1"/>
  <c r="H11" i="72"/>
  <c r="N11" i="72" s="1"/>
  <c r="H12" i="72"/>
  <c r="N12" i="72" s="1"/>
  <c r="H13" i="72"/>
  <c r="N13" i="72" s="1"/>
  <c r="H14" i="72"/>
  <c r="N14" i="72" s="1"/>
  <c r="H15" i="72"/>
  <c r="N15" i="72" s="1"/>
  <c r="H16" i="72"/>
  <c r="N16" i="72" s="1"/>
  <c r="H17" i="72"/>
  <c r="N17" i="72" s="1"/>
  <c r="H18" i="72"/>
  <c r="N18" i="72" s="1"/>
  <c r="H19" i="72"/>
  <c r="N19" i="72" s="1"/>
  <c r="H20" i="72"/>
  <c r="N20" i="72" s="1"/>
  <c r="H21" i="72"/>
  <c r="N21" i="72" s="1"/>
  <c r="H22" i="72"/>
  <c r="N22" i="72" s="1"/>
  <c r="H23" i="72"/>
  <c r="N23" i="72" s="1"/>
  <c r="H24" i="72"/>
  <c r="N24" i="72" s="1"/>
  <c r="H25" i="72"/>
  <c r="N25" i="72" s="1"/>
  <c r="H7" i="72"/>
  <c r="N7" i="72" s="1"/>
  <c r="H6" i="72"/>
  <c r="N6" i="72" s="1"/>
  <c r="E26" i="72"/>
  <c r="G26" i="61"/>
  <c r="E26" i="61"/>
  <c r="D26" i="61"/>
  <c r="I91" i="60"/>
  <c r="I87" i="60"/>
  <c r="C28" i="62" s="1"/>
  <c r="I84" i="60"/>
  <c r="I83" i="60"/>
  <c r="I82" i="60"/>
  <c r="H81" i="60"/>
  <c r="J48" i="78" s="1"/>
  <c r="G81" i="60"/>
  <c r="I48" i="78" s="1"/>
  <c r="F81" i="60"/>
  <c r="H48" i="78" s="1"/>
  <c r="E81" i="60"/>
  <c r="G48" i="78" s="1"/>
  <c r="D81" i="60"/>
  <c r="F48" i="78" s="1"/>
  <c r="I80" i="60"/>
  <c r="I79" i="60"/>
  <c r="I78" i="60"/>
  <c r="H77" i="60"/>
  <c r="J47" i="78" s="1"/>
  <c r="G77" i="60"/>
  <c r="I47" i="78" s="1"/>
  <c r="F77" i="60"/>
  <c r="H47" i="78" s="1"/>
  <c r="E77" i="60"/>
  <c r="G47" i="78" s="1"/>
  <c r="D77" i="60"/>
  <c r="F47" i="78" s="1"/>
  <c r="I76" i="60"/>
  <c r="I75" i="60"/>
  <c r="I74" i="60"/>
  <c r="H73" i="60"/>
  <c r="J46" i="78" s="1"/>
  <c r="G73" i="60"/>
  <c r="I46" i="78" s="1"/>
  <c r="F73" i="60"/>
  <c r="H46" i="78" s="1"/>
  <c r="E73" i="60"/>
  <c r="G46" i="78" s="1"/>
  <c r="D73" i="60"/>
  <c r="F46" i="78" s="1"/>
  <c r="I72" i="60"/>
  <c r="I71" i="60"/>
  <c r="I70" i="60"/>
  <c r="H69" i="60"/>
  <c r="J45" i="78" s="1"/>
  <c r="G69" i="60"/>
  <c r="I45" i="78" s="1"/>
  <c r="F69" i="60"/>
  <c r="H45" i="78" s="1"/>
  <c r="E69" i="60"/>
  <c r="G45" i="78" s="1"/>
  <c r="D69" i="60"/>
  <c r="I68" i="60"/>
  <c r="I67" i="60"/>
  <c r="I66" i="60"/>
  <c r="H65" i="60"/>
  <c r="J44" i="78" s="1"/>
  <c r="G65" i="60"/>
  <c r="I44" i="78" s="1"/>
  <c r="F65" i="60"/>
  <c r="E65" i="60"/>
  <c r="G44" i="78" s="1"/>
  <c r="D65" i="60"/>
  <c r="F44" i="78" s="1"/>
  <c r="I64" i="60"/>
  <c r="I63" i="60"/>
  <c r="I62" i="60"/>
  <c r="H61" i="60"/>
  <c r="J43" i="78" s="1"/>
  <c r="G61" i="60"/>
  <c r="I43" i="78" s="1"/>
  <c r="F61" i="60"/>
  <c r="H43" i="78" s="1"/>
  <c r="E61" i="60"/>
  <c r="G43" i="78" s="1"/>
  <c r="D61" i="60"/>
  <c r="F43" i="78" s="1"/>
  <c r="I60" i="60"/>
  <c r="I59" i="60"/>
  <c r="I58" i="60"/>
  <c r="H57" i="60"/>
  <c r="J42" i="78" s="1"/>
  <c r="G57" i="60"/>
  <c r="I42" i="78" s="1"/>
  <c r="F57" i="60"/>
  <c r="H42" i="78" s="1"/>
  <c r="E57" i="60"/>
  <c r="G42" i="78" s="1"/>
  <c r="D57" i="60"/>
  <c r="I56" i="60"/>
  <c r="I55" i="60"/>
  <c r="I54" i="60"/>
  <c r="H53" i="60"/>
  <c r="J41" i="78" s="1"/>
  <c r="G53" i="60"/>
  <c r="I41" i="78" s="1"/>
  <c r="F53" i="60"/>
  <c r="H41" i="78" s="1"/>
  <c r="E53" i="60"/>
  <c r="G41" i="78" s="1"/>
  <c r="D53" i="60"/>
  <c r="I52" i="60"/>
  <c r="I51" i="60"/>
  <c r="I50" i="60"/>
  <c r="H49" i="60"/>
  <c r="J40" i="78" s="1"/>
  <c r="G49" i="60"/>
  <c r="I40" i="78" s="1"/>
  <c r="F49" i="60"/>
  <c r="H40" i="78" s="1"/>
  <c r="E49" i="60"/>
  <c r="G40" i="78" s="1"/>
  <c r="D49" i="60"/>
  <c r="F40" i="78" s="1"/>
  <c r="I48" i="60"/>
  <c r="I47" i="60"/>
  <c r="I46" i="60"/>
  <c r="H45" i="60"/>
  <c r="J39" i="78" s="1"/>
  <c r="G45" i="60"/>
  <c r="I39" i="78" s="1"/>
  <c r="F45" i="60"/>
  <c r="H39" i="78" s="1"/>
  <c r="E45" i="60"/>
  <c r="D45" i="60"/>
  <c r="F39" i="78" s="1"/>
  <c r="I44" i="60"/>
  <c r="I43" i="60"/>
  <c r="I42" i="60"/>
  <c r="H41" i="60"/>
  <c r="J38" i="78" s="1"/>
  <c r="G41" i="60"/>
  <c r="I38" i="78" s="1"/>
  <c r="F41" i="60"/>
  <c r="H38" i="78" s="1"/>
  <c r="E41" i="60"/>
  <c r="G38" i="78" s="1"/>
  <c r="D41" i="60"/>
  <c r="F38" i="78" s="1"/>
  <c r="I40" i="60"/>
  <c r="I39" i="60"/>
  <c r="I38" i="60"/>
  <c r="H37" i="60"/>
  <c r="J37" i="78" s="1"/>
  <c r="G37" i="60"/>
  <c r="I37" i="78" s="1"/>
  <c r="F37" i="60"/>
  <c r="H37" i="78" s="1"/>
  <c r="E37" i="60"/>
  <c r="G37" i="78" s="1"/>
  <c r="D37" i="60"/>
  <c r="I36" i="60"/>
  <c r="I35" i="60"/>
  <c r="I34" i="60"/>
  <c r="H33" i="60"/>
  <c r="J36" i="78" s="1"/>
  <c r="G33" i="60"/>
  <c r="I36" i="78" s="1"/>
  <c r="F33" i="60"/>
  <c r="H36" i="78" s="1"/>
  <c r="E33" i="60"/>
  <c r="G36" i="78" s="1"/>
  <c r="D33" i="60"/>
  <c r="I32" i="60"/>
  <c r="I31" i="60"/>
  <c r="I30" i="60"/>
  <c r="H29" i="60"/>
  <c r="J35" i="78" s="1"/>
  <c r="G29" i="60"/>
  <c r="I35" i="78" s="1"/>
  <c r="F29" i="60"/>
  <c r="H35" i="78" s="1"/>
  <c r="E29" i="60"/>
  <c r="G35" i="78" s="1"/>
  <c r="D29" i="60"/>
  <c r="F35" i="78" s="1"/>
  <c r="I28" i="60"/>
  <c r="I27" i="60"/>
  <c r="I26" i="60"/>
  <c r="H25" i="60"/>
  <c r="J34" i="78" s="1"/>
  <c r="G25" i="60"/>
  <c r="I34" i="78" s="1"/>
  <c r="F25" i="60"/>
  <c r="H34" i="78" s="1"/>
  <c r="E25" i="60"/>
  <c r="G34" i="78" s="1"/>
  <c r="D25" i="60"/>
  <c r="F34" i="78" s="1"/>
  <c r="I24" i="60"/>
  <c r="I23" i="60"/>
  <c r="I22" i="60"/>
  <c r="H21" i="60"/>
  <c r="J33" i="78" s="1"/>
  <c r="G21" i="60"/>
  <c r="I33" i="78" s="1"/>
  <c r="F21" i="60"/>
  <c r="H33" i="78" s="1"/>
  <c r="E21" i="60"/>
  <c r="G33" i="78" s="1"/>
  <c r="D21" i="60"/>
  <c r="F33" i="78" s="1"/>
  <c r="I20" i="60"/>
  <c r="I19" i="60"/>
  <c r="I18" i="60"/>
  <c r="H17" i="60"/>
  <c r="G17" i="60"/>
  <c r="I32" i="78" s="1"/>
  <c r="F17" i="60"/>
  <c r="H32" i="78" s="1"/>
  <c r="E17" i="60"/>
  <c r="G32" i="78" s="1"/>
  <c r="D17" i="60"/>
  <c r="F32" i="78" s="1"/>
  <c r="I16" i="60"/>
  <c r="I15" i="60"/>
  <c r="I14" i="60"/>
  <c r="H13" i="60"/>
  <c r="J31" i="78" s="1"/>
  <c r="G13" i="60"/>
  <c r="I31" i="78" s="1"/>
  <c r="F13" i="60"/>
  <c r="E13" i="60"/>
  <c r="G31" i="78" s="1"/>
  <c r="D13" i="60"/>
  <c r="F31" i="78" s="1"/>
  <c r="B9" i="60"/>
  <c r="B13" i="60" s="1"/>
  <c r="B17" i="60" s="1"/>
  <c r="B21" i="60" s="1"/>
  <c r="B25" i="60" s="1"/>
  <c r="B29" i="60" s="1"/>
  <c r="B33" i="60" s="1"/>
  <c r="B37" i="60" s="1"/>
  <c r="B41" i="60" s="1"/>
  <c r="B45" i="60" s="1"/>
  <c r="B49" i="60" s="1"/>
  <c r="B53" i="60" s="1"/>
  <c r="B57" i="60" s="1"/>
  <c r="B61" i="60" s="1"/>
  <c r="B65" i="60" s="1"/>
  <c r="B69" i="60" s="1"/>
  <c r="B73" i="60" s="1"/>
  <c r="B77" i="60" s="1"/>
  <c r="B81" i="60" s="1"/>
  <c r="I12" i="60"/>
  <c r="I11" i="60"/>
  <c r="I10" i="60"/>
  <c r="H9" i="60"/>
  <c r="J30" i="78" s="1"/>
  <c r="G9" i="60"/>
  <c r="I30" i="78" s="1"/>
  <c r="F9" i="60"/>
  <c r="H30" i="78" s="1"/>
  <c r="E9" i="60"/>
  <c r="G30" i="78" s="1"/>
  <c r="D9" i="60"/>
  <c r="F30" i="78" s="1"/>
  <c r="H5" i="60"/>
  <c r="J29" i="78" s="1"/>
  <c r="G5" i="60"/>
  <c r="I29" i="78" s="1"/>
  <c r="F5" i="60"/>
  <c r="H29" i="78" s="1"/>
  <c r="E5" i="60"/>
  <c r="G29" i="78" s="1"/>
  <c r="D5" i="60"/>
  <c r="F29" i="78" s="1"/>
  <c r="I8" i="60"/>
  <c r="I7" i="60"/>
  <c r="I6" i="60"/>
  <c r="H4" i="60"/>
  <c r="H87" i="60" s="1"/>
  <c r="G4" i="60"/>
  <c r="G87" i="60" s="1"/>
  <c r="F4" i="60"/>
  <c r="F87" i="60" s="1"/>
  <c r="E4" i="60"/>
  <c r="E87" i="60" s="1"/>
  <c r="D4" i="60"/>
  <c r="D87" i="60" s="1"/>
  <c r="G6" i="55"/>
  <c r="E6" i="55"/>
  <c r="G26" i="54"/>
  <c r="E26" i="54"/>
  <c r="D26" i="54"/>
  <c r="H26" i="53"/>
  <c r="D25" i="68" s="1"/>
  <c r="I6" i="53"/>
  <c r="F6" i="68" s="1"/>
  <c r="G6" i="68" s="1"/>
  <c r="H6" i="68" s="1"/>
  <c r="I7" i="53"/>
  <c r="F7" i="68" s="1"/>
  <c r="G7" i="68" s="1"/>
  <c r="H7" i="68" s="1"/>
  <c r="I8" i="53"/>
  <c r="F8" i="68" s="1"/>
  <c r="G8" i="68" s="1"/>
  <c r="H8" i="68" s="1"/>
  <c r="I10" i="53"/>
  <c r="F10" i="68" s="1"/>
  <c r="G10" i="68" s="1"/>
  <c r="H10" i="68" s="1"/>
  <c r="I11" i="53"/>
  <c r="F11" i="68" s="1"/>
  <c r="G11" i="68" s="1"/>
  <c r="H11" i="68" s="1"/>
  <c r="I12" i="53"/>
  <c r="F12" i="68" s="1"/>
  <c r="G12" i="68" s="1"/>
  <c r="H12" i="68" s="1"/>
  <c r="I13" i="53"/>
  <c r="F13" i="68" s="1"/>
  <c r="G13" i="68" s="1"/>
  <c r="H13" i="68" s="1"/>
  <c r="I14" i="53"/>
  <c r="F14" i="68" s="1"/>
  <c r="G14" i="68" s="1"/>
  <c r="H14" i="68" s="1"/>
  <c r="I15" i="53"/>
  <c r="F15" i="68" s="1"/>
  <c r="G15" i="68" s="1"/>
  <c r="H15" i="68" s="1"/>
  <c r="I16" i="53"/>
  <c r="F16" i="68" s="1"/>
  <c r="G16" i="68" s="1"/>
  <c r="H16" i="68" s="1"/>
  <c r="I17" i="53"/>
  <c r="F17" i="68" s="1"/>
  <c r="G17" i="68" s="1"/>
  <c r="H17" i="68" s="1"/>
  <c r="I18" i="53"/>
  <c r="F18" i="68" s="1"/>
  <c r="G18" i="68" s="1"/>
  <c r="H18" i="68" s="1"/>
  <c r="I19" i="53"/>
  <c r="F19" i="68" s="1"/>
  <c r="G19" i="68" s="1"/>
  <c r="H19" i="68" s="1"/>
  <c r="I20" i="53"/>
  <c r="F20" i="68" s="1"/>
  <c r="G20" i="68" s="1"/>
  <c r="H20" i="68" s="1"/>
  <c r="I21" i="53"/>
  <c r="F21" i="68" s="1"/>
  <c r="G21" i="68" s="1"/>
  <c r="H21" i="68" s="1"/>
  <c r="I22" i="53"/>
  <c r="F22" i="68" s="1"/>
  <c r="G22" i="68" s="1"/>
  <c r="H22" i="68" s="1"/>
  <c r="I23" i="53"/>
  <c r="F23" i="68" s="1"/>
  <c r="G23" i="68" s="1"/>
  <c r="H23" i="68" s="1"/>
  <c r="I24" i="53"/>
  <c r="F24" i="68" s="1"/>
  <c r="G24" i="68" s="1"/>
  <c r="H24" i="68" s="1"/>
  <c r="I5" i="53"/>
  <c r="F5" i="68" s="1"/>
  <c r="E25" i="53"/>
  <c r="F25" i="53"/>
  <c r="G25" i="53"/>
  <c r="H25" i="53"/>
  <c r="D25" i="53"/>
  <c r="H4" i="53"/>
  <c r="J3" i="78" s="1"/>
  <c r="B38" i="79" s="1"/>
  <c r="B13" i="80" s="1"/>
  <c r="G4" i="53"/>
  <c r="I3" i="78" s="1"/>
  <c r="B37" i="79" s="1"/>
  <c r="B12" i="80" s="1"/>
  <c r="F4" i="53"/>
  <c r="H3" i="78" s="1"/>
  <c r="E4" i="53"/>
  <c r="G3" i="78" s="1"/>
  <c r="D4" i="53"/>
  <c r="F3" i="78" s="1"/>
  <c r="F2" i="45"/>
  <c r="C10" i="94" s="1"/>
  <c r="C11" i="94" s="1"/>
  <c r="B6" i="86"/>
  <c r="N9" i="87"/>
  <c r="N27" i="87"/>
  <c r="C16" i="67" l="1"/>
  <c r="D9" i="68"/>
  <c r="D17" i="72"/>
  <c r="C11" i="67"/>
  <c r="C18" i="67"/>
  <c r="C18" i="96"/>
  <c r="B15" i="78"/>
  <c r="D15" i="78" s="1"/>
  <c r="D19" i="91" s="1"/>
  <c r="D16" i="68"/>
  <c r="C16" i="53"/>
  <c r="N16" i="53" s="1"/>
  <c r="C18" i="63"/>
  <c r="C17" i="61"/>
  <c r="D24" i="68"/>
  <c r="N24" i="68" s="1"/>
  <c r="C17" i="54"/>
  <c r="C49" i="60"/>
  <c r="C20" i="75"/>
  <c r="D20" i="75" s="1"/>
  <c r="C17" i="74"/>
  <c r="O17" i="74" s="1"/>
  <c r="C81" i="60"/>
  <c r="C26" i="63"/>
  <c r="C25" i="54"/>
  <c r="N25" i="54" s="1"/>
  <c r="C25" i="61"/>
  <c r="N25" i="61" s="1"/>
  <c r="C24" i="61"/>
  <c r="N24" i="61" s="1"/>
  <c r="C16" i="96"/>
  <c r="C24" i="54"/>
  <c r="N24" i="54" s="1"/>
  <c r="D24" i="72"/>
  <c r="C18" i="87"/>
  <c r="N25" i="87"/>
  <c r="C16" i="63"/>
  <c r="W54" i="75"/>
  <c r="C25" i="63"/>
  <c r="D15" i="72"/>
  <c r="C15" i="74"/>
  <c r="O15" i="74" s="1"/>
  <c r="C11" i="61"/>
  <c r="I15" i="91"/>
  <c r="B24" i="78"/>
  <c r="B49" i="78" s="1"/>
  <c r="L21" i="52"/>
  <c r="N21" i="87"/>
  <c r="M25" i="87"/>
  <c r="M23" i="87"/>
  <c r="H24" i="91"/>
  <c r="B28" i="83"/>
  <c r="Q28" i="83" s="1"/>
  <c r="B39" i="79"/>
  <c r="B14" i="80" s="1"/>
  <c r="H54" i="75"/>
  <c r="H55" i="75" s="1"/>
  <c r="C23" i="67"/>
  <c r="S54" i="75"/>
  <c r="C15" i="63"/>
  <c r="N13" i="87"/>
  <c r="C14" i="54"/>
  <c r="M22" i="87"/>
  <c r="D10" i="72"/>
  <c r="D13" i="68"/>
  <c r="N13" i="68" s="1"/>
  <c r="C21" i="61"/>
  <c r="N21" i="61" s="1"/>
  <c r="C69" i="60"/>
  <c r="L9" i="52"/>
  <c r="C22" i="74"/>
  <c r="O22" i="74" s="1"/>
  <c r="C23" i="63"/>
  <c r="I24" i="91"/>
  <c r="D21" i="68"/>
  <c r="N21" i="68" s="1"/>
  <c r="C16" i="87"/>
  <c r="C37" i="60"/>
  <c r="D14" i="72"/>
  <c r="C24" i="87"/>
  <c r="C7" i="61"/>
  <c r="D22" i="72"/>
  <c r="B12" i="78"/>
  <c r="B16" i="91" s="1"/>
  <c r="C14" i="61"/>
  <c r="C25" i="75"/>
  <c r="D25" i="75" s="1"/>
  <c r="M14" i="87"/>
  <c r="H26" i="91"/>
  <c r="I16" i="91"/>
  <c r="H19" i="91"/>
  <c r="C7" i="54"/>
  <c r="B16" i="78"/>
  <c r="B67" i="78" s="1"/>
  <c r="C22" i="54"/>
  <c r="N22" i="54" s="1"/>
  <c r="C23" i="96"/>
  <c r="I20" i="91"/>
  <c r="C15" i="67"/>
  <c r="C22" i="63"/>
  <c r="B20" i="78"/>
  <c r="B19" i="77" s="1"/>
  <c r="C22" i="61"/>
  <c r="N22" i="61" s="1"/>
  <c r="C17" i="75"/>
  <c r="D17" i="75" s="1"/>
  <c r="N8" i="87"/>
  <c r="B29" i="79"/>
  <c r="B29" i="76" s="1"/>
  <c r="L29" i="76" s="1"/>
  <c r="C25" i="60"/>
  <c r="D10" i="68"/>
  <c r="N10" i="68" s="1"/>
  <c r="I22" i="91"/>
  <c r="C10" i="53"/>
  <c r="N10" i="53" s="1"/>
  <c r="C6" i="74"/>
  <c r="O6" i="74" s="1"/>
  <c r="C7" i="67"/>
  <c r="C11" i="54"/>
  <c r="H48" i="79"/>
  <c r="M14" i="81" s="1"/>
  <c r="N14" i="81" s="1"/>
  <c r="G48" i="79"/>
  <c r="K14" i="81" s="1"/>
  <c r="L14" i="81" s="1"/>
  <c r="F6" i="87"/>
  <c r="K6" i="87" s="1"/>
  <c r="P6" i="87" s="1"/>
  <c r="H21" i="91"/>
  <c r="M17" i="87"/>
  <c r="N16" i="68"/>
  <c r="I14" i="91"/>
  <c r="K21" i="78"/>
  <c r="F25" i="91" s="1"/>
  <c r="C9" i="75"/>
  <c r="D9" i="75" s="1"/>
  <c r="I53" i="60"/>
  <c r="K23" i="78"/>
  <c r="F27" i="91" s="1"/>
  <c r="D6" i="72"/>
  <c r="I45" i="60"/>
  <c r="C7" i="62"/>
  <c r="P7" i="62" s="1"/>
  <c r="K43" i="78"/>
  <c r="I22" i="87" s="1"/>
  <c r="R54" i="75"/>
  <c r="I28" i="78"/>
  <c r="I65" i="60"/>
  <c r="C6" i="54"/>
  <c r="C7" i="63"/>
  <c r="C6" i="61"/>
  <c r="K18" i="78"/>
  <c r="F22" i="91" s="1"/>
  <c r="N25" i="68"/>
  <c r="C10" i="54"/>
  <c r="C24" i="75"/>
  <c r="D24" i="75" s="1"/>
  <c r="C18" i="54"/>
  <c r="N27" i="96"/>
  <c r="N17" i="87"/>
  <c r="G39" i="78"/>
  <c r="K39" i="78" s="1"/>
  <c r="K40" i="78"/>
  <c r="G19" i="91" s="1"/>
  <c r="F41" i="78"/>
  <c r="K41" i="78" s="1"/>
  <c r="H44" i="78"/>
  <c r="K44" i="78" s="1"/>
  <c r="I23" i="87" s="1"/>
  <c r="K20" i="78"/>
  <c r="F24" i="91" s="1"/>
  <c r="K19" i="78"/>
  <c r="H23" i="87" s="1"/>
  <c r="M16" i="87"/>
  <c r="C10" i="74"/>
  <c r="O10" i="74" s="1"/>
  <c r="C20" i="53"/>
  <c r="N20" i="53" s="1"/>
  <c r="P50" i="78"/>
  <c r="D8" i="72"/>
  <c r="C11" i="63"/>
  <c r="D21" i="72"/>
  <c r="D20" i="68"/>
  <c r="N20" i="68" s="1"/>
  <c r="C65" i="60"/>
  <c r="Q54" i="75"/>
  <c r="L20" i="52"/>
  <c r="C22" i="96"/>
  <c r="I57" i="60"/>
  <c r="B8" i="78"/>
  <c r="C10" i="61"/>
  <c r="B19" i="78"/>
  <c r="B23" i="91" s="1"/>
  <c r="C21" i="54"/>
  <c r="N21" i="54" s="1"/>
  <c r="C21" i="75"/>
  <c r="D21" i="75" s="1"/>
  <c r="C19" i="96"/>
  <c r="O7" i="64"/>
  <c r="C3" i="64" s="1"/>
  <c r="M27" i="87"/>
  <c r="M18" i="87"/>
  <c r="K47" i="78"/>
  <c r="G26" i="91" s="1"/>
  <c r="K13" i="78"/>
  <c r="F17" i="91" s="1"/>
  <c r="C21" i="60"/>
  <c r="C12" i="87"/>
  <c r="C19" i="67"/>
  <c r="C14" i="63"/>
  <c r="C23" i="87"/>
  <c r="C9" i="53"/>
  <c r="N9" i="53" s="1"/>
  <c r="I73" i="60"/>
  <c r="I11" i="91"/>
  <c r="I23" i="91"/>
  <c r="H9" i="91"/>
  <c r="K15" i="78"/>
  <c r="F19" i="91" s="1"/>
  <c r="K14" i="78"/>
  <c r="H18" i="87" s="1"/>
  <c r="C13" i="75"/>
  <c r="D13" i="75" s="1"/>
  <c r="C16" i="75"/>
  <c r="D16" i="75" s="1"/>
  <c r="C22" i="67"/>
  <c r="C11" i="96"/>
  <c r="C21" i="74"/>
  <c r="O21" i="74" s="1"/>
  <c r="F15" i="45"/>
  <c r="F13" i="45"/>
  <c r="I7" i="64" s="1"/>
  <c r="F13" i="64" s="1"/>
  <c r="K4" i="79" s="1"/>
  <c r="K9" i="82" s="1"/>
  <c r="F16" i="45"/>
  <c r="B8" i="82" s="1"/>
  <c r="F14" i="45"/>
  <c r="F10" i="51" s="1"/>
  <c r="K46" i="78"/>
  <c r="N26" i="87"/>
  <c r="M50" i="78"/>
  <c r="I18" i="91"/>
  <c r="B48" i="79"/>
  <c r="B14" i="81" s="1"/>
  <c r="F42" i="78"/>
  <c r="K42" i="78" s="1"/>
  <c r="K22" i="78"/>
  <c r="K17" i="78"/>
  <c r="D5" i="68"/>
  <c r="C5" i="60"/>
  <c r="R50" i="78"/>
  <c r="I25" i="78"/>
  <c r="C37" i="79" s="1"/>
  <c r="E12" i="80" s="1"/>
  <c r="I77" i="60"/>
  <c r="M37" i="87"/>
  <c r="J28" i="78"/>
  <c r="M54" i="75"/>
  <c r="M55" i="75" s="1"/>
  <c r="I81" i="60"/>
  <c r="J33" i="63"/>
  <c r="E4" i="79" s="1"/>
  <c r="E9" i="82" s="1"/>
  <c r="I12" i="91"/>
  <c r="B10" i="86"/>
  <c r="K16" i="78"/>
  <c r="G54" i="75"/>
  <c r="G55" i="75" s="1"/>
  <c r="C8" i="87"/>
  <c r="D6" i="68"/>
  <c r="N6" i="68" s="1"/>
  <c r="I41" i="60"/>
  <c r="K38" i="78"/>
  <c r="G17" i="91" s="1"/>
  <c r="I5" i="60"/>
  <c r="F12" i="55"/>
  <c r="H11" i="91"/>
  <c r="N25" i="78"/>
  <c r="E29" i="79"/>
  <c r="F29" i="76" s="1"/>
  <c r="H28" i="87" s="1"/>
  <c r="K4" i="78"/>
  <c r="F8" i="91" s="1"/>
  <c r="K9" i="78"/>
  <c r="F13" i="91" s="1"/>
  <c r="K8" i="78"/>
  <c r="F12" i="91" s="1"/>
  <c r="I25" i="53"/>
  <c r="I27" i="53" s="1"/>
  <c r="E48" i="79" s="1"/>
  <c r="E14" i="81" s="1"/>
  <c r="F14" i="81" s="1"/>
  <c r="K5" i="78"/>
  <c r="G30" i="87"/>
  <c r="C18" i="75"/>
  <c r="D18" i="75" s="1"/>
  <c r="C15" i="54"/>
  <c r="C17" i="87"/>
  <c r="B13" i="78"/>
  <c r="B38" i="78" s="1"/>
  <c r="C15" i="61"/>
  <c r="C41" i="60"/>
  <c r="D14" i="68"/>
  <c r="N14" i="68" s="1"/>
  <c r="L14" i="52"/>
  <c r="C13" i="53"/>
  <c r="N13" i="53" s="1"/>
  <c r="D19" i="68"/>
  <c r="N19" i="68" s="1"/>
  <c r="C21" i="63"/>
  <c r="C26" i="62"/>
  <c r="P26" i="62" s="1"/>
  <c r="C17" i="62"/>
  <c r="P17" i="62" s="1"/>
  <c r="B11" i="78"/>
  <c r="C14" i="67"/>
  <c r="D12" i="68"/>
  <c r="N12" i="68" s="1"/>
  <c r="L12" i="52"/>
  <c r="C13" i="74"/>
  <c r="O13" i="74" s="1"/>
  <c r="D18" i="72"/>
  <c r="D11" i="72"/>
  <c r="C23" i="75"/>
  <c r="D23" i="75" s="1"/>
  <c r="C20" i="87"/>
  <c r="C12" i="63"/>
  <c r="L24" i="52"/>
  <c r="C11" i="74"/>
  <c r="O11" i="74" s="1"/>
  <c r="C24" i="53"/>
  <c r="N24" i="53" s="1"/>
  <c r="C61" i="60"/>
  <c r="C15" i="87"/>
  <c r="C26" i="67"/>
  <c r="C20" i="61"/>
  <c r="D17" i="68"/>
  <c r="N17" i="68" s="1"/>
  <c r="C19" i="63"/>
  <c r="D13" i="72"/>
  <c r="L10" i="52"/>
  <c r="C20" i="74"/>
  <c r="O20" i="74" s="1"/>
  <c r="C14" i="96"/>
  <c r="C19" i="53"/>
  <c r="N19" i="53" s="1"/>
  <c r="C22" i="87"/>
  <c r="C20" i="54"/>
  <c r="B66" i="78"/>
  <c r="B23" i="78"/>
  <c r="C14" i="75"/>
  <c r="D14" i="75" s="1"/>
  <c r="C13" i="61"/>
  <c r="B9" i="78"/>
  <c r="C53" i="60"/>
  <c r="C18" i="61"/>
  <c r="L19" i="52"/>
  <c r="C18" i="74"/>
  <c r="O18" i="74" s="1"/>
  <c r="C26" i="96"/>
  <c r="C12" i="96"/>
  <c r="C12" i="53"/>
  <c r="N12" i="53" s="1"/>
  <c r="C21" i="67"/>
  <c r="C21" i="96"/>
  <c r="C33" i="60"/>
  <c r="C28" i="75"/>
  <c r="D28" i="75" s="1"/>
  <c r="C13" i="87"/>
  <c r="C13" i="54"/>
  <c r="D20" i="72"/>
  <c r="C12" i="67"/>
  <c r="B18" i="78"/>
  <c r="B22" i="91" s="1"/>
  <c r="L17" i="52"/>
  <c r="C14" i="74"/>
  <c r="O14" i="74" s="1"/>
  <c r="C9" i="67"/>
  <c r="B6" i="78"/>
  <c r="D6" i="78" s="1"/>
  <c r="D31" i="78" s="1"/>
  <c r="C9" i="62"/>
  <c r="P9" i="62" s="1"/>
  <c r="C9" i="63"/>
  <c r="C8" i="54"/>
  <c r="C13" i="60"/>
  <c r="C11" i="75"/>
  <c r="D11" i="75" s="1"/>
  <c r="D7" i="68"/>
  <c r="N7" i="68" s="1"/>
  <c r="C8" i="74"/>
  <c r="O8" i="74" s="1"/>
  <c r="C9" i="61"/>
  <c r="D9" i="72"/>
  <c r="C19" i="61"/>
  <c r="C20" i="63"/>
  <c r="C23" i="61"/>
  <c r="N23" i="61" s="1"/>
  <c r="D18" i="68"/>
  <c r="N18" i="68" s="1"/>
  <c r="L22" i="52"/>
  <c r="C19" i="74"/>
  <c r="O19" i="74" s="1"/>
  <c r="C20" i="96"/>
  <c r="B17" i="78"/>
  <c r="C24" i="63"/>
  <c r="C19" i="54"/>
  <c r="C21" i="87"/>
  <c r="C14" i="87"/>
  <c r="D19" i="72"/>
  <c r="B21" i="78"/>
  <c r="C21" i="78" s="1"/>
  <c r="C23" i="54"/>
  <c r="N23" i="54" s="1"/>
  <c r="D22" i="68"/>
  <c r="N22" i="68" s="1"/>
  <c r="C8" i="96"/>
  <c r="C22" i="75"/>
  <c r="D22" i="75" s="1"/>
  <c r="D23" i="72"/>
  <c r="C24" i="67"/>
  <c r="C23" i="74"/>
  <c r="O23" i="74" s="1"/>
  <c r="C26" i="75"/>
  <c r="D26" i="75" s="1"/>
  <c r="C20" i="67"/>
  <c r="C57" i="60"/>
  <c r="L18" i="52"/>
  <c r="C24" i="96"/>
  <c r="C25" i="62"/>
  <c r="P25" i="62" s="1"/>
  <c r="C18" i="53"/>
  <c r="N18" i="53" s="1"/>
  <c r="C73" i="60"/>
  <c r="C25" i="87"/>
  <c r="B29" i="78"/>
  <c r="E4" i="78"/>
  <c r="D4" i="78"/>
  <c r="B8" i="91"/>
  <c r="B55" i="78"/>
  <c r="B3" i="77"/>
  <c r="C4" i="78"/>
  <c r="C8" i="91" s="1"/>
  <c r="C9" i="87"/>
  <c r="C10" i="67"/>
  <c r="C27" i="75"/>
  <c r="D27" i="75" s="1"/>
  <c r="C13" i="67"/>
  <c r="D15" i="68"/>
  <c r="N15" i="68" s="1"/>
  <c r="L5" i="52"/>
  <c r="C24" i="62"/>
  <c r="P24" i="62" s="1"/>
  <c r="C16" i="62"/>
  <c r="P16" i="62" s="1"/>
  <c r="L11" i="52"/>
  <c r="D8" i="68"/>
  <c r="N8" i="68" s="1"/>
  <c r="C11" i="87"/>
  <c r="C26" i="87"/>
  <c r="C17" i="67"/>
  <c r="C24" i="74"/>
  <c r="O24" i="74" s="1"/>
  <c r="C25" i="96"/>
  <c r="C17" i="96"/>
  <c r="C11" i="53"/>
  <c r="N11" i="53" s="1"/>
  <c r="C10" i="75"/>
  <c r="D10" i="75" s="1"/>
  <c r="B7" i="78"/>
  <c r="B58" i="78" s="1"/>
  <c r="C17" i="60"/>
  <c r="D11" i="68"/>
  <c r="N11" i="68" s="1"/>
  <c r="D23" i="68"/>
  <c r="N23" i="68" s="1"/>
  <c r="B10" i="78"/>
  <c r="C8" i="63"/>
  <c r="C7" i="74"/>
  <c r="O7" i="74" s="1"/>
  <c r="C10" i="63"/>
  <c r="C9" i="60"/>
  <c r="C13" i="63"/>
  <c r="C12" i="61"/>
  <c r="C12" i="54"/>
  <c r="C15" i="75"/>
  <c r="D15" i="75" s="1"/>
  <c r="C25" i="67"/>
  <c r="C8" i="53"/>
  <c r="N8" i="53" s="1"/>
  <c r="B22" i="78"/>
  <c r="C12" i="74"/>
  <c r="O12" i="74" s="1"/>
  <c r="C8" i="62"/>
  <c r="P8" i="62" s="1"/>
  <c r="D7" i="72"/>
  <c r="C9" i="74"/>
  <c r="O9" i="74" s="1"/>
  <c r="C17" i="63"/>
  <c r="C16" i="61"/>
  <c r="C16" i="54"/>
  <c r="C45" i="60"/>
  <c r="D12" i="72"/>
  <c r="C77" i="60"/>
  <c r="B5" i="78"/>
  <c r="C9" i="54"/>
  <c r="N9" i="54" s="1"/>
  <c r="L23" i="52"/>
  <c r="L15" i="52"/>
  <c r="C13" i="96"/>
  <c r="C15" i="53"/>
  <c r="N15" i="53" s="1"/>
  <c r="C8" i="67"/>
  <c r="C10" i="62"/>
  <c r="P10" i="62" s="1"/>
  <c r="C19" i="75"/>
  <c r="D19" i="75" s="1"/>
  <c r="D16" i="72"/>
  <c r="C29" i="60"/>
  <c r="C6" i="53"/>
  <c r="N6" i="53" s="1"/>
  <c r="B14" i="78"/>
  <c r="C15" i="96"/>
  <c r="L13" i="52"/>
  <c r="C10" i="96"/>
  <c r="C12" i="75"/>
  <c r="D12" i="75" s="1"/>
  <c r="C8" i="61"/>
  <c r="C10" i="87"/>
  <c r="C9" i="96"/>
  <c r="L7" i="52"/>
  <c r="B11" i="86"/>
  <c r="R23" i="91"/>
  <c r="S50" i="78"/>
  <c r="B35" i="79"/>
  <c r="B10" i="80" s="1"/>
  <c r="G28" i="78"/>
  <c r="H20" i="91"/>
  <c r="M20" i="87"/>
  <c r="D19" i="78"/>
  <c r="M12" i="87"/>
  <c r="I49" i="60"/>
  <c r="G15" i="64"/>
  <c r="G37" i="87"/>
  <c r="G38" i="87" s="1"/>
  <c r="G39" i="87" s="1"/>
  <c r="G40" i="87" s="1"/>
  <c r="I37" i="60"/>
  <c r="H13" i="91"/>
  <c r="M13" i="87"/>
  <c r="M14" i="91"/>
  <c r="N50" i="78"/>
  <c r="I10" i="91"/>
  <c r="N10" i="87"/>
  <c r="H26" i="72"/>
  <c r="F28" i="78"/>
  <c r="B34" i="79"/>
  <c r="B9" i="80" s="1"/>
  <c r="K12" i="78"/>
  <c r="F25" i="78"/>
  <c r="C34" i="79" s="1"/>
  <c r="E9" i="80" s="1"/>
  <c r="K48" i="78"/>
  <c r="B36" i="79"/>
  <c r="B11" i="80" s="1"/>
  <c r="H28" i="78"/>
  <c r="F45" i="78"/>
  <c r="K45" i="78" s="1"/>
  <c r="I69" i="60"/>
  <c r="H25" i="78"/>
  <c r="C36" i="79" s="1"/>
  <c r="E11" i="80" s="1"/>
  <c r="N19" i="87"/>
  <c r="I19" i="91"/>
  <c r="P13" i="91"/>
  <c r="Q50" i="78"/>
  <c r="I61" i="60"/>
  <c r="F37" i="78"/>
  <c r="K37" i="78" s="1"/>
  <c r="H8" i="91"/>
  <c r="M25" i="78"/>
  <c r="H10" i="91"/>
  <c r="K6" i="78"/>
  <c r="F10" i="91" s="1"/>
  <c r="O50" i="78"/>
  <c r="G25" i="78"/>
  <c r="C35" i="79" s="1"/>
  <c r="E10" i="80" s="1"/>
  <c r="J25" i="78"/>
  <c r="C38" i="79" s="1"/>
  <c r="E13" i="80" s="1"/>
  <c r="K7" i="78"/>
  <c r="H11" i="87" s="1"/>
  <c r="H15" i="91"/>
  <c r="M15" i="87"/>
  <c r="K11" i="78"/>
  <c r="F15" i="91" s="1"/>
  <c r="D27" i="62"/>
  <c r="K10" i="78"/>
  <c r="F14" i="91" s="1"/>
  <c r="N9" i="68"/>
  <c r="C7" i="96"/>
  <c r="C5" i="53"/>
  <c r="N5" i="53" s="1"/>
  <c r="E21" i="97"/>
  <c r="F21" i="97" s="1"/>
  <c r="L46" i="78"/>
  <c r="N54" i="75"/>
  <c r="N55" i="75" s="1"/>
  <c r="C21" i="53"/>
  <c r="N21" i="53" s="1"/>
  <c r="C17" i="53"/>
  <c r="N17" i="53" s="1"/>
  <c r="L71" i="78"/>
  <c r="N14" i="51"/>
  <c r="C3" i="51" s="1"/>
  <c r="X54" i="75"/>
  <c r="C12" i="94"/>
  <c r="C13" i="94" s="1"/>
  <c r="F6" i="76"/>
  <c r="B4" i="83"/>
  <c r="F7" i="51"/>
  <c r="F7" i="75"/>
  <c r="D12" i="64"/>
  <c r="H5" i="63"/>
  <c r="H29" i="63" s="1"/>
  <c r="F9" i="45"/>
  <c r="B4" i="92"/>
  <c r="B12" i="86"/>
  <c r="F8" i="45"/>
  <c r="C9" i="95"/>
  <c r="D6" i="80"/>
  <c r="F6" i="45"/>
  <c r="B4" i="91"/>
  <c r="B4" i="82"/>
  <c r="F5" i="45"/>
  <c r="D6" i="63"/>
  <c r="F54" i="75"/>
  <c r="F55" i="75" s="1"/>
  <c r="U54" i="75"/>
  <c r="N26" i="72"/>
  <c r="D3" i="72" s="1"/>
  <c r="K49" i="78"/>
  <c r="F29" i="79" s="1"/>
  <c r="G29" i="76" s="1"/>
  <c r="I28" i="87" s="1"/>
  <c r="I9" i="60"/>
  <c r="M10" i="87"/>
  <c r="F26" i="68"/>
  <c r="G5" i="68"/>
  <c r="N37" i="87"/>
  <c r="L54" i="75"/>
  <c r="L55" i="75" s="1"/>
  <c r="N14" i="94"/>
  <c r="C6" i="94" s="1"/>
  <c r="V54" i="75"/>
  <c r="P54" i="75"/>
  <c r="K54" i="75"/>
  <c r="K55" i="75" s="1"/>
  <c r="I54" i="75"/>
  <c r="I55" i="75" s="1"/>
  <c r="P30" i="87"/>
  <c r="K30" i="87"/>
  <c r="F30" i="87"/>
  <c r="Q30" i="87"/>
  <c r="L30" i="87"/>
  <c r="I25" i="60"/>
  <c r="F90" i="60" a="1"/>
  <c r="F90" i="60" s="1"/>
  <c r="K34" i="78"/>
  <c r="I13" i="87" s="1"/>
  <c r="F88" i="60" a="1"/>
  <c r="F88" i="60" s="1"/>
  <c r="K33" i="78"/>
  <c r="I12" i="87" s="1"/>
  <c r="I21" i="60"/>
  <c r="G90" i="60" a="1"/>
  <c r="G90" i="60" s="1"/>
  <c r="F89" i="60" a="1"/>
  <c r="F89" i="60" s="1"/>
  <c r="H31" i="78"/>
  <c r="K31" i="78" s="1"/>
  <c r="I13" i="60"/>
  <c r="D88" i="60" a="1"/>
  <c r="D88" i="60" s="1"/>
  <c r="D89" i="60" a="1"/>
  <c r="D89" i="60" s="1"/>
  <c r="I33" i="60"/>
  <c r="F36" i="78"/>
  <c r="K36" i="78" s="1"/>
  <c r="I29" i="60"/>
  <c r="K35" i="78"/>
  <c r="G14" i="91" s="1"/>
  <c r="H90" i="60" a="1"/>
  <c r="H90" i="60" s="1"/>
  <c r="H88" i="60" a="1"/>
  <c r="H88" i="60" s="1"/>
  <c r="J32" i="78"/>
  <c r="K32" i="78" s="1"/>
  <c r="I11" i="87" s="1"/>
  <c r="H89" i="60" a="1"/>
  <c r="H89" i="60" s="1"/>
  <c r="I17" i="60"/>
  <c r="E90" i="60" a="1"/>
  <c r="E90" i="60" s="1"/>
  <c r="E88" i="60" a="1"/>
  <c r="E88" i="60" s="1"/>
  <c r="E89" i="60" a="1"/>
  <c r="E89" i="60" s="1"/>
  <c r="G89" i="60" a="1"/>
  <c r="G89" i="60" s="1"/>
  <c r="G88" i="60" a="1"/>
  <c r="G88" i="60" s="1"/>
  <c r="I50" i="78"/>
  <c r="D37" i="79" s="1"/>
  <c r="F12" i="80" s="1"/>
  <c r="M9" i="95" s="1"/>
  <c r="D90" i="60" a="1"/>
  <c r="D90" i="60" s="1"/>
  <c r="K30" i="78"/>
  <c r="I9" i="87" s="1"/>
  <c r="K29" i="78"/>
  <c r="E28" i="83"/>
  <c r="I27" i="62"/>
  <c r="G4" i="79" s="1"/>
  <c r="G9" i="82" s="1"/>
  <c r="J27" i="62"/>
  <c r="L21" i="92" s="1"/>
  <c r="F6" i="55"/>
  <c r="G9" i="95" s="1"/>
  <c r="D273" i="69"/>
  <c r="E13" i="97" s="1"/>
  <c r="F13" i="97" s="1"/>
  <c r="G22" i="91" l="1"/>
  <c r="B40" i="78"/>
  <c r="D40" i="78"/>
  <c r="C15" i="78"/>
  <c r="C40" i="78" s="1"/>
  <c r="B14" i="77"/>
  <c r="E15" i="78"/>
  <c r="E19" i="91" s="1"/>
  <c r="B19" i="91"/>
  <c r="N11" i="61"/>
  <c r="B63" i="78"/>
  <c r="L41" i="78"/>
  <c r="S20" i="87" s="1"/>
  <c r="L17" i="78"/>
  <c r="L67" i="78"/>
  <c r="N55" i="78"/>
  <c r="M71" i="78"/>
  <c r="M64" i="78"/>
  <c r="M60" i="78"/>
  <c r="N20" i="61"/>
  <c r="L12" i="78"/>
  <c r="R16" i="87" s="1"/>
  <c r="N73" i="78"/>
  <c r="D18" i="78"/>
  <c r="E18" i="78"/>
  <c r="L42" i="78"/>
  <c r="S21" i="87" s="1"/>
  <c r="L30" i="78"/>
  <c r="S9" i="87" s="1"/>
  <c r="C18" i="78"/>
  <c r="C22" i="91" s="1"/>
  <c r="G50" i="78"/>
  <c r="D35" i="79" s="1"/>
  <c r="F10" i="80" s="1"/>
  <c r="C12" i="78"/>
  <c r="C37" i="78" s="1"/>
  <c r="D5" i="63"/>
  <c r="D29" i="63" s="1"/>
  <c r="D12" i="78"/>
  <c r="D37" i="78" s="1"/>
  <c r="E12" i="78"/>
  <c r="E16" i="91" s="1"/>
  <c r="H27" i="87"/>
  <c r="I29" i="76"/>
  <c r="E16" i="78"/>
  <c r="E41" i="78" s="1"/>
  <c r="D39" i="79"/>
  <c r="F14" i="80" s="1"/>
  <c r="B20" i="91"/>
  <c r="B41" i="78"/>
  <c r="B11" i="77"/>
  <c r="B37" i="78"/>
  <c r="B15" i="77"/>
  <c r="D20" i="78"/>
  <c r="B71" i="78"/>
  <c r="G23" i="91"/>
  <c r="B25" i="91"/>
  <c r="H6" i="87"/>
  <c r="M6" i="87" s="1"/>
  <c r="R6" i="87" s="1"/>
  <c r="B18" i="77"/>
  <c r="E20" i="78"/>
  <c r="E45" i="78" s="1"/>
  <c r="B70" i="78"/>
  <c r="B44" i="78"/>
  <c r="B45" i="78"/>
  <c r="E19" i="78"/>
  <c r="E23" i="91" s="1"/>
  <c r="B24" i="91"/>
  <c r="C16" i="78"/>
  <c r="D16" i="78"/>
  <c r="C19" i="78"/>
  <c r="C23" i="91" s="1"/>
  <c r="C20" i="78"/>
  <c r="C45" i="78" s="1"/>
  <c r="I26" i="87"/>
  <c r="F11" i="91"/>
  <c r="H17" i="87"/>
  <c r="E25" i="97"/>
  <c r="F25" i="97" s="1"/>
  <c r="H25" i="87"/>
  <c r="F23" i="91"/>
  <c r="H22" i="87"/>
  <c r="F18" i="91"/>
  <c r="H15" i="87"/>
  <c r="N6" i="54"/>
  <c r="N14" i="54"/>
  <c r="L13" i="78"/>
  <c r="R17" i="87" s="1"/>
  <c r="L55" i="78"/>
  <c r="C19" i="91"/>
  <c r="N9" i="61"/>
  <c r="N13" i="54"/>
  <c r="N13" i="61"/>
  <c r="K57" i="78"/>
  <c r="L68" i="78"/>
  <c r="L47" i="78"/>
  <c r="L65" i="78"/>
  <c r="M70" i="78"/>
  <c r="I19" i="87"/>
  <c r="L58" i="78"/>
  <c r="L16" i="78"/>
  <c r="R20" i="87" s="1"/>
  <c r="M59" i="78"/>
  <c r="N10" i="61"/>
  <c r="N56" i="78"/>
  <c r="L74" i="78"/>
  <c r="L73" i="78"/>
  <c r="L6" i="78"/>
  <c r="R10" i="87" s="1"/>
  <c r="B47" i="79"/>
  <c r="G47" i="79" s="1"/>
  <c r="K13" i="81" s="1"/>
  <c r="N12" i="54"/>
  <c r="B4" i="79"/>
  <c r="B9" i="82" s="1"/>
  <c r="L23" i="78"/>
  <c r="J27" i="91" s="1"/>
  <c r="L45" i="78"/>
  <c r="S24" i="87" s="1"/>
  <c r="L60" i="78"/>
  <c r="N12" i="61"/>
  <c r="N7" i="61"/>
  <c r="H19" i="87"/>
  <c r="C8" i="78"/>
  <c r="B7" i="77"/>
  <c r="B12" i="91"/>
  <c r="D8" i="78"/>
  <c r="E8" i="78"/>
  <c r="B59" i="78"/>
  <c r="B33" i="78"/>
  <c r="N17" i="61"/>
  <c r="H24" i="87"/>
  <c r="E19" i="97"/>
  <c r="F19" i="97" s="1"/>
  <c r="H13" i="87"/>
  <c r="N60" i="78"/>
  <c r="K61" i="78"/>
  <c r="L40" i="78"/>
  <c r="S19" i="87" s="1"/>
  <c r="N57" i="78"/>
  <c r="K58" i="78"/>
  <c r="M55" i="78"/>
  <c r="N19" i="54"/>
  <c r="N6" i="61"/>
  <c r="H8" i="87"/>
  <c r="N64" i="78"/>
  <c r="K65" i="78"/>
  <c r="M61" i="78"/>
  <c r="N61" i="78"/>
  <c r="K62" i="78"/>
  <c r="L48" i="78"/>
  <c r="K27" i="91" s="1"/>
  <c r="N30" i="87"/>
  <c r="N16" i="54"/>
  <c r="N19" i="61"/>
  <c r="H20" i="87"/>
  <c r="F20" i="91"/>
  <c r="H21" i="87"/>
  <c r="F21" i="91"/>
  <c r="N17" i="54"/>
  <c r="L22" i="78"/>
  <c r="J26" i="91" s="1"/>
  <c r="N68" i="78"/>
  <c r="K70" i="78"/>
  <c r="L44" i="78"/>
  <c r="K23" i="91" s="1"/>
  <c r="L43" i="78"/>
  <c r="S22" i="87" s="1"/>
  <c r="N65" i="78"/>
  <c r="K66" i="78"/>
  <c r="M65" i="78"/>
  <c r="N8" i="61"/>
  <c r="N16" i="61"/>
  <c r="N8" i="54"/>
  <c r="N18" i="61"/>
  <c r="N14" i="61"/>
  <c r="F26" i="91"/>
  <c r="H26" i="87"/>
  <c r="G25" i="91"/>
  <c r="I25" i="87"/>
  <c r="L63" i="78"/>
  <c r="N72" i="78"/>
  <c r="K74" i="78"/>
  <c r="M66" i="78"/>
  <c r="L57" i="78"/>
  <c r="N69" i="78"/>
  <c r="K71" i="78"/>
  <c r="L19" i="78"/>
  <c r="J23" i="91" s="1"/>
  <c r="E13" i="78"/>
  <c r="E17" i="91" s="1"/>
  <c r="N20" i="54"/>
  <c r="N15" i="61"/>
  <c r="N18" i="54"/>
  <c r="C4" i="79"/>
  <c r="C9" i="82" s="1"/>
  <c r="I18" i="87"/>
  <c r="G18" i="91"/>
  <c r="N11" i="54"/>
  <c r="N10" i="54"/>
  <c r="G20" i="91"/>
  <c r="I20" i="87"/>
  <c r="C8" i="82"/>
  <c r="E5" i="64"/>
  <c r="E9" i="94"/>
  <c r="N7" i="91"/>
  <c r="F6" i="62"/>
  <c r="N15" i="54"/>
  <c r="N7" i="54"/>
  <c r="E5" i="61"/>
  <c r="E5" i="72"/>
  <c r="F8" i="86"/>
  <c r="M35" i="87"/>
  <c r="I36" i="87"/>
  <c r="H6" i="91"/>
  <c r="K6" i="75"/>
  <c r="K37" i="75" s="1"/>
  <c r="G6" i="83"/>
  <c r="E5" i="54"/>
  <c r="D6" i="62"/>
  <c r="F6" i="92"/>
  <c r="D25" i="92" s="1"/>
  <c r="K5" i="87"/>
  <c r="L6" i="62"/>
  <c r="L31" i="78"/>
  <c r="L59" i="78"/>
  <c r="L20" i="78"/>
  <c r="N70" i="78"/>
  <c r="L21" i="78"/>
  <c r="K72" i="78"/>
  <c r="L70" i="78"/>
  <c r="M58" i="78"/>
  <c r="M68" i="78"/>
  <c r="J6" i="91"/>
  <c r="L61" i="78"/>
  <c r="L4" i="78"/>
  <c r="N71" i="78"/>
  <c r="K56" i="78"/>
  <c r="K73" i="78"/>
  <c r="L72" i="78"/>
  <c r="M62" i="78"/>
  <c r="M72" i="78"/>
  <c r="I8" i="86"/>
  <c r="L66" i="78"/>
  <c r="N58" i="78"/>
  <c r="N74" i="78"/>
  <c r="K59" i="78"/>
  <c r="L35" i="78"/>
  <c r="L32" i="78"/>
  <c r="M74" i="78"/>
  <c r="P5" i="87"/>
  <c r="D5" i="61"/>
  <c r="L69" i="78"/>
  <c r="N59" i="78"/>
  <c r="K55" i="78"/>
  <c r="K60" i="78"/>
  <c r="L39" i="78"/>
  <c r="L36" i="78"/>
  <c r="L7" i="78"/>
  <c r="L33" i="78"/>
  <c r="N62" i="78"/>
  <c r="L34" i="78"/>
  <c r="K63" i="78"/>
  <c r="L18" i="78"/>
  <c r="L15" i="78"/>
  <c r="M63" i="78"/>
  <c r="D5" i="54"/>
  <c r="K67" i="78"/>
  <c r="L37" i="78"/>
  <c r="N63" i="78"/>
  <c r="L38" i="78"/>
  <c r="K64" i="78"/>
  <c r="L56" i="78"/>
  <c r="M57" i="78"/>
  <c r="M67" i="78"/>
  <c r="L10" i="78"/>
  <c r="L29" i="78"/>
  <c r="N66" i="78"/>
  <c r="L5" i="78"/>
  <c r="K68" i="78"/>
  <c r="L62" i="78"/>
  <c r="M69" i="78"/>
  <c r="L11" i="78"/>
  <c r="P6" i="75"/>
  <c r="P37" i="75" s="1"/>
  <c r="L14" i="78"/>
  <c r="L8" i="78"/>
  <c r="N67" i="78"/>
  <c r="L9" i="78"/>
  <c r="K69" i="78"/>
  <c r="L64" i="78"/>
  <c r="M73" i="78"/>
  <c r="M56" i="78"/>
  <c r="I17" i="87"/>
  <c r="J50" i="78"/>
  <c r="D38" i="79" s="1"/>
  <c r="F13" i="80" s="1"/>
  <c r="H12" i="87"/>
  <c r="K37" i="87"/>
  <c r="K25" i="78"/>
  <c r="H14" i="87"/>
  <c r="H10" i="87"/>
  <c r="E15" i="80"/>
  <c r="D9" i="80" s="1"/>
  <c r="F9" i="91"/>
  <c r="H9" i="87"/>
  <c r="C13" i="78"/>
  <c r="C17" i="91" s="1"/>
  <c r="B64" i="78"/>
  <c r="D13" i="78"/>
  <c r="D17" i="91" s="1"/>
  <c r="B17" i="91"/>
  <c r="B12" i="77"/>
  <c r="P27" i="62"/>
  <c r="E20" i="97" s="1"/>
  <c r="F20" i="97" s="1"/>
  <c r="B31" i="78"/>
  <c r="B57" i="78"/>
  <c r="C6" i="78"/>
  <c r="C10" i="91" s="1"/>
  <c r="B13" i="91"/>
  <c r="E9" i="78"/>
  <c r="B8" i="77"/>
  <c r="C9" i="78"/>
  <c r="B60" i="78"/>
  <c r="B34" i="78"/>
  <c r="D9" i="78"/>
  <c r="D23" i="78"/>
  <c r="B74" i="78"/>
  <c r="B27" i="91"/>
  <c r="B22" i="77"/>
  <c r="B48" i="78"/>
  <c r="E23" i="78"/>
  <c r="D10" i="91"/>
  <c r="C23" i="78"/>
  <c r="C48" i="78" s="1"/>
  <c r="B5" i="77"/>
  <c r="B43" i="78"/>
  <c r="B17" i="77"/>
  <c r="B69" i="78"/>
  <c r="C11" i="78"/>
  <c r="B36" i="78"/>
  <c r="E11" i="78"/>
  <c r="B62" i="78"/>
  <c r="B10" i="77"/>
  <c r="D11" i="78"/>
  <c r="B15" i="91"/>
  <c r="E6" i="78"/>
  <c r="E10" i="91" s="1"/>
  <c r="B10" i="91"/>
  <c r="O27" i="74"/>
  <c r="C3" i="74" s="1"/>
  <c r="F12" i="86"/>
  <c r="D16" i="91"/>
  <c r="C29" i="78"/>
  <c r="E17" i="78"/>
  <c r="B21" i="91"/>
  <c r="B16" i="77"/>
  <c r="D17" i="78"/>
  <c r="B42" i="78"/>
  <c r="B68" i="78"/>
  <c r="C17" i="78"/>
  <c r="B20" i="77"/>
  <c r="E21" i="78"/>
  <c r="D21" i="78"/>
  <c r="B46" i="78"/>
  <c r="B72" i="78"/>
  <c r="L12" i="86"/>
  <c r="D8" i="91"/>
  <c r="D29" i="78"/>
  <c r="E8" i="91"/>
  <c r="E29" i="78"/>
  <c r="B6" i="77"/>
  <c r="B32" i="78"/>
  <c r="B11" i="91"/>
  <c r="C12" i="86"/>
  <c r="E7" i="78"/>
  <c r="E32" i="78" s="1"/>
  <c r="C22" i="78"/>
  <c r="D22" i="78"/>
  <c r="B26" i="91"/>
  <c r="B47" i="78"/>
  <c r="E22" i="78"/>
  <c r="B21" i="77"/>
  <c r="B73" i="78"/>
  <c r="B61" i="78"/>
  <c r="B9" i="77"/>
  <c r="D10" i="78"/>
  <c r="C10" i="78"/>
  <c r="B14" i="91"/>
  <c r="E10" i="78"/>
  <c r="B35" i="78"/>
  <c r="D7" i="78"/>
  <c r="D32" i="78" s="1"/>
  <c r="E37" i="78"/>
  <c r="C5" i="78"/>
  <c r="B30" i="78"/>
  <c r="B9" i="91"/>
  <c r="D5" i="78"/>
  <c r="E5" i="78"/>
  <c r="B56" i="78"/>
  <c r="B4" i="77"/>
  <c r="C7" i="78"/>
  <c r="C11" i="91" s="1"/>
  <c r="C14" i="78"/>
  <c r="B65" i="78"/>
  <c r="D14" i="78"/>
  <c r="B39" i="78"/>
  <c r="E14" i="78"/>
  <c r="B13" i="77"/>
  <c r="B18" i="91"/>
  <c r="L25" i="52"/>
  <c r="E7" i="97" s="1"/>
  <c r="F7" i="97" s="1"/>
  <c r="E6" i="97"/>
  <c r="F6" i="97" s="1"/>
  <c r="F50" i="78"/>
  <c r="D34" i="79" s="1"/>
  <c r="F9" i="80" s="1"/>
  <c r="I9" i="95" s="1"/>
  <c r="J16" i="91"/>
  <c r="J17" i="91"/>
  <c r="K25" i="91"/>
  <c r="S25" i="87"/>
  <c r="E43" i="78"/>
  <c r="E22" i="91"/>
  <c r="F16" i="91"/>
  <c r="H16" i="87"/>
  <c r="J21" i="91"/>
  <c r="R21" i="87"/>
  <c r="R23" i="87"/>
  <c r="D22" i="91"/>
  <c r="D43" i="78"/>
  <c r="I24" i="87"/>
  <c r="G24" i="91"/>
  <c r="D23" i="91"/>
  <c r="D44" i="78"/>
  <c r="K26" i="91"/>
  <c r="S26" i="87"/>
  <c r="C43" i="78"/>
  <c r="I21" i="87"/>
  <c r="G21" i="91"/>
  <c r="M30" i="87"/>
  <c r="N27" i="53"/>
  <c r="C25" i="91"/>
  <c r="C46" i="78"/>
  <c r="I16" i="87"/>
  <c r="G16" i="91"/>
  <c r="I27" i="87"/>
  <c r="G27" i="91"/>
  <c r="C5" i="64"/>
  <c r="D14" i="64"/>
  <c r="K7" i="75"/>
  <c r="H7" i="75"/>
  <c r="F38" i="75"/>
  <c r="E6" i="63"/>
  <c r="D30" i="63"/>
  <c r="H6" i="63"/>
  <c r="I33" i="63"/>
  <c r="I8" i="64"/>
  <c r="D18" i="64" s="1"/>
  <c r="F91" i="60"/>
  <c r="H5" i="68"/>
  <c r="N5" i="68" s="1"/>
  <c r="G26" i="68"/>
  <c r="H26" i="68" s="1"/>
  <c r="N26" i="68" s="1"/>
  <c r="F15" i="64"/>
  <c r="F14" i="64"/>
  <c r="D16" i="64"/>
  <c r="E28" i="97"/>
  <c r="F28" i="97" s="1"/>
  <c r="G13" i="91"/>
  <c r="G12" i="91"/>
  <c r="I10" i="87"/>
  <c r="G10" i="91"/>
  <c r="H50" i="78"/>
  <c r="D36" i="79" s="1"/>
  <c r="F11" i="80" s="1"/>
  <c r="I15" i="87"/>
  <c r="G15" i="91"/>
  <c r="I14" i="87"/>
  <c r="H91" i="60"/>
  <c r="J88" i="60"/>
  <c r="E91" i="60"/>
  <c r="G11" i="91"/>
  <c r="J89" i="60"/>
  <c r="J90" i="60"/>
  <c r="G91" i="60"/>
  <c r="D91" i="60"/>
  <c r="K50" i="78"/>
  <c r="G9" i="91"/>
  <c r="G8" i="91"/>
  <c r="I8" i="87"/>
  <c r="H4" i="79"/>
  <c r="H9" i="82" s="1"/>
  <c r="M29" i="83"/>
  <c r="E4" i="69"/>
  <c r="K24" i="91" l="1"/>
  <c r="K21" i="91"/>
  <c r="K20" i="91"/>
  <c r="I12" i="86"/>
  <c r="C16" i="91"/>
  <c r="E40" i="78"/>
  <c r="C44" i="78"/>
  <c r="K9" i="91"/>
  <c r="R27" i="87"/>
  <c r="E20" i="91"/>
  <c r="C38" i="78"/>
  <c r="S23" i="87"/>
  <c r="E44" i="78"/>
  <c r="K19" i="91"/>
  <c r="B46" i="79"/>
  <c r="G46" i="79" s="1"/>
  <c r="K12" i="81" s="1"/>
  <c r="D41" i="78"/>
  <c r="D20" i="91"/>
  <c r="E47" i="79"/>
  <c r="E13" i="81" s="1"/>
  <c r="C47" i="79"/>
  <c r="D13" i="81" s="1"/>
  <c r="C24" i="91"/>
  <c r="C41" i="78"/>
  <c r="C20" i="91"/>
  <c r="E38" i="78"/>
  <c r="E31" i="78"/>
  <c r="C31" i="78"/>
  <c r="E24" i="91"/>
  <c r="A18" i="77"/>
  <c r="D45" i="78"/>
  <c r="D24" i="91"/>
  <c r="C27" i="91"/>
  <c r="K22" i="91"/>
  <c r="J20" i="91"/>
  <c r="J10" i="91"/>
  <c r="S27" i="87"/>
  <c r="L25" i="78"/>
  <c r="N26" i="54"/>
  <c r="E11" i="97" s="1"/>
  <c r="F11" i="97" s="1"/>
  <c r="B13" i="81"/>
  <c r="F47" i="79"/>
  <c r="G13" i="81" s="1"/>
  <c r="D47" i="79"/>
  <c r="J13" i="81" s="1"/>
  <c r="L13" i="81" s="1"/>
  <c r="H47" i="79"/>
  <c r="M13" i="81" s="1"/>
  <c r="E11" i="91"/>
  <c r="C12" i="91"/>
  <c r="C33" i="78"/>
  <c r="J12" i="86"/>
  <c r="A13" i="77"/>
  <c r="R26" i="87"/>
  <c r="E12" i="91"/>
  <c r="E33" i="78"/>
  <c r="D33" i="78"/>
  <c r="D12" i="91"/>
  <c r="N26" i="61"/>
  <c r="C3" i="61" s="1"/>
  <c r="L50" i="78"/>
  <c r="R24" i="87"/>
  <c r="J24" i="91"/>
  <c r="J14" i="91"/>
  <c r="R14" i="87"/>
  <c r="S12" i="87"/>
  <c r="K12" i="91"/>
  <c r="R8" i="87"/>
  <c r="J8" i="91"/>
  <c r="M9" i="81"/>
  <c r="K9" i="81"/>
  <c r="E6" i="64"/>
  <c r="C15" i="64"/>
  <c r="H7" i="64"/>
  <c r="C16" i="64" s="1"/>
  <c r="E7" i="64"/>
  <c r="C13" i="64"/>
  <c r="K15" i="91"/>
  <c r="S15" i="87"/>
  <c r="R19" i="87"/>
  <c r="J19" i="91"/>
  <c r="S18" i="87"/>
  <c r="K18" i="91"/>
  <c r="S11" i="87"/>
  <c r="K11" i="91"/>
  <c r="S10" i="87"/>
  <c r="K10" i="91"/>
  <c r="A5" i="77"/>
  <c r="R13" i="87"/>
  <c r="J13" i="91"/>
  <c r="R22" i="87"/>
  <c r="J22" i="91"/>
  <c r="S14" i="87"/>
  <c r="K14" i="91"/>
  <c r="R9" i="87"/>
  <c r="J9" i="91"/>
  <c r="K17" i="91"/>
  <c r="S17" i="87"/>
  <c r="K19" i="62"/>
  <c r="L19" i="62" s="1"/>
  <c r="T41" i="78" s="1"/>
  <c r="S20" i="91" s="1"/>
  <c r="K22" i="62"/>
  <c r="L22" i="62" s="1"/>
  <c r="T44" i="78" s="1"/>
  <c r="S23" i="91" s="1"/>
  <c r="K25" i="62"/>
  <c r="L25" i="62" s="1"/>
  <c r="T47" i="78" s="1"/>
  <c r="S26" i="91" s="1"/>
  <c r="K26" i="62"/>
  <c r="L26" i="62" s="1"/>
  <c r="T48" i="78" s="1"/>
  <c r="S27" i="91" s="1"/>
  <c r="K11" i="62"/>
  <c r="L11" i="62" s="1"/>
  <c r="T33" i="78" s="1"/>
  <c r="S12" i="91" s="1"/>
  <c r="K21" i="62"/>
  <c r="L21" i="62" s="1"/>
  <c r="T43" i="78" s="1"/>
  <c r="S22" i="91" s="1"/>
  <c r="K9" i="62"/>
  <c r="L9" i="62" s="1"/>
  <c r="T31" i="78" s="1"/>
  <c r="S10" i="91" s="1"/>
  <c r="K13" i="62"/>
  <c r="L13" i="62" s="1"/>
  <c r="T35" i="78" s="1"/>
  <c r="S14" i="91" s="1"/>
  <c r="K7" i="62"/>
  <c r="L7" i="62" s="1"/>
  <c r="T29" i="78" s="1"/>
  <c r="K15" i="62"/>
  <c r="L15" i="62" s="1"/>
  <c r="T37" i="78" s="1"/>
  <c r="S16" i="91" s="1"/>
  <c r="K23" i="62"/>
  <c r="L23" i="62" s="1"/>
  <c r="T45" i="78" s="1"/>
  <c r="S24" i="91" s="1"/>
  <c r="K16" i="62"/>
  <c r="L16" i="62" s="1"/>
  <c r="T38" i="78" s="1"/>
  <c r="S17" i="91" s="1"/>
  <c r="K12" i="62"/>
  <c r="L12" i="62" s="1"/>
  <c r="T34" i="78" s="1"/>
  <c r="S13" i="91" s="1"/>
  <c r="K24" i="62"/>
  <c r="L24" i="62" s="1"/>
  <c r="T46" i="78" s="1"/>
  <c r="S25" i="91" s="1"/>
  <c r="K20" i="62"/>
  <c r="L20" i="62" s="1"/>
  <c r="T42" i="78" s="1"/>
  <c r="S21" i="91" s="1"/>
  <c r="K14" i="62"/>
  <c r="L14" i="62" s="1"/>
  <c r="T36" i="78" s="1"/>
  <c r="S15" i="91" s="1"/>
  <c r="K18" i="62"/>
  <c r="L18" i="62" s="1"/>
  <c r="T40" i="78" s="1"/>
  <c r="S19" i="91" s="1"/>
  <c r="K17" i="62"/>
  <c r="L17" i="62" s="1"/>
  <c r="T39" i="78" s="1"/>
  <c r="S18" i="91" s="1"/>
  <c r="K10" i="62"/>
  <c r="L10" i="62" s="1"/>
  <c r="T32" i="78" s="1"/>
  <c r="S11" i="91" s="1"/>
  <c r="K8" i="62"/>
  <c r="L8" i="62" s="1"/>
  <c r="T30" i="78" s="1"/>
  <c r="S9" i="91" s="1"/>
  <c r="R12" i="87"/>
  <c r="J12" i="91"/>
  <c r="K13" i="91"/>
  <c r="S13" i="87"/>
  <c r="R15" i="87"/>
  <c r="J15" i="91"/>
  <c r="J11" i="91"/>
  <c r="R11" i="87"/>
  <c r="R18" i="87"/>
  <c r="J18" i="91"/>
  <c r="S8" i="87"/>
  <c r="K8" i="91"/>
  <c r="K16" i="91"/>
  <c r="S16" i="87"/>
  <c r="J25" i="91"/>
  <c r="R25" i="87"/>
  <c r="H5" i="72"/>
  <c r="G5" i="72"/>
  <c r="F5" i="72"/>
  <c r="K27" i="62"/>
  <c r="L27" i="62" s="1"/>
  <c r="F15" i="80"/>
  <c r="G9" i="80" s="1"/>
  <c r="D12" i="80"/>
  <c r="H30" i="87"/>
  <c r="D13" i="80"/>
  <c r="D15" i="80"/>
  <c r="D10" i="80"/>
  <c r="D11" i="80"/>
  <c r="D14" i="80"/>
  <c r="D38" i="78"/>
  <c r="C3" i="62"/>
  <c r="E23" i="97"/>
  <c r="F23" i="97" s="1"/>
  <c r="D12" i="86"/>
  <c r="E12" i="86" s="1"/>
  <c r="A9" i="77"/>
  <c r="A17" i="77"/>
  <c r="C13" i="91"/>
  <c r="C34" i="78"/>
  <c r="G12" i="86"/>
  <c r="H12" i="86" s="1"/>
  <c r="D36" i="78"/>
  <c r="D15" i="91"/>
  <c r="E48" i="78"/>
  <c r="E27" i="91"/>
  <c r="E36" i="78"/>
  <c r="E15" i="91"/>
  <c r="D11" i="91"/>
  <c r="C15" i="91"/>
  <c r="C36" i="78"/>
  <c r="D27" i="91"/>
  <c r="D48" i="78"/>
  <c r="E34" i="78"/>
  <c r="E13" i="91"/>
  <c r="D13" i="91"/>
  <c r="D34" i="78"/>
  <c r="J10" i="86"/>
  <c r="A14" i="77"/>
  <c r="D3" i="52"/>
  <c r="I11" i="86"/>
  <c r="J11" i="86"/>
  <c r="D25" i="91"/>
  <c r="D46" i="78"/>
  <c r="L11" i="86"/>
  <c r="E25" i="91"/>
  <c r="E46" i="78"/>
  <c r="E21" i="91"/>
  <c r="E42" i="78"/>
  <c r="D21" i="91"/>
  <c r="D42" i="78"/>
  <c r="C32" i="78"/>
  <c r="F11" i="86"/>
  <c r="C42" i="78"/>
  <c r="C21" i="91"/>
  <c r="C26" i="91"/>
  <c r="C47" i="78"/>
  <c r="G11" i="86"/>
  <c r="C11" i="86"/>
  <c r="A16" i="77"/>
  <c r="A20" i="77"/>
  <c r="D11" i="86"/>
  <c r="A3" i="77"/>
  <c r="A22" i="77"/>
  <c r="E39" i="78"/>
  <c r="E18" i="91"/>
  <c r="E9" i="91"/>
  <c r="E30" i="78"/>
  <c r="G10" i="86"/>
  <c r="M10" i="86"/>
  <c r="A19" i="77"/>
  <c r="A4" i="77"/>
  <c r="A10" i="77"/>
  <c r="D9" i="91"/>
  <c r="D30" i="78"/>
  <c r="E35" i="78"/>
  <c r="E14" i="91"/>
  <c r="E47" i="78"/>
  <c r="E26" i="91"/>
  <c r="M11" i="86"/>
  <c r="C10" i="86"/>
  <c r="I10" i="86"/>
  <c r="A21" i="77"/>
  <c r="A12" i="77"/>
  <c r="A6" i="77"/>
  <c r="D39" i="78"/>
  <c r="D18" i="91"/>
  <c r="A7" i="77"/>
  <c r="F10" i="86"/>
  <c r="L10" i="86"/>
  <c r="A11" i="77"/>
  <c r="A8" i="77"/>
  <c r="M12" i="86"/>
  <c r="N12" i="86" s="1"/>
  <c r="C14" i="91"/>
  <c r="C35" i="78"/>
  <c r="D10" i="86"/>
  <c r="A15" i="77"/>
  <c r="C39" i="78"/>
  <c r="C18" i="91"/>
  <c r="C30" i="78"/>
  <c r="C9" i="91"/>
  <c r="D14" i="91"/>
  <c r="D35" i="78"/>
  <c r="D47" i="78"/>
  <c r="D26" i="91"/>
  <c r="E9" i="97"/>
  <c r="F9" i="97" s="1"/>
  <c r="C3" i="53"/>
  <c r="M7" i="75"/>
  <c r="H38" i="75"/>
  <c r="K38" i="75"/>
  <c r="P7" i="75"/>
  <c r="E30" i="63"/>
  <c r="F6" i="63"/>
  <c r="I6" i="63"/>
  <c r="I30" i="63" s="1"/>
  <c r="J4" i="79"/>
  <c r="J9" i="82" s="1"/>
  <c r="D15" i="64"/>
  <c r="D17" i="64" s="1"/>
  <c r="D19" i="64" s="1"/>
  <c r="D20" i="64" s="1"/>
  <c r="G13" i="64"/>
  <c r="G14" i="64"/>
  <c r="N29" i="68"/>
  <c r="I30" i="87"/>
  <c r="J91" i="60"/>
  <c r="F48" i="79" s="1"/>
  <c r="G14" i="81" s="1"/>
  <c r="H14" i="81" s="1"/>
  <c r="F46" i="79" l="1"/>
  <c r="G12" i="81" s="1"/>
  <c r="E46" i="79"/>
  <c r="E12" i="81" s="1"/>
  <c r="K12" i="86"/>
  <c r="F13" i="81"/>
  <c r="H13" i="81"/>
  <c r="B45" i="79"/>
  <c r="D45" i="79" s="1"/>
  <c r="J11" i="81" s="1"/>
  <c r="C46" i="79"/>
  <c r="D12" i="81" s="1"/>
  <c r="H46" i="79"/>
  <c r="M12" i="81" s="1"/>
  <c r="N13" i="81"/>
  <c r="B12" i="81"/>
  <c r="D46" i="79"/>
  <c r="J12" i="81" s="1"/>
  <c r="C3" i="54"/>
  <c r="R30" i="87"/>
  <c r="S30" i="87"/>
  <c r="E18" i="97"/>
  <c r="F18" i="97" s="1"/>
  <c r="S8" i="91"/>
  <c r="T50" i="78"/>
  <c r="G12" i="80"/>
  <c r="H9" i="95"/>
  <c r="E9" i="95" s="1"/>
  <c r="G15" i="80"/>
  <c r="G10" i="80"/>
  <c r="G13" i="80"/>
  <c r="G14" i="80"/>
  <c r="G11" i="80"/>
  <c r="K10" i="86"/>
  <c r="N10" i="86"/>
  <c r="E10" i="86"/>
  <c r="H11" i="86"/>
  <c r="N11" i="86"/>
  <c r="E11" i="86"/>
  <c r="H10" i="86"/>
  <c r="K11" i="86"/>
  <c r="C14" i="77"/>
  <c r="D14" i="77" s="1"/>
  <c r="C13" i="77"/>
  <c r="D13" i="77" s="1"/>
  <c r="C19" i="77"/>
  <c r="E19" i="77" s="1"/>
  <c r="C15" i="77"/>
  <c r="E15" i="77" s="1"/>
  <c r="C6" i="77"/>
  <c r="E6" i="77" s="1"/>
  <c r="C4" i="77"/>
  <c r="E4" i="77" s="1"/>
  <c r="C20" i="77"/>
  <c r="D20" i="77" s="1"/>
  <c r="C18" i="77"/>
  <c r="D18" i="77" s="1"/>
  <c r="C21" i="77"/>
  <c r="E21" i="77" s="1"/>
  <c r="C8" i="77"/>
  <c r="E8" i="77" s="1"/>
  <c r="C16" i="77"/>
  <c r="D16" i="77" s="1"/>
  <c r="C10" i="77"/>
  <c r="E10" i="77" s="1"/>
  <c r="C11" i="77"/>
  <c r="D11" i="77" s="1"/>
  <c r="C5" i="77"/>
  <c r="E5" i="77" s="1"/>
  <c r="C3" i="77"/>
  <c r="D3" i="77" s="1"/>
  <c r="F3" i="77" s="1"/>
  <c r="C12" i="77"/>
  <c r="E12" i="77" s="1"/>
  <c r="C7" i="77"/>
  <c r="E7" i="77" s="1"/>
  <c r="C9" i="77"/>
  <c r="D9" i="77" s="1"/>
  <c r="C22" i="77"/>
  <c r="E22" i="77" s="1"/>
  <c r="C17" i="77"/>
  <c r="E17" i="77" s="1"/>
  <c r="H45" i="79"/>
  <c r="M11" i="81" s="1"/>
  <c r="B44" i="79"/>
  <c r="C45" i="79"/>
  <c r="D11" i="81" s="1"/>
  <c r="E45" i="79"/>
  <c r="E11" i="81" s="1"/>
  <c r="G45" i="79"/>
  <c r="K11" i="81" s="1"/>
  <c r="F45" i="79"/>
  <c r="G11" i="81" s="1"/>
  <c r="L4" i="79"/>
  <c r="L9" i="82" s="1"/>
  <c r="F4" i="79"/>
  <c r="F9" i="82" s="1"/>
  <c r="P38" i="75"/>
  <c r="U7" i="75"/>
  <c r="U38" i="75" s="1"/>
  <c r="J6" i="63"/>
  <c r="J30" i="63" s="1"/>
  <c r="F30" i="63"/>
  <c r="M38" i="75"/>
  <c r="R7" i="75"/>
  <c r="E10" i="97"/>
  <c r="F10" i="97" s="1"/>
  <c r="D3" i="68"/>
  <c r="L37" i="87"/>
  <c r="E5" i="71"/>
  <c r="E7" i="71" s="1"/>
  <c r="L6" i="71" s="1"/>
  <c r="L11" i="71" s="1"/>
  <c r="E17" i="97" s="1"/>
  <c r="F17" i="97" s="1"/>
  <c r="D4" i="79"/>
  <c r="D9" i="82" s="1"/>
  <c r="I6" i="64"/>
  <c r="B11" i="81" l="1"/>
  <c r="F12" i="81"/>
  <c r="N12" i="81"/>
  <c r="H12" i="81"/>
  <c r="L12" i="81"/>
  <c r="E13" i="77"/>
  <c r="F13" i="77" s="1"/>
  <c r="K9" i="95"/>
  <c r="L9" i="95" s="1"/>
  <c r="N9" i="95"/>
  <c r="J9" i="95"/>
  <c r="F11" i="81"/>
  <c r="N11" i="81"/>
  <c r="D6" i="77"/>
  <c r="F6" i="77" s="1"/>
  <c r="D22" i="77"/>
  <c r="F22" i="77" s="1"/>
  <c r="E16" i="77"/>
  <c r="F16" i="77" s="1"/>
  <c r="D15" i="77"/>
  <c r="F15" i="77" s="1"/>
  <c r="D19" i="77"/>
  <c r="F19" i="77" s="1"/>
  <c r="D10" i="77"/>
  <c r="F10" i="77" s="1"/>
  <c r="D17" i="77"/>
  <c r="F17" i="77" s="1"/>
  <c r="E14" i="77"/>
  <c r="F14" i="77" s="1"/>
  <c r="E18" i="77"/>
  <c r="F18" i="77" s="1"/>
  <c r="D12" i="77"/>
  <c r="F12" i="77" s="1"/>
  <c r="E20" i="77"/>
  <c r="F20" i="77" s="1"/>
  <c r="D5" i="77"/>
  <c r="F5" i="77" s="1"/>
  <c r="D4" i="77"/>
  <c r="F4" i="77" s="1"/>
  <c r="E11" i="77"/>
  <c r="F11" i="77" s="1"/>
  <c r="E3" i="77"/>
  <c r="D7" i="77"/>
  <c r="F7" i="77" s="1"/>
  <c r="D8" i="77"/>
  <c r="F8" i="77" s="1"/>
  <c r="E9" i="77"/>
  <c r="F9" i="77" s="1"/>
  <c r="D21" i="77"/>
  <c r="F21" i="77" s="1"/>
  <c r="H11" i="81"/>
  <c r="L11" i="81"/>
  <c r="E44" i="79"/>
  <c r="E10" i="81" s="1"/>
  <c r="C44" i="79"/>
  <c r="D10" i="81" s="1"/>
  <c r="H44" i="79"/>
  <c r="M10" i="81" s="1"/>
  <c r="G44" i="79"/>
  <c r="K10" i="81" s="1"/>
  <c r="F44" i="79"/>
  <c r="G10" i="81" s="1"/>
  <c r="D44" i="79"/>
  <c r="J10" i="81" s="1"/>
  <c r="B10" i="81"/>
  <c r="R38" i="75"/>
  <c r="W7" i="75"/>
  <c r="W38" i="75" s="1"/>
  <c r="D4" i="71"/>
  <c r="H7" i="77" l="1"/>
  <c r="H18" i="77"/>
  <c r="L10" i="81"/>
  <c r="N10" i="81"/>
  <c r="H10" i="81"/>
  <c r="F10" i="81"/>
  <c r="H19" i="77"/>
  <c r="H6" i="77"/>
  <c r="H8" i="77"/>
  <c r="H13" i="77"/>
  <c r="H4" i="77"/>
  <c r="H21" i="77"/>
  <c r="H14" i="77"/>
  <c r="H5" i="77"/>
  <c r="H12" i="77"/>
  <c r="H16" i="77"/>
  <c r="H22" i="77"/>
  <c r="H10" i="77"/>
  <c r="H3" i="77"/>
  <c r="H9" i="77"/>
  <c r="H17" i="77"/>
  <c r="H11" i="77"/>
  <c r="H20" i="77"/>
  <c r="H15" i="77"/>
  <c r="J4" i="77" l="1"/>
  <c r="J20" i="77"/>
  <c r="J15" i="77"/>
  <c r="J18" i="77"/>
  <c r="J11" i="77"/>
  <c r="J17" i="77"/>
  <c r="J21" i="77"/>
  <c r="J19" i="77"/>
  <c r="J14" i="77"/>
  <c r="J9" i="77"/>
  <c r="J5" i="77"/>
  <c r="J12" i="77"/>
  <c r="J10" i="77"/>
  <c r="J3" i="77"/>
  <c r="J16" i="77"/>
  <c r="J6" i="77"/>
  <c r="J8" i="77"/>
  <c r="J7" i="77"/>
  <c r="J22" i="77"/>
  <c r="J13" i="77"/>
  <c r="B61" i="79" l="1"/>
  <c r="B12" i="79"/>
  <c r="B18" i="79"/>
  <c r="B67" i="79"/>
  <c r="B74" i="79"/>
  <c r="B25" i="79"/>
  <c r="B28" i="79"/>
  <c r="B77" i="79"/>
  <c r="B22" i="79"/>
  <c r="B71" i="79"/>
  <c r="B27" i="79"/>
  <c r="B76" i="79"/>
  <c r="B70" i="79"/>
  <c r="B21" i="79"/>
  <c r="B62" i="79"/>
  <c r="B13" i="79"/>
  <c r="B9" i="79"/>
  <c r="B58" i="79"/>
  <c r="B15" i="79"/>
  <c r="B64" i="79"/>
  <c r="B72" i="79"/>
  <c r="B23" i="79"/>
  <c r="B75" i="79"/>
  <c r="B26" i="79"/>
  <c r="B68" i="79"/>
  <c r="B19" i="79"/>
  <c r="B24" i="79"/>
  <c r="B73" i="79"/>
  <c r="B60" i="79"/>
  <c r="B11" i="79"/>
  <c r="B63" i="79"/>
  <c r="B14" i="79"/>
  <c r="B16" i="79"/>
  <c r="B65" i="79"/>
  <c r="B20" i="79"/>
  <c r="B69" i="79"/>
  <c r="B66" i="79"/>
  <c r="B17" i="79"/>
  <c r="B10" i="79"/>
  <c r="B59" i="79"/>
  <c r="I69" i="79" l="1"/>
  <c r="K19" i="83" s="1"/>
  <c r="H69" i="79"/>
  <c r="J19" i="83" s="1"/>
  <c r="C69" i="79"/>
  <c r="C19" i="83" s="1"/>
  <c r="L69" i="79"/>
  <c r="E69" i="79"/>
  <c r="B19" i="83"/>
  <c r="Q19" i="83" s="1"/>
  <c r="K69" i="79"/>
  <c r="D69" i="79"/>
  <c r="D19" i="83" s="1"/>
  <c r="F69" i="79"/>
  <c r="G19" i="83" s="1"/>
  <c r="J69" i="79"/>
  <c r="M19" i="83" s="1"/>
  <c r="G69" i="79"/>
  <c r="H19" i="83" s="1"/>
  <c r="D73" i="79"/>
  <c r="D23" i="83" s="1"/>
  <c r="K73" i="79"/>
  <c r="C73" i="79"/>
  <c r="C23" i="83" s="1"/>
  <c r="J73" i="79"/>
  <c r="M23" i="83" s="1"/>
  <c r="G73" i="79"/>
  <c r="H23" i="83" s="1"/>
  <c r="L73" i="79"/>
  <c r="H73" i="79"/>
  <c r="J23" i="83" s="1"/>
  <c r="I73" i="79"/>
  <c r="K23" i="83" s="1"/>
  <c r="B23" i="83"/>
  <c r="Q23" i="83" s="1"/>
  <c r="E73" i="79"/>
  <c r="F73" i="79"/>
  <c r="G23" i="83" s="1"/>
  <c r="H64" i="79"/>
  <c r="J14" i="83" s="1"/>
  <c r="D64" i="79"/>
  <c r="D14" i="83" s="1"/>
  <c r="J64" i="79"/>
  <c r="M14" i="83" s="1"/>
  <c r="C64" i="79"/>
  <c r="C14" i="83" s="1"/>
  <c r="L64" i="79"/>
  <c r="G64" i="79"/>
  <c r="H14" i="83" s="1"/>
  <c r="E64" i="79"/>
  <c r="B14" i="83"/>
  <c r="Q14" i="83" s="1"/>
  <c r="F64" i="79"/>
  <c r="G14" i="83" s="1"/>
  <c r="I64" i="79"/>
  <c r="K14" i="83" s="1"/>
  <c r="K64" i="79"/>
  <c r="D76" i="79"/>
  <c r="D26" i="83" s="1"/>
  <c r="E76" i="79"/>
  <c r="G76" i="79"/>
  <c r="H26" i="83" s="1"/>
  <c r="C76" i="79"/>
  <c r="C26" i="83" s="1"/>
  <c r="J76" i="79"/>
  <c r="M26" i="83" s="1"/>
  <c r="B26" i="83"/>
  <c r="Q26" i="83" s="1"/>
  <c r="I76" i="79"/>
  <c r="K26" i="83" s="1"/>
  <c r="H76" i="79"/>
  <c r="J26" i="83" s="1"/>
  <c r="F76" i="79"/>
  <c r="G26" i="83" s="1"/>
  <c r="L76" i="79"/>
  <c r="K76" i="79"/>
  <c r="F77" i="79"/>
  <c r="K77" i="79"/>
  <c r="J77" i="79"/>
  <c r="E77" i="79"/>
  <c r="G77" i="79"/>
  <c r="H77" i="79"/>
  <c r="D77" i="79"/>
  <c r="I77" i="79"/>
  <c r="C77" i="79"/>
  <c r="C27" i="83" s="1"/>
  <c r="B27" i="83"/>
  <c r="Q27" i="83" s="1"/>
  <c r="L77" i="79"/>
  <c r="E10" i="79"/>
  <c r="F10" i="76" s="1"/>
  <c r="C10" i="79"/>
  <c r="C10" i="76" s="1"/>
  <c r="B10" i="76"/>
  <c r="L10" i="76" s="1"/>
  <c r="F10" i="79"/>
  <c r="G10" i="76" s="1"/>
  <c r="D10" i="79"/>
  <c r="D10" i="76" s="1"/>
  <c r="H63" i="79"/>
  <c r="J13" i="83" s="1"/>
  <c r="D63" i="79"/>
  <c r="D13" i="83" s="1"/>
  <c r="B13" i="83"/>
  <c r="Q13" i="83" s="1"/>
  <c r="F63" i="79"/>
  <c r="G13" i="83" s="1"/>
  <c r="C63" i="79"/>
  <c r="C13" i="83" s="1"/>
  <c r="K63" i="79"/>
  <c r="E63" i="79"/>
  <c r="G63" i="79"/>
  <c r="H13" i="83" s="1"/>
  <c r="J63" i="79"/>
  <c r="M13" i="83" s="1"/>
  <c r="I63" i="79"/>
  <c r="K13" i="83" s="1"/>
  <c r="L63" i="79"/>
  <c r="C24" i="79"/>
  <c r="C24" i="76" s="1"/>
  <c r="F24" i="79"/>
  <c r="G24" i="76" s="1"/>
  <c r="E24" i="79"/>
  <c r="F24" i="76" s="1"/>
  <c r="B24" i="76"/>
  <c r="L24" i="76" s="1"/>
  <c r="D24" i="79"/>
  <c r="D24" i="76" s="1"/>
  <c r="D75" i="79"/>
  <c r="D25" i="83" s="1"/>
  <c r="I75" i="79"/>
  <c r="K25" i="83" s="1"/>
  <c r="E75" i="79"/>
  <c r="G75" i="79"/>
  <c r="H25" i="83" s="1"/>
  <c r="H75" i="79"/>
  <c r="J25" i="83" s="1"/>
  <c r="C75" i="79"/>
  <c r="C25" i="83" s="1"/>
  <c r="L75" i="79"/>
  <c r="K75" i="79"/>
  <c r="J75" i="79"/>
  <c r="M25" i="83" s="1"/>
  <c r="F75" i="79"/>
  <c r="G25" i="83" s="1"/>
  <c r="B25" i="83"/>
  <c r="Q25" i="83" s="1"/>
  <c r="D15" i="79"/>
  <c r="D15" i="76" s="1"/>
  <c r="C15" i="79"/>
  <c r="C15" i="76" s="1"/>
  <c r="E15" i="79"/>
  <c r="F15" i="76" s="1"/>
  <c r="B15" i="76"/>
  <c r="L15" i="76" s="1"/>
  <c r="F15" i="79"/>
  <c r="G15" i="76" s="1"/>
  <c r="D62" i="79"/>
  <c r="D12" i="83" s="1"/>
  <c r="B12" i="83"/>
  <c r="Q12" i="83" s="1"/>
  <c r="K62" i="79"/>
  <c r="F62" i="79"/>
  <c r="G12" i="83" s="1"/>
  <c r="G62" i="79"/>
  <c r="H12" i="83" s="1"/>
  <c r="H62" i="79"/>
  <c r="J12" i="83" s="1"/>
  <c r="I62" i="79"/>
  <c r="K12" i="83" s="1"/>
  <c r="C62" i="79"/>
  <c r="C12" i="83" s="1"/>
  <c r="L62" i="79"/>
  <c r="J62" i="79"/>
  <c r="M12" i="83" s="1"/>
  <c r="E62" i="79"/>
  <c r="F27" i="79"/>
  <c r="G27" i="76" s="1"/>
  <c r="C27" i="79"/>
  <c r="C27" i="76" s="1"/>
  <c r="D27" i="79"/>
  <c r="D27" i="76" s="1"/>
  <c r="B27" i="76"/>
  <c r="L27" i="76" s="1"/>
  <c r="E27" i="79"/>
  <c r="F27" i="76" s="1"/>
  <c r="B28" i="76"/>
  <c r="L28" i="76" s="1"/>
  <c r="C28" i="79"/>
  <c r="C28" i="76" s="1"/>
  <c r="E28" i="79"/>
  <c r="F28" i="76" s="1"/>
  <c r="F28" i="79"/>
  <c r="G28" i="76" s="1"/>
  <c r="D28" i="79"/>
  <c r="D28" i="76" s="1"/>
  <c r="C18" i="79"/>
  <c r="C18" i="76" s="1"/>
  <c r="F18" i="79"/>
  <c r="G18" i="76" s="1"/>
  <c r="D18" i="79"/>
  <c r="D18" i="76" s="1"/>
  <c r="B18" i="76"/>
  <c r="L18" i="76" s="1"/>
  <c r="E18" i="79"/>
  <c r="F18" i="76" s="1"/>
  <c r="C17" i="79"/>
  <c r="C17" i="76" s="1"/>
  <c r="B17" i="76"/>
  <c r="L17" i="76" s="1"/>
  <c r="D17" i="79"/>
  <c r="D17" i="76" s="1"/>
  <c r="F17" i="79"/>
  <c r="G17" i="76" s="1"/>
  <c r="E17" i="79"/>
  <c r="F17" i="76" s="1"/>
  <c r="D65" i="79"/>
  <c r="D15" i="83" s="1"/>
  <c r="K65" i="79"/>
  <c r="G65" i="79"/>
  <c r="H15" i="83" s="1"/>
  <c r="E65" i="79"/>
  <c r="F65" i="79"/>
  <c r="G15" i="83" s="1"/>
  <c r="L65" i="79"/>
  <c r="H65" i="79"/>
  <c r="J15" i="83" s="1"/>
  <c r="C65" i="79"/>
  <c r="C15" i="83" s="1"/>
  <c r="B15" i="83"/>
  <c r="Q15" i="83" s="1"/>
  <c r="I65" i="79"/>
  <c r="K15" i="83" s="1"/>
  <c r="J65" i="79"/>
  <c r="M15" i="83" s="1"/>
  <c r="B11" i="76"/>
  <c r="L11" i="76" s="1"/>
  <c r="F11" i="79"/>
  <c r="G11" i="76" s="1"/>
  <c r="D11" i="79"/>
  <c r="D11" i="76" s="1"/>
  <c r="E11" i="79"/>
  <c r="F11" i="76" s="1"/>
  <c r="C11" i="79"/>
  <c r="C11" i="76" s="1"/>
  <c r="B19" i="76"/>
  <c r="L19" i="76" s="1"/>
  <c r="C19" i="79"/>
  <c r="C19" i="76" s="1"/>
  <c r="E19" i="79"/>
  <c r="F19" i="76" s="1"/>
  <c r="F19" i="79"/>
  <c r="G19" i="76" s="1"/>
  <c r="D19" i="79"/>
  <c r="D19" i="76" s="1"/>
  <c r="F23" i="79"/>
  <c r="G23" i="76" s="1"/>
  <c r="D23" i="79"/>
  <c r="D23" i="76" s="1"/>
  <c r="E23" i="79"/>
  <c r="F23" i="76" s="1"/>
  <c r="C23" i="79"/>
  <c r="C23" i="76" s="1"/>
  <c r="B23" i="76"/>
  <c r="L23" i="76" s="1"/>
  <c r="B8" i="83"/>
  <c r="Q8" i="83" s="1"/>
  <c r="I58" i="79"/>
  <c r="K8" i="83" s="1"/>
  <c r="H58" i="79"/>
  <c r="J8" i="83" s="1"/>
  <c r="L58" i="79"/>
  <c r="F58" i="79"/>
  <c r="G8" i="83" s="1"/>
  <c r="J58" i="79"/>
  <c r="M8" i="83" s="1"/>
  <c r="G58" i="79"/>
  <c r="H8" i="83" s="1"/>
  <c r="E58" i="79"/>
  <c r="K58" i="79"/>
  <c r="C58" i="79"/>
  <c r="D58" i="79"/>
  <c r="D8" i="83" s="1"/>
  <c r="C21" i="79"/>
  <c r="C21" i="76" s="1"/>
  <c r="B21" i="76"/>
  <c r="L21" i="76" s="1"/>
  <c r="D21" i="79"/>
  <c r="D21" i="76" s="1"/>
  <c r="E21" i="79"/>
  <c r="F21" i="76" s="1"/>
  <c r="F21" i="79"/>
  <c r="G21" i="76" s="1"/>
  <c r="L71" i="79"/>
  <c r="E71" i="79"/>
  <c r="G71" i="79"/>
  <c r="H21" i="83" s="1"/>
  <c r="I71" i="79"/>
  <c r="K21" i="83" s="1"/>
  <c r="H71" i="79"/>
  <c r="J21" i="83" s="1"/>
  <c r="J71" i="79"/>
  <c r="M21" i="83" s="1"/>
  <c r="C71" i="79"/>
  <c r="C21" i="83" s="1"/>
  <c r="K71" i="79"/>
  <c r="D71" i="79"/>
  <c r="D21" i="83" s="1"/>
  <c r="B21" i="83"/>
  <c r="Q21" i="83" s="1"/>
  <c r="F71" i="79"/>
  <c r="G21" i="83" s="1"/>
  <c r="D25" i="79"/>
  <c r="D25" i="76" s="1"/>
  <c r="E25" i="79"/>
  <c r="F25" i="76" s="1"/>
  <c r="F25" i="79"/>
  <c r="G25" i="76" s="1"/>
  <c r="C25" i="79"/>
  <c r="C25" i="76" s="1"/>
  <c r="B25" i="76"/>
  <c r="L25" i="76" s="1"/>
  <c r="F12" i="79"/>
  <c r="G12" i="76" s="1"/>
  <c r="D12" i="79"/>
  <c r="D12" i="76" s="1"/>
  <c r="B12" i="76"/>
  <c r="L12" i="76" s="1"/>
  <c r="E12" i="79"/>
  <c r="F12" i="76" s="1"/>
  <c r="C12" i="79"/>
  <c r="C12" i="76" s="1"/>
  <c r="L59" i="79"/>
  <c r="C59" i="79"/>
  <c r="C9" i="83" s="1"/>
  <c r="J59" i="79"/>
  <c r="M9" i="83" s="1"/>
  <c r="E59" i="79"/>
  <c r="K59" i="79"/>
  <c r="F59" i="79"/>
  <c r="G9" i="83" s="1"/>
  <c r="D59" i="79"/>
  <c r="D9" i="83" s="1"/>
  <c r="G59" i="79"/>
  <c r="H9" i="83" s="1"/>
  <c r="B9" i="83"/>
  <c r="Q9" i="83" s="1"/>
  <c r="H59" i="79"/>
  <c r="J9" i="83" s="1"/>
  <c r="I59" i="79"/>
  <c r="K9" i="83" s="1"/>
  <c r="D14" i="79"/>
  <c r="D14" i="76" s="1"/>
  <c r="B14" i="76"/>
  <c r="L14" i="76" s="1"/>
  <c r="C14" i="79"/>
  <c r="C14" i="76" s="1"/>
  <c r="E14" i="79"/>
  <c r="F14" i="76" s="1"/>
  <c r="F14" i="79"/>
  <c r="G14" i="76" s="1"/>
  <c r="C26" i="79"/>
  <c r="C26" i="76" s="1"/>
  <c r="F26" i="79"/>
  <c r="G26" i="76" s="1"/>
  <c r="B26" i="76"/>
  <c r="L26" i="76" s="1"/>
  <c r="D26" i="79"/>
  <c r="D26" i="76" s="1"/>
  <c r="E26" i="79"/>
  <c r="F26" i="76" s="1"/>
  <c r="C13" i="79"/>
  <c r="C13" i="76" s="1"/>
  <c r="F13" i="79"/>
  <c r="G13" i="76" s="1"/>
  <c r="B13" i="76"/>
  <c r="L13" i="76" s="1"/>
  <c r="E13" i="79"/>
  <c r="F13" i="76" s="1"/>
  <c r="D13" i="79"/>
  <c r="D13" i="76" s="1"/>
  <c r="B17" i="83"/>
  <c r="Q17" i="83" s="1"/>
  <c r="D67" i="79"/>
  <c r="D17" i="83" s="1"/>
  <c r="G67" i="79"/>
  <c r="H17" i="83" s="1"/>
  <c r="J67" i="79"/>
  <c r="M17" i="83" s="1"/>
  <c r="L67" i="79"/>
  <c r="I67" i="79"/>
  <c r="K17" i="83" s="1"/>
  <c r="K67" i="79"/>
  <c r="F67" i="79"/>
  <c r="G17" i="83" s="1"/>
  <c r="H67" i="79"/>
  <c r="J17" i="83" s="1"/>
  <c r="E67" i="79"/>
  <c r="C67" i="79"/>
  <c r="C17" i="83" s="1"/>
  <c r="D20" i="79"/>
  <c r="D20" i="76" s="1"/>
  <c r="C20" i="79"/>
  <c r="C20" i="76" s="1"/>
  <c r="E20" i="79"/>
  <c r="F20" i="76" s="1"/>
  <c r="B20" i="76"/>
  <c r="L20" i="76" s="1"/>
  <c r="F20" i="79"/>
  <c r="G20" i="76" s="1"/>
  <c r="F66" i="79"/>
  <c r="G16" i="83" s="1"/>
  <c r="K66" i="79"/>
  <c r="L66" i="79"/>
  <c r="G66" i="79"/>
  <c r="H16" i="83" s="1"/>
  <c r="B16" i="83"/>
  <c r="Q16" i="83" s="1"/>
  <c r="J66" i="79"/>
  <c r="M16" i="83" s="1"/>
  <c r="H66" i="79"/>
  <c r="J16" i="83" s="1"/>
  <c r="C66" i="79"/>
  <c r="C16" i="83" s="1"/>
  <c r="D66" i="79"/>
  <c r="D16" i="83" s="1"/>
  <c r="I66" i="79"/>
  <c r="K16" i="83" s="1"/>
  <c r="E66" i="79"/>
  <c r="B16" i="76"/>
  <c r="L16" i="76" s="1"/>
  <c r="C16" i="79"/>
  <c r="C16" i="76" s="1"/>
  <c r="E16" i="79"/>
  <c r="F16" i="76" s="1"/>
  <c r="D16" i="79"/>
  <c r="D16" i="76" s="1"/>
  <c r="F16" i="79"/>
  <c r="G16" i="76" s="1"/>
  <c r="D60" i="79"/>
  <c r="D10" i="83" s="1"/>
  <c r="B10" i="83"/>
  <c r="Q10" i="83" s="1"/>
  <c r="F60" i="79"/>
  <c r="G10" i="83" s="1"/>
  <c r="C60" i="79"/>
  <c r="C10" i="83" s="1"/>
  <c r="H60" i="79"/>
  <c r="J10" i="83" s="1"/>
  <c r="E60" i="79"/>
  <c r="G60" i="79"/>
  <c r="H10" i="83" s="1"/>
  <c r="J60" i="79"/>
  <c r="M10" i="83" s="1"/>
  <c r="L60" i="79"/>
  <c r="K60" i="79"/>
  <c r="I60" i="79"/>
  <c r="K10" i="83" s="1"/>
  <c r="J68" i="79"/>
  <c r="M18" i="83" s="1"/>
  <c r="F68" i="79"/>
  <c r="G18" i="83" s="1"/>
  <c r="I68" i="79"/>
  <c r="K18" i="83" s="1"/>
  <c r="E68" i="79"/>
  <c r="D68" i="79"/>
  <c r="D18" i="83" s="1"/>
  <c r="K68" i="79"/>
  <c r="C68" i="79"/>
  <c r="C18" i="83" s="1"/>
  <c r="H68" i="79"/>
  <c r="J18" i="83" s="1"/>
  <c r="L68" i="79"/>
  <c r="G68" i="79"/>
  <c r="H18" i="83" s="1"/>
  <c r="B18" i="83"/>
  <c r="Q18" i="83" s="1"/>
  <c r="E72" i="79"/>
  <c r="F72" i="79"/>
  <c r="G22" i="83" s="1"/>
  <c r="C72" i="79"/>
  <c r="C22" i="83" s="1"/>
  <c r="D72" i="79"/>
  <c r="D22" i="83" s="1"/>
  <c r="B22" i="83"/>
  <c r="Q22" i="83" s="1"/>
  <c r="H72" i="79"/>
  <c r="J22" i="83" s="1"/>
  <c r="K72" i="79"/>
  <c r="J72" i="79"/>
  <c r="M22" i="83" s="1"/>
  <c r="G72" i="79"/>
  <c r="H22" i="83" s="1"/>
  <c r="I72" i="79"/>
  <c r="K22" i="83" s="1"/>
  <c r="L72" i="79"/>
  <c r="E9" i="79"/>
  <c r="F9" i="76" s="1"/>
  <c r="C9" i="79"/>
  <c r="C9" i="76" s="1"/>
  <c r="D9" i="79"/>
  <c r="D9" i="76" s="1"/>
  <c r="F9" i="79"/>
  <c r="G9" i="76" s="1"/>
  <c r="B9" i="76"/>
  <c r="L9" i="76" s="1"/>
  <c r="H70" i="79"/>
  <c r="J20" i="83" s="1"/>
  <c r="K70" i="79"/>
  <c r="G70" i="79"/>
  <c r="H20" i="83" s="1"/>
  <c r="J70" i="79"/>
  <c r="M20" i="83" s="1"/>
  <c r="C70" i="79"/>
  <c r="C20" i="83" s="1"/>
  <c r="F70" i="79"/>
  <c r="G20" i="83" s="1"/>
  <c r="D70" i="79"/>
  <c r="D20" i="83" s="1"/>
  <c r="E70" i="79"/>
  <c r="L70" i="79"/>
  <c r="I70" i="79"/>
  <c r="K20" i="83" s="1"/>
  <c r="B20" i="83"/>
  <c r="Q20" i="83" s="1"/>
  <c r="D22" i="79"/>
  <c r="D22" i="76" s="1"/>
  <c r="E22" i="79"/>
  <c r="F22" i="76" s="1"/>
  <c r="F22" i="79"/>
  <c r="G22" i="76" s="1"/>
  <c r="C22" i="79"/>
  <c r="C22" i="76" s="1"/>
  <c r="B22" i="76"/>
  <c r="L22" i="76" s="1"/>
  <c r="E74" i="79"/>
  <c r="D74" i="79"/>
  <c r="D24" i="83" s="1"/>
  <c r="C74" i="79"/>
  <c r="C24" i="83" s="1"/>
  <c r="G74" i="79"/>
  <c r="H24" i="83" s="1"/>
  <c r="J74" i="79"/>
  <c r="M24" i="83" s="1"/>
  <c r="B24" i="83"/>
  <c r="Q24" i="83" s="1"/>
  <c r="I74" i="79"/>
  <c r="K24" i="83" s="1"/>
  <c r="F74" i="79"/>
  <c r="G24" i="83" s="1"/>
  <c r="H74" i="79"/>
  <c r="J24" i="83" s="1"/>
  <c r="K74" i="79"/>
  <c r="L74" i="79"/>
  <c r="C61" i="79"/>
  <c r="C11" i="83" s="1"/>
  <c r="K61" i="79"/>
  <c r="E61" i="79"/>
  <c r="G61" i="79"/>
  <c r="H11" i="83" s="1"/>
  <c r="I61" i="79"/>
  <c r="K11" i="83" s="1"/>
  <c r="J61" i="79"/>
  <c r="M11" i="83" s="1"/>
  <c r="B11" i="83"/>
  <c r="Q11" i="83" s="1"/>
  <c r="H61" i="79"/>
  <c r="J11" i="83" s="1"/>
  <c r="L61" i="79"/>
  <c r="D11" i="83"/>
  <c r="F61" i="79"/>
  <c r="G11" i="83" s="1"/>
  <c r="I18" i="83" l="1"/>
  <c r="I13" i="83"/>
  <c r="I10" i="83"/>
  <c r="L22" i="83"/>
  <c r="I25" i="76"/>
  <c r="I19" i="76"/>
  <c r="I18" i="76"/>
  <c r="L12" i="83"/>
  <c r="I16" i="76"/>
  <c r="I20" i="76"/>
  <c r="I16" i="83"/>
  <c r="I11" i="76"/>
  <c r="I15" i="76"/>
  <c r="I25" i="83"/>
  <c r="L26" i="83"/>
  <c r="I26" i="83"/>
  <c r="L14" i="83"/>
  <c r="I23" i="83"/>
  <c r="I19" i="83"/>
  <c r="I22" i="76"/>
  <c r="L20" i="83"/>
  <c r="I26" i="76"/>
  <c r="I28" i="76"/>
  <c r="I14" i="83"/>
  <c r="L21" i="83"/>
  <c r="L15" i="83"/>
  <c r="L10" i="83"/>
  <c r="L23" i="83"/>
  <c r="I24" i="76"/>
  <c r="E11" i="83"/>
  <c r="F11" i="83" s="1"/>
  <c r="M61" i="79"/>
  <c r="I8" i="83"/>
  <c r="I27" i="76"/>
  <c r="E27" i="83"/>
  <c r="M77" i="79"/>
  <c r="D20" i="92"/>
  <c r="M74" i="79"/>
  <c r="E24" i="83"/>
  <c r="F24" i="83" s="1"/>
  <c r="M72" i="79"/>
  <c r="E22" i="83"/>
  <c r="F22" i="83" s="1"/>
  <c r="E18" i="83"/>
  <c r="F18" i="83" s="1"/>
  <c r="M68" i="79"/>
  <c r="M65" i="79"/>
  <c r="E15" i="83"/>
  <c r="F15" i="83" s="1"/>
  <c r="E12" i="83"/>
  <c r="F12" i="83" s="1"/>
  <c r="M62" i="79"/>
  <c r="I10" i="76"/>
  <c r="D27" i="83"/>
  <c r="D29" i="83" s="1"/>
  <c r="C20" i="92"/>
  <c r="L11" i="83"/>
  <c r="I24" i="83"/>
  <c r="E20" i="83"/>
  <c r="F20" i="83" s="1"/>
  <c r="M70" i="79"/>
  <c r="L30" i="76"/>
  <c r="F30" i="76"/>
  <c r="L18" i="83"/>
  <c r="E10" i="83"/>
  <c r="F10" i="83" s="1"/>
  <c r="M60" i="79"/>
  <c r="L16" i="83"/>
  <c r="M67" i="79"/>
  <c r="E17" i="83"/>
  <c r="F17" i="83" s="1"/>
  <c r="L17" i="83"/>
  <c r="I14" i="76"/>
  <c r="I9" i="83"/>
  <c r="M59" i="79"/>
  <c r="E9" i="83"/>
  <c r="F9" i="83" s="1"/>
  <c r="I12" i="76"/>
  <c r="Q29" i="83"/>
  <c r="I15" i="83"/>
  <c r="I17" i="76"/>
  <c r="L25" i="83"/>
  <c r="L13" i="83"/>
  <c r="I20" i="92"/>
  <c r="J27" i="83"/>
  <c r="J29" i="83" s="1"/>
  <c r="I21" i="83"/>
  <c r="J20" i="92"/>
  <c r="K27" i="83"/>
  <c r="I22" i="83"/>
  <c r="M66" i="79"/>
  <c r="E16" i="83"/>
  <c r="F16" i="83" s="1"/>
  <c r="I17" i="83"/>
  <c r="E21" i="83"/>
  <c r="F21" i="83" s="1"/>
  <c r="M71" i="79"/>
  <c r="C8" i="83"/>
  <c r="E82" i="79"/>
  <c r="D8" i="92" s="1"/>
  <c r="H86" i="79"/>
  <c r="I12" i="92" s="1"/>
  <c r="D82" i="79"/>
  <c r="E84" i="79"/>
  <c r="D10" i="92" s="1"/>
  <c r="D89" i="79"/>
  <c r="F91" i="79"/>
  <c r="F19" i="92" s="1"/>
  <c r="K83" i="79"/>
  <c r="G83" i="79"/>
  <c r="G9" i="92" s="1"/>
  <c r="G84" i="79"/>
  <c r="G10" i="92" s="1"/>
  <c r="F90" i="79"/>
  <c r="F17" i="92" s="1"/>
  <c r="G88" i="79"/>
  <c r="G15" i="92" s="1"/>
  <c r="D91" i="79"/>
  <c r="J83" i="79"/>
  <c r="F89" i="79"/>
  <c r="F16" i="92" s="1"/>
  <c r="D86" i="79"/>
  <c r="G86" i="79"/>
  <c r="G12" i="92" s="1"/>
  <c r="H90" i="79"/>
  <c r="I17" i="92" s="1"/>
  <c r="F83" i="79"/>
  <c r="F9" i="92" s="1"/>
  <c r="H88" i="79"/>
  <c r="I15" i="92" s="1"/>
  <c r="H91" i="79"/>
  <c r="I19" i="92" s="1"/>
  <c r="K84" i="79"/>
  <c r="I85" i="79"/>
  <c r="J11" i="92" s="1"/>
  <c r="D88" i="79"/>
  <c r="E85" i="79"/>
  <c r="D11" i="92" s="1"/>
  <c r="G85" i="79"/>
  <c r="G11" i="92" s="1"/>
  <c r="K91" i="79"/>
  <c r="J88" i="79"/>
  <c r="J82" i="79"/>
  <c r="H84" i="79"/>
  <c r="I10" i="92" s="1"/>
  <c r="I88" i="79"/>
  <c r="J15" i="92" s="1"/>
  <c r="K82" i="79"/>
  <c r="E87" i="79"/>
  <c r="D13" i="92" s="1"/>
  <c r="H82" i="79"/>
  <c r="I8" i="92" s="1"/>
  <c r="J87" i="79"/>
  <c r="G82" i="79"/>
  <c r="G8" i="92" s="1"/>
  <c r="I83" i="79"/>
  <c r="J9" i="92" s="1"/>
  <c r="F86" i="79"/>
  <c r="F12" i="92" s="1"/>
  <c r="D87" i="79"/>
  <c r="I86" i="79"/>
  <c r="J12" i="92" s="1"/>
  <c r="F85" i="79"/>
  <c r="F11" i="92" s="1"/>
  <c r="E86" i="79"/>
  <c r="D12" i="92" s="1"/>
  <c r="I84" i="79"/>
  <c r="J10" i="92" s="1"/>
  <c r="H89" i="79"/>
  <c r="I16" i="92" s="1"/>
  <c r="K85" i="79"/>
  <c r="G89" i="79"/>
  <c r="G16" i="92" s="1"/>
  <c r="I90" i="79"/>
  <c r="J17" i="92" s="1"/>
  <c r="I87" i="79"/>
  <c r="J13" i="92" s="1"/>
  <c r="F87" i="79"/>
  <c r="F13" i="92" s="1"/>
  <c r="D90" i="79"/>
  <c r="H85" i="79"/>
  <c r="I11" i="92" s="1"/>
  <c r="D85" i="79"/>
  <c r="K90" i="79"/>
  <c r="D83" i="79"/>
  <c r="E91" i="79"/>
  <c r="D19" i="92" s="1"/>
  <c r="J84" i="79"/>
  <c r="I82" i="79"/>
  <c r="J8" i="92" s="1"/>
  <c r="K87" i="79"/>
  <c r="H83" i="79"/>
  <c r="I9" i="92" s="1"/>
  <c r="E89" i="79"/>
  <c r="D16" i="92" s="1"/>
  <c r="J85" i="79"/>
  <c r="G87" i="79"/>
  <c r="G13" i="92" s="1"/>
  <c r="D84" i="79"/>
  <c r="E83" i="79"/>
  <c r="D9" i="92" s="1"/>
  <c r="J86" i="79"/>
  <c r="J91" i="79"/>
  <c r="J90" i="79"/>
  <c r="F88" i="79"/>
  <c r="F15" i="92" s="1"/>
  <c r="E88" i="79"/>
  <c r="D15" i="92" s="1"/>
  <c r="I89" i="79"/>
  <c r="J16" i="92" s="1"/>
  <c r="H87" i="79"/>
  <c r="I13" i="92" s="1"/>
  <c r="F84" i="79"/>
  <c r="F10" i="92" s="1"/>
  <c r="G91" i="79"/>
  <c r="G19" i="92" s="1"/>
  <c r="E90" i="79"/>
  <c r="D17" i="92" s="1"/>
  <c r="I91" i="79"/>
  <c r="J19" i="92" s="1"/>
  <c r="F82" i="79"/>
  <c r="F8" i="92" s="1"/>
  <c r="K88" i="79"/>
  <c r="G90" i="79"/>
  <c r="G17" i="92" s="1"/>
  <c r="K89" i="79"/>
  <c r="K86" i="79"/>
  <c r="J89" i="79"/>
  <c r="L8" i="83"/>
  <c r="E25" i="83"/>
  <c r="F25" i="83" s="1"/>
  <c r="M75" i="79"/>
  <c r="M63" i="79"/>
  <c r="E13" i="83"/>
  <c r="F13" i="83" s="1"/>
  <c r="L20" i="92"/>
  <c r="M27" i="83"/>
  <c r="M76" i="79"/>
  <c r="E26" i="83"/>
  <c r="F26" i="83" s="1"/>
  <c r="I11" i="83"/>
  <c r="L24" i="83"/>
  <c r="I20" i="83"/>
  <c r="G30" i="76"/>
  <c r="I9" i="76"/>
  <c r="I13" i="76"/>
  <c r="L9" i="83"/>
  <c r="I21" i="76"/>
  <c r="M58" i="79"/>
  <c r="E8" i="83"/>
  <c r="I23" i="76"/>
  <c r="I12" i="83"/>
  <c r="G20" i="92"/>
  <c r="H27" i="83"/>
  <c r="H29" i="83" s="1"/>
  <c r="F20" i="92"/>
  <c r="G27" i="83"/>
  <c r="G29" i="83" s="1"/>
  <c r="E14" i="83"/>
  <c r="F14" i="83" s="1"/>
  <c r="M64" i="79"/>
  <c r="M73" i="79"/>
  <c r="E23" i="83"/>
  <c r="F23" i="83" s="1"/>
  <c r="E19" i="83"/>
  <c r="F19" i="83" s="1"/>
  <c r="M69" i="79"/>
  <c r="L19" i="83"/>
  <c r="K17" i="92" l="1"/>
  <c r="K10" i="92"/>
  <c r="F27" i="83"/>
  <c r="H20" i="92"/>
  <c r="K19" i="92"/>
  <c r="H13" i="92"/>
  <c r="K16" i="92"/>
  <c r="K20" i="92"/>
  <c r="N58" i="79"/>
  <c r="K15" i="92"/>
  <c r="H11" i="92"/>
  <c r="H10" i="92"/>
  <c r="C10" i="92"/>
  <c r="E10" i="92" s="1"/>
  <c r="C84" i="79"/>
  <c r="M91" i="79"/>
  <c r="L19" i="92" s="1"/>
  <c r="L91" i="79"/>
  <c r="N72" i="79"/>
  <c r="C83" i="79"/>
  <c r="C9" i="92"/>
  <c r="E9" i="92" s="1"/>
  <c r="H16" i="92"/>
  <c r="I21" i="92"/>
  <c r="C16" i="92"/>
  <c r="E16" i="92" s="1"/>
  <c r="C89" i="79"/>
  <c r="K29" i="83"/>
  <c r="L29" i="83" s="1"/>
  <c r="L27" i="83"/>
  <c r="N60" i="79"/>
  <c r="N73" i="79"/>
  <c r="H19" i="92"/>
  <c r="K9" i="92"/>
  <c r="H12" i="92"/>
  <c r="C19" i="92"/>
  <c r="E19" i="92" s="1"/>
  <c r="C91" i="79"/>
  <c r="H9" i="92"/>
  <c r="B30" i="83"/>
  <c r="I11" i="97"/>
  <c r="J11" i="97" s="1"/>
  <c r="N59" i="79"/>
  <c r="N70" i="79"/>
  <c r="N74" i="79"/>
  <c r="N61" i="79"/>
  <c r="L89" i="79"/>
  <c r="M89" i="79"/>
  <c r="L16" i="92" s="1"/>
  <c r="C13" i="92"/>
  <c r="E13" i="92" s="1"/>
  <c r="C87" i="79"/>
  <c r="K11" i="92"/>
  <c r="N65" i="79"/>
  <c r="N77" i="79"/>
  <c r="I29" i="83"/>
  <c r="I30" i="76"/>
  <c r="H17" i="92"/>
  <c r="L87" i="79"/>
  <c r="M87" i="79"/>
  <c r="L13" i="92" s="1"/>
  <c r="C17" i="92"/>
  <c r="E17" i="92" s="1"/>
  <c r="C90" i="79"/>
  <c r="L84" i="79"/>
  <c r="M84" i="79"/>
  <c r="L10" i="92" s="1"/>
  <c r="D21" i="92"/>
  <c r="B33" i="76"/>
  <c r="I7" i="97"/>
  <c r="N62" i="79"/>
  <c r="N68" i="79"/>
  <c r="N76" i="79"/>
  <c r="N63" i="79"/>
  <c r="M88" i="79"/>
  <c r="L15" i="92" s="1"/>
  <c r="L88" i="79"/>
  <c r="K8" i="92"/>
  <c r="J21" i="92"/>
  <c r="M90" i="79"/>
  <c r="L17" i="92" s="1"/>
  <c r="L90" i="79"/>
  <c r="M85" i="79"/>
  <c r="L11" i="92" s="1"/>
  <c r="L85" i="79"/>
  <c r="N69" i="79"/>
  <c r="N64" i="79"/>
  <c r="I27" i="83"/>
  <c r="F8" i="83"/>
  <c r="E29" i="83"/>
  <c r="F29" i="83" s="1"/>
  <c r="N75" i="79"/>
  <c r="L86" i="79"/>
  <c r="M86" i="79"/>
  <c r="L12" i="92" s="1"/>
  <c r="F21" i="92"/>
  <c r="C11" i="92"/>
  <c r="E11" i="92" s="1"/>
  <c r="C85" i="79"/>
  <c r="K13" i="92"/>
  <c r="K12" i="92"/>
  <c r="H8" i="92"/>
  <c r="G21" i="92"/>
  <c r="L82" i="79"/>
  <c r="M82" i="79"/>
  <c r="L8" i="92" s="1"/>
  <c r="C15" i="92"/>
  <c r="E15" i="92" s="1"/>
  <c r="C88" i="79"/>
  <c r="C12" i="92"/>
  <c r="E12" i="92" s="1"/>
  <c r="C86" i="79"/>
  <c r="H15" i="92"/>
  <c r="L83" i="79"/>
  <c r="M83" i="79"/>
  <c r="L9" i="92" s="1"/>
  <c r="C8" i="92"/>
  <c r="E8" i="92" s="1"/>
  <c r="C82" i="79"/>
  <c r="N71" i="79"/>
  <c r="N66" i="79"/>
  <c r="N67" i="79"/>
  <c r="E20" i="92"/>
  <c r="H21" i="92" l="1"/>
  <c r="K21" i="92"/>
  <c r="O70" i="79"/>
  <c r="B119" i="79" s="1"/>
  <c r="E119" i="79" s="1"/>
  <c r="O64" i="79"/>
  <c r="B113" i="79" s="1"/>
  <c r="G113" i="79" s="1"/>
  <c r="O67" i="79"/>
  <c r="B116" i="79" s="1"/>
  <c r="G116" i="79" s="1"/>
  <c r="O77" i="79"/>
  <c r="B126" i="79" s="1"/>
  <c r="O75" i="79"/>
  <c r="B124" i="79" s="1"/>
  <c r="O73" i="79"/>
  <c r="B122" i="79" s="1"/>
  <c r="O59" i="79"/>
  <c r="B108" i="79" s="1"/>
  <c r="O71" i="79"/>
  <c r="B120" i="79" s="1"/>
  <c r="O60" i="79"/>
  <c r="B109" i="79" s="1"/>
  <c r="O61" i="79"/>
  <c r="B110" i="79" s="1"/>
  <c r="O68" i="79"/>
  <c r="B117" i="79" s="1"/>
  <c r="O66" i="79"/>
  <c r="B115" i="79" s="1"/>
  <c r="O82" i="79"/>
  <c r="B94" i="79" s="1"/>
  <c r="O91" i="79"/>
  <c r="B103" i="79" s="1"/>
  <c r="O87" i="79"/>
  <c r="B99" i="79" s="1"/>
  <c r="O83" i="79"/>
  <c r="B95" i="79" s="1"/>
  <c r="O86" i="79"/>
  <c r="B98" i="79" s="1"/>
  <c r="O90" i="79"/>
  <c r="B102" i="79" s="1"/>
  <c r="O85" i="79"/>
  <c r="B97" i="79" s="1"/>
  <c r="O89" i="79"/>
  <c r="B101" i="79" s="1"/>
  <c r="O84" i="79"/>
  <c r="B96" i="79" s="1"/>
  <c r="O88" i="79"/>
  <c r="B100" i="79" s="1"/>
  <c r="O74" i="79"/>
  <c r="B123" i="79" s="1"/>
  <c r="O63" i="79"/>
  <c r="B112" i="79" s="1"/>
  <c r="O62" i="79"/>
  <c r="B111" i="79" s="1"/>
  <c r="O58" i="79"/>
  <c r="B107" i="79" s="1"/>
  <c r="C21" i="92"/>
  <c r="E21" i="92" s="1"/>
  <c r="E29" i="97"/>
  <c r="J7" i="97"/>
  <c r="O76" i="79"/>
  <c r="B125" i="79" s="1"/>
  <c r="O69" i="79"/>
  <c r="B118" i="79" s="1"/>
  <c r="O72" i="79"/>
  <c r="B121" i="79" s="1"/>
  <c r="O65" i="79"/>
  <c r="B114" i="79" s="1"/>
  <c r="D113" i="79" l="1"/>
  <c r="D119" i="79"/>
  <c r="G119" i="79"/>
  <c r="F119" i="79"/>
  <c r="F113" i="79"/>
  <c r="E116" i="79"/>
  <c r="F116" i="79"/>
  <c r="D116" i="79"/>
  <c r="E113" i="79"/>
  <c r="D117" i="79"/>
  <c r="E117" i="79"/>
  <c r="F117" i="79"/>
  <c r="G117" i="79"/>
  <c r="D118" i="79"/>
  <c r="G118" i="79"/>
  <c r="E118" i="79"/>
  <c r="F118" i="79"/>
  <c r="E123" i="79"/>
  <c r="D123" i="79"/>
  <c r="G123" i="79"/>
  <c r="F123" i="79"/>
  <c r="E97" i="79"/>
  <c r="G97" i="79"/>
  <c r="F97" i="79"/>
  <c r="I97" i="79" s="1"/>
  <c r="D97" i="79"/>
  <c r="E99" i="79"/>
  <c r="G99" i="79"/>
  <c r="D99" i="79"/>
  <c r="F99" i="79"/>
  <c r="I99" i="79" s="1"/>
  <c r="G108" i="79"/>
  <c r="E108" i="79"/>
  <c r="D108" i="79"/>
  <c r="F108" i="79"/>
  <c r="D125" i="79"/>
  <c r="E125" i="79"/>
  <c r="F125" i="79"/>
  <c r="G125" i="79"/>
  <c r="G107" i="79"/>
  <c r="E107" i="79"/>
  <c r="F107" i="79"/>
  <c r="D107" i="79"/>
  <c r="F100" i="79"/>
  <c r="I100" i="79" s="1"/>
  <c r="G100" i="79"/>
  <c r="E100" i="79"/>
  <c r="D100" i="79"/>
  <c r="E102" i="79"/>
  <c r="D102" i="79"/>
  <c r="F102" i="79"/>
  <c r="I102" i="79" s="1"/>
  <c r="G102" i="79"/>
  <c r="G103" i="79"/>
  <c r="F103" i="79"/>
  <c r="I103" i="79" s="1"/>
  <c r="E103" i="79"/>
  <c r="D103" i="79"/>
  <c r="E110" i="79"/>
  <c r="D110" i="79"/>
  <c r="G110" i="79"/>
  <c r="F110" i="79"/>
  <c r="E122" i="79"/>
  <c r="F122" i="79"/>
  <c r="D122" i="79"/>
  <c r="G122" i="79"/>
  <c r="G114" i="79"/>
  <c r="D114" i="79"/>
  <c r="E114" i="79"/>
  <c r="F114" i="79"/>
  <c r="D111" i="79"/>
  <c r="F111" i="79"/>
  <c r="G111" i="79"/>
  <c r="E111" i="79"/>
  <c r="G96" i="79"/>
  <c r="D96" i="79"/>
  <c r="F96" i="79"/>
  <c r="I96" i="79" s="1"/>
  <c r="E96" i="79"/>
  <c r="E98" i="79"/>
  <c r="D98" i="79"/>
  <c r="F98" i="79"/>
  <c r="G98" i="79"/>
  <c r="F94" i="79"/>
  <c r="I94" i="79" s="1"/>
  <c r="D94" i="79"/>
  <c r="G94" i="79"/>
  <c r="E94" i="79"/>
  <c r="D109" i="79"/>
  <c r="F109" i="79"/>
  <c r="E109" i="79"/>
  <c r="G109" i="79"/>
  <c r="G124" i="79"/>
  <c r="F124" i="79"/>
  <c r="D124" i="79"/>
  <c r="E124" i="79"/>
  <c r="D121" i="79"/>
  <c r="G121" i="79"/>
  <c r="E121" i="79"/>
  <c r="F121" i="79"/>
  <c r="G112" i="79"/>
  <c r="E112" i="79"/>
  <c r="D112" i="79"/>
  <c r="F112" i="79"/>
  <c r="G101" i="79"/>
  <c r="D101" i="79"/>
  <c r="F101" i="79"/>
  <c r="E101" i="79"/>
  <c r="D95" i="79"/>
  <c r="E95" i="79"/>
  <c r="G95" i="79"/>
  <c r="F95" i="79"/>
  <c r="F115" i="79"/>
  <c r="D115" i="79"/>
  <c r="G115" i="79"/>
  <c r="E115" i="79"/>
  <c r="F120" i="79"/>
  <c r="E120" i="79"/>
  <c r="G120" i="79"/>
  <c r="D120" i="79"/>
  <c r="F126" i="79"/>
  <c r="E126" i="79"/>
  <c r="D126" i="79"/>
  <c r="G126" i="79"/>
  <c r="D7" i="99"/>
  <c r="D135" i="99" s="1"/>
  <c r="E4" i="99" s="1"/>
  <c r="I101" i="79" l="1"/>
  <c r="I98" i="79"/>
  <c r="I95" i="79"/>
</calcChain>
</file>

<file path=xl/sharedStrings.xml><?xml version="1.0" encoding="utf-8"?>
<sst xmlns="http://schemas.openxmlformats.org/spreadsheetml/2006/main" count="1953" uniqueCount="913">
  <si>
    <t>Instructions</t>
  </si>
  <si>
    <t xml:space="preserve">This workbook is designed to be used by the Investor Owned Utilities in Arkansas to track and report savings and cost related to its Energy Efficiency Portfolios. </t>
  </si>
  <si>
    <t>Navigating the workbook</t>
  </si>
  <si>
    <t>The workbook is organized so that it is navigable from within the screen without using the Excel tabs.  If Excel tabs are needed, go to File&gt;Options&gt;Advanced, scroll to "Display Options for this Workbook" then toggle on "Show sheet Tabs".  All the worksheets work from left to right in order of completion. 
The Main Menu is organized into 3 sections:</t>
  </si>
  <si>
    <r>
      <rPr>
        <b/>
        <sz val="10"/>
        <color indexed="8"/>
        <rFont val="Arial"/>
        <family val="2"/>
      </rPr>
      <t>General</t>
    </r>
    <r>
      <rPr>
        <sz val="10"/>
        <color indexed="8"/>
        <rFont val="Arial"/>
        <family val="2"/>
      </rPr>
      <t xml:space="preserve">: Contains Instructions and Glossary. </t>
    </r>
  </si>
  <si>
    <r>
      <rPr>
        <b/>
        <sz val="10"/>
        <color indexed="8"/>
        <rFont val="Arial"/>
        <family val="2"/>
      </rPr>
      <t>Energy Efficiency Portfolio Data and Information:</t>
    </r>
    <r>
      <rPr>
        <sz val="10"/>
        <color indexed="8"/>
        <rFont val="Arial"/>
        <family val="2"/>
      </rPr>
      <t xml:space="preserve"> Contains all input requirements. </t>
    </r>
  </si>
  <si>
    <r>
      <rPr>
        <b/>
        <sz val="10"/>
        <color indexed="8"/>
        <rFont val="Arial"/>
        <family val="2"/>
      </rPr>
      <t>Tables/Reports/Data:</t>
    </r>
    <r>
      <rPr>
        <sz val="10"/>
        <color indexed="8"/>
        <rFont val="Arial"/>
        <family val="2"/>
      </rPr>
      <t xml:space="preserve"> Contains the tables that are required for the narrative report.  Also contains additional reports and data summaries. </t>
    </r>
  </si>
  <si>
    <t>Each tab in the workbook uses a menu bar at the top that has action buttons that the user can use to navigate through the various options.  The 'yellow' shaded cells are cells that require data from the user.  All other cells contain formulas and are locked to prevent the user from overwriting the formulas.  Input the specific information as indicated by the workbook, for example if the request is kWh provide the data in kWh or if it is MWh provide the data in MWh's.</t>
  </si>
  <si>
    <r>
      <t xml:space="preserve">Input Values.  These cells indicate </t>
    </r>
    <r>
      <rPr>
        <b/>
        <sz val="9"/>
        <rFont val="Arial"/>
        <family val="2"/>
      </rPr>
      <t>required data inputs</t>
    </r>
    <r>
      <rPr>
        <sz val="9"/>
        <rFont val="Arial"/>
        <family val="2"/>
      </rPr>
      <t xml:space="preserve"> from the user.</t>
    </r>
  </si>
  <si>
    <t>Reserved Cells for input data.  These cells will change to 'yellow' shaded cells indicating the required data inputs from the user.</t>
  </si>
  <si>
    <t>Calculated Values</t>
  </si>
  <si>
    <t>To preserve the integrity of the formulae contained within this Excel workbook, the user should only make changes to the 'yellow' shaded cells.</t>
  </si>
  <si>
    <r>
      <t xml:space="preserve">Some 'yellow' shaded cells require the use of a dropdown list.  The user must select an option form the choices on the dropdown list.  </t>
    </r>
    <r>
      <rPr>
        <b/>
        <u/>
        <sz val="10"/>
        <color rgb="FFFF0000"/>
        <rFont val="Arial"/>
        <family val="2"/>
      </rPr>
      <t>DO NOT</t>
    </r>
    <r>
      <rPr>
        <sz val="10"/>
        <color indexed="8"/>
        <rFont val="Arial"/>
        <family val="2"/>
      </rPr>
      <t xml:space="preserve"> use the copy paste function in cells with dropdown lists.</t>
    </r>
  </si>
  <si>
    <t>Completing the workbook</t>
  </si>
  <si>
    <t>The 'Energy Efficiency Portfolio Data and Information' is organized into 3 data input sections:</t>
  </si>
  <si>
    <t>EE Portfolio Information</t>
  </si>
  <si>
    <t>a).</t>
  </si>
  <si>
    <t>Utility Information</t>
  </si>
  <si>
    <t>b).</t>
  </si>
  <si>
    <t>Program Descriptions</t>
  </si>
  <si>
    <r>
      <rPr>
        <sz val="8"/>
        <color indexed="8"/>
        <rFont val="Calibri"/>
        <family val="2"/>
      </rPr>
      <t>»</t>
    </r>
    <r>
      <rPr>
        <sz val="8"/>
        <color indexed="8"/>
        <rFont val="Arial"/>
        <family val="2"/>
      </rPr>
      <t>Program Detail</t>
    </r>
  </si>
  <si>
    <t>c).</t>
  </si>
  <si>
    <t>Budgets</t>
  </si>
  <si>
    <t>»Budget Reconciliation</t>
  </si>
  <si>
    <t>d).</t>
  </si>
  <si>
    <t>Savings &amp; Participants</t>
  </si>
  <si>
    <t>e).</t>
  </si>
  <si>
    <t>Training</t>
  </si>
  <si>
    <t>»External Training</t>
  </si>
  <si>
    <t>»Internal Training</t>
  </si>
  <si>
    <t>Current Program Year Evaluation</t>
  </si>
  <si>
    <t>Actual Expenses</t>
  </si>
  <si>
    <t>»EECR Reconciliation</t>
  </si>
  <si>
    <t>Evaluated Savings</t>
  </si>
  <si>
    <t>»Methodology for Energy Savings</t>
  </si>
  <si>
    <t>Cost-Benefits</t>
  </si>
  <si>
    <t>»Key Assumptions</t>
  </si>
  <si>
    <t>»NEBs</t>
  </si>
  <si>
    <t>»Other Cost-Benefit Test</t>
  </si>
  <si>
    <t>LCFC</t>
  </si>
  <si>
    <t>Incentives</t>
  </si>
  <si>
    <t>Historical Information</t>
  </si>
  <si>
    <t>Prior Two Years</t>
  </si>
  <si>
    <t>»Portfolio Data</t>
  </si>
  <si>
    <t>Other functions of the workbook</t>
  </si>
  <si>
    <t>Unprotecting</t>
  </si>
  <si>
    <t>If for some reason you need to unlock the spreadsheet the password is "APSC".  Once you make the correction, lock the workbook back to protect any errors from occurring.</t>
  </si>
  <si>
    <t>Dropdown List</t>
  </si>
  <si>
    <t>Some of the required inputs are selected from dropdown list.  You can view those list from here:</t>
  </si>
  <si>
    <t>Cost Categories</t>
  </si>
  <si>
    <t>There are six 'Cost Categories' used for tracking EE cost.  They are divided into the following:</t>
  </si>
  <si>
    <r>
      <rPr>
        <b/>
        <sz val="10"/>
        <rFont val="Calibri"/>
        <family val="2"/>
      </rPr>
      <t>PLEASE TRACK ALL EDITS TO FORMULAS OR INSTRUCTIONS HERE.</t>
    </r>
    <r>
      <rPr>
        <sz val="10"/>
        <rFont val="Calibri"/>
        <family val="2"/>
      </rPr>
      <t xml:space="preserve"> This will provide information for future workbook versions. </t>
    </r>
  </si>
  <si>
    <t>NEBS</t>
  </si>
  <si>
    <t xml:space="preserve">Corrected formula in Total $NPV column to include NPV $ columns instead of kWh, therms, gallons, etc. </t>
  </si>
  <si>
    <t>Tables</t>
  </si>
  <si>
    <t>Table 4, current reporting year Plan and Evaluated needs to convert from kWh to MWh. Divided each (G48 and H48) by 1000. This allows correct calculation in Company Statistics table.</t>
  </si>
  <si>
    <t>Table 4 - changed formula in cell J9 to hardcode of "MWh" instead of "kWh" resulting from following formula: ="("&amp;Energy_1&amp;")"</t>
  </si>
  <si>
    <t>CB Table</t>
  </si>
  <si>
    <t xml:space="preserve">Updated formating in the Lifetime Energy Savings column </t>
  </si>
  <si>
    <t>Arkansas Public Service Commission</t>
  </si>
  <si>
    <r>
      <t xml:space="preserve">Standardized Annual Reporting Workbook </t>
    </r>
    <r>
      <rPr>
        <i/>
        <sz val="12"/>
        <rFont val="Calibri"/>
        <family val="2"/>
        <scheme val="minor"/>
      </rPr>
      <t>v4.0 August 2017</t>
    </r>
  </si>
  <si>
    <t>General</t>
  </si>
  <si>
    <t>Energy Efficiency Portfolio Data and Information</t>
  </si>
  <si>
    <t>Annual Report Tables</t>
  </si>
  <si>
    <t>Reports</t>
  </si>
  <si>
    <t>Data</t>
  </si>
  <si>
    <t>EE Portfolio Summary</t>
  </si>
  <si>
    <t>EE Portfolio Expenditures by Program</t>
  </si>
  <si>
    <t>EE Portfolio  Expenditure Summary by Cost Type</t>
  </si>
  <si>
    <t>Company Statistics</t>
  </si>
  <si>
    <t>Program Budget, Energy Savings &amp; Participants</t>
  </si>
  <si>
    <t>Portfolio Results Detail
by Program</t>
  </si>
  <si>
    <t>Portfolio Results Detail
by Sector</t>
  </si>
  <si>
    <t>Best
Practices</t>
  </si>
  <si>
    <t>Program Year Data</t>
  </si>
  <si>
    <t>Next Annual Report Load Data</t>
  </si>
  <si>
    <t>Utility Type</t>
  </si>
  <si>
    <t>Utility Full Name</t>
  </si>
  <si>
    <t>Southwestern Electric Power Company</t>
  </si>
  <si>
    <t>Electric</t>
  </si>
  <si>
    <t>Utility Abbreviated Name</t>
  </si>
  <si>
    <t>SWEPCO</t>
  </si>
  <si>
    <t>Program Year</t>
  </si>
  <si>
    <t>Docket</t>
  </si>
  <si>
    <t>07-082-TF</t>
  </si>
  <si>
    <t>Date Filed</t>
  </si>
  <si>
    <t>Name of Contact</t>
  </si>
  <si>
    <t>Steve Mutiso</t>
  </si>
  <si>
    <t>Email Address</t>
  </si>
  <si>
    <t>smmutiso@aep.com</t>
  </si>
  <si>
    <t>Telephone Number</t>
  </si>
  <si>
    <t>318-673-3502</t>
  </si>
  <si>
    <t>Full-Time EE Employees</t>
  </si>
  <si>
    <t>Program Name</t>
  </si>
  <si>
    <t>Target Sector</t>
  </si>
  <si>
    <t>Program Type</t>
  </si>
  <si>
    <t>Delivery Channel</t>
  </si>
  <si>
    <t>Load Mgt (LMP)</t>
  </si>
  <si>
    <t>Commercial &amp; Industrial</t>
  </si>
  <si>
    <t>Demand Response</t>
  </si>
  <si>
    <t>Utility Outreach (email/direct mail)</t>
  </si>
  <si>
    <t>Comm &amp; Industrial (CIEEP)</t>
  </si>
  <si>
    <t>Other</t>
  </si>
  <si>
    <t>Trade Ally</t>
  </si>
  <si>
    <t>Small Business (SBP)</t>
  </si>
  <si>
    <t>Small Business/C&amp;I</t>
  </si>
  <si>
    <t>Prescriptive/Standard Offer</t>
  </si>
  <si>
    <t>Efficient Products (EPP)</t>
  </si>
  <si>
    <t>Residential</t>
  </si>
  <si>
    <t>Consumer Product Rebate</t>
  </si>
  <si>
    <t>Retail Outlets</t>
  </si>
  <si>
    <t>Res Energy Imprv (REIP)</t>
  </si>
  <si>
    <t>Home Weatherization (HWP)</t>
  </si>
  <si>
    <t>Whole Home</t>
  </si>
  <si>
    <t>Discont'd EE AR (EEA)</t>
  </si>
  <si>
    <t>All Classes</t>
  </si>
  <si>
    <t>Behavior/Education</t>
  </si>
  <si>
    <t>Statewide Administrator</t>
  </si>
  <si>
    <t>Discont'd Onlne Audt(OLA)</t>
  </si>
  <si>
    <t>Website</t>
  </si>
  <si>
    <t>Income Qualified (IQW)</t>
  </si>
  <si>
    <t>Discont'd Ele Veh (EVE)</t>
  </si>
  <si>
    <t>Res/Small Business</t>
  </si>
  <si>
    <t>Measure/Technology Focus</t>
  </si>
  <si>
    <t>Discont'd Comm Solutions</t>
  </si>
  <si>
    <t>Discont'd Res Appliance</t>
  </si>
  <si>
    <t>Coupon Redemption</t>
  </si>
  <si>
    <t>Discont'd Res Solutions</t>
  </si>
  <si>
    <t>Discont'd R ES Appliance</t>
  </si>
  <si>
    <t>Discont'd ARWX (AWIP)</t>
  </si>
  <si>
    <t>New Construction (NCP)</t>
  </si>
  <si>
    <t>Res/C&amp;I</t>
  </si>
  <si>
    <t>Strat Energy Mgmt (SEMP)</t>
  </si>
  <si>
    <t>Bring Y/Otstat (BYOT)</t>
  </si>
  <si>
    <t>Program Detail</t>
  </si>
  <si>
    <t xml:space="preserve">Residential </t>
  </si>
  <si>
    <t xml:space="preserve">Commercial &amp; Industrial (Small Business, Commercial, Industrial, and Agriculture) </t>
  </si>
  <si>
    <t>Cross-Sector</t>
  </si>
  <si>
    <t>N/A</t>
  </si>
  <si>
    <t>Behavioral/Education</t>
  </si>
  <si>
    <t>CPR - Appliances</t>
  </si>
  <si>
    <t>CPR - Electronics</t>
  </si>
  <si>
    <t>CPR - Lighting</t>
  </si>
  <si>
    <t>CPR - Appliance Recycling</t>
  </si>
  <si>
    <t>DR - Load Control</t>
  </si>
  <si>
    <t>DR - Price/Time Base</t>
  </si>
  <si>
    <t xml:space="preserve">Financing </t>
  </si>
  <si>
    <t>Manufactured Homes</t>
  </si>
  <si>
    <t>M/TF - HVAC/Furnace</t>
  </si>
  <si>
    <t>M/TF - Insulation</t>
  </si>
  <si>
    <t>M/TF - Pool Pumps</t>
  </si>
  <si>
    <t>M/TF - Water Heater</t>
  </si>
  <si>
    <t>M/TF - Windows</t>
  </si>
  <si>
    <t>Multi-family</t>
  </si>
  <si>
    <t>WH - Audits</t>
  </si>
  <si>
    <t>WH - Direct Install</t>
  </si>
  <si>
    <t>WH - Retrofit</t>
  </si>
  <si>
    <t>Audit</t>
  </si>
  <si>
    <t>Custom</t>
  </si>
  <si>
    <t>Custom/Agriculture</t>
  </si>
  <si>
    <t>Custom/Data Centers</t>
  </si>
  <si>
    <t>Custom/Industrial Processes</t>
  </si>
  <si>
    <t>Custom/Refrigerator Warehouses</t>
  </si>
  <si>
    <t>Govt/Nonprofit/MUSH</t>
  </si>
  <si>
    <t>Prescriptive/Grocery</t>
  </si>
  <si>
    <t>Prescriptive/HVAC</t>
  </si>
  <si>
    <t>Prescriptive/IT or Office</t>
  </si>
  <si>
    <t>Prescriptive/Industrial</t>
  </si>
  <si>
    <t>Prescriptive/Lighting</t>
  </si>
  <si>
    <t>Prescriptive/Motors</t>
  </si>
  <si>
    <t>Prescriptive/Small Commercial</t>
  </si>
  <si>
    <t>Street Lighting</t>
  </si>
  <si>
    <t>Codes &amp; Standards</t>
  </si>
  <si>
    <t>Market Transformation</t>
  </si>
  <si>
    <t>Marketing, Education, Outreach</t>
  </si>
  <si>
    <t>Multi-Sector Rebates</t>
  </si>
  <si>
    <t xml:space="preserve">Research </t>
  </si>
  <si>
    <t>Shading/Cool Roofs</t>
  </si>
  <si>
    <t>Voltage Reduction</t>
  </si>
  <si>
    <t>Workforce Development</t>
  </si>
  <si>
    <t>X</t>
  </si>
  <si>
    <t>x</t>
  </si>
  <si>
    <t>Total</t>
  </si>
  <si>
    <t>Total:</t>
  </si>
  <si>
    <t>Total Portfolio Budget:</t>
  </si>
  <si>
    <t>Budget Reconciliation Table</t>
  </si>
  <si>
    <t>Initial Budget*</t>
  </si>
  <si>
    <t>Revised Budget</t>
  </si>
  <si>
    <t>Difference</t>
  </si>
  <si>
    <t>Change</t>
  </si>
  <si>
    <t>Explanation for the Change</t>
  </si>
  <si>
    <t>-</t>
  </si>
  <si>
    <t>Transferred $70,479 to SBP and $2,649 to SEMP</t>
  </si>
  <si>
    <t>Received from CIEEP</t>
  </si>
  <si>
    <t>Received from HWP</t>
  </si>
  <si>
    <t>Transferred $35,171 to EEP; $257,161 to IQW; $588,791 to REIP</t>
  </si>
  <si>
    <t>Total Portfolio:</t>
  </si>
  <si>
    <t>Order #</t>
  </si>
  <si>
    <t>62 of Docket 13-002-U</t>
  </si>
  <si>
    <t>approved the Initial Budget.</t>
  </si>
  <si>
    <t>Demand 
Savings</t>
  </si>
  <si>
    <t>Energy 
Savings</t>
  </si>
  <si>
    <t>Participants</t>
  </si>
  <si>
    <t>Participant Definition</t>
  </si>
  <si>
    <t>Accounts</t>
  </si>
  <si>
    <t>Projects</t>
  </si>
  <si>
    <t>Measure</t>
  </si>
  <si>
    <t>Homes</t>
  </si>
  <si>
    <t>Customer</t>
  </si>
  <si>
    <t>Sessions</t>
  </si>
  <si>
    <t>Attendees</t>
  </si>
  <si>
    <t>Man Hours</t>
  </si>
  <si>
    <t>Certificates</t>
  </si>
  <si>
    <t>Cost</t>
  </si>
  <si>
    <t>External Training</t>
  </si>
  <si>
    <t>Internal Training</t>
  </si>
  <si>
    <r>
      <t xml:space="preserve">External Training </t>
    </r>
    <r>
      <rPr>
        <b/>
        <sz val="12"/>
        <color indexed="8"/>
        <rFont val="Calibri"/>
        <family val="2"/>
      </rPr>
      <t>(contractors, trade allies, consumer groups, ect.)</t>
    </r>
  </si>
  <si>
    <t>Event No.</t>
  </si>
  <si>
    <t>Test</t>
  </si>
  <si>
    <t>Start Date</t>
  </si>
  <si>
    <t>Class</t>
  </si>
  <si>
    <t>Class Description</t>
  </si>
  <si>
    <t>Training Location</t>
  </si>
  <si>
    <t>Sponsor</t>
  </si>
  <si>
    <t>No. of Attendees
(A)</t>
  </si>
  <si>
    <t>Length of Session
(B)</t>
  </si>
  <si>
    <t>Training Session Man-Hours
(A x B)</t>
  </si>
  <si>
    <t>Any Certificates Awarded?
(Y or N)</t>
  </si>
  <si>
    <t># of Certificates Awarded</t>
  </si>
  <si>
    <t>Innovation / New Construction</t>
  </si>
  <si>
    <t>Education and Discovery of new technology and innovation trends at IBS.</t>
  </si>
  <si>
    <t>Las Vegas, NV</t>
  </si>
  <si>
    <t>International Builder's Show</t>
  </si>
  <si>
    <t>N</t>
  </si>
  <si>
    <t>New construction</t>
  </si>
  <si>
    <t>Las Vegas</t>
  </si>
  <si>
    <t>AI Applications in the AEC Industry</t>
  </si>
  <si>
    <t>AI Fundamentals, Technology Frameworks, AEC Applications, Implementation Considerations</t>
  </si>
  <si>
    <t>Bentonville, AR</t>
  </si>
  <si>
    <t>NW Arkansas ASHRAE</t>
  </si>
  <si>
    <t>AESP Annual</t>
  </si>
  <si>
    <t>Annual AESP conference</t>
  </si>
  <si>
    <t>Phoenix, AZ</t>
  </si>
  <si>
    <t>AESP</t>
  </si>
  <si>
    <t>Network Lighting Controls</t>
  </si>
  <si>
    <t>Network Lighting Controls (NLC) and HVAC Integration</t>
  </si>
  <si>
    <t>Virtual</t>
  </si>
  <si>
    <t>DLC (Design Lights Consortium)</t>
  </si>
  <si>
    <t xml:space="preserve">Building Performance </t>
  </si>
  <si>
    <t>New Orleans</t>
  </si>
  <si>
    <t>Building Performance Institute</t>
  </si>
  <si>
    <t>Home Performance Conference</t>
  </si>
  <si>
    <t>CEI/SEM - Engaging your Organization in Saving Energy</t>
  </si>
  <si>
    <t>This workshop will equip you with resources and ideas to inform and engage your coworkers in saving energy, which is critical for implementing energy saving opportunities that we find during the energy scan.</t>
  </si>
  <si>
    <t>CLEAResult</t>
  </si>
  <si>
    <t>2025-2026 Business Ethics and Anti-Corruption</t>
  </si>
  <si>
    <t>Office</t>
  </si>
  <si>
    <t>Advanced Air Sealing and Missed Air Leakage Opportunities</t>
  </si>
  <si>
    <t>Energy Management: Utility Systems</t>
  </si>
  <si>
    <t>CoolSaver</t>
  </si>
  <si>
    <t>Refrigerant System Testing and Maintenance Protocols</t>
  </si>
  <si>
    <t>Fresh Air Ventilation</t>
  </si>
  <si>
    <t>2025-2026 Preventing Sexual Harassment</t>
  </si>
  <si>
    <t>2025-2026 PII, Security and You Training</t>
  </si>
  <si>
    <t xml:space="preserve">CLEAResult &amp; The Energy Efficiency Industry </t>
  </si>
  <si>
    <t>Webinar</t>
  </si>
  <si>
    <t xml:space="preserve">	
2025-2026 PII, Security and You Training</t>
  </si>
  <si>
    <t>2025-2026 IT Security Awareness Training</t>
  </si>
  <si>
    <t>Building Science Basics</t>
  </si>
  <si>
    <t>ASHRAE 62.2-2013</t>
  </si>
  <si>
    <t>Overview of Air Source Heat Pump Systems</t>
  </si>
  <si>
    <t>An Overview of Smart Thermostats</t>
  </si>
  <si>
    <t>CR Energy Forum</t>
  </si>
  <si>
    <t>Annual CLEAResult Energy Forum</t>
  </si>
  <si>
    <t>Chicago, IL</t>
  </si>
  <si>
    <t>Peak Load Management Alliance</t>
  </si>
  <si>
    <t>Fall Peak Load Management Associatoion Confrencence</t>
  </si>
  <si>
    <t>Henderson, NV</t>
  </si>
  <si>
    <t>PLMA</t>
  </si>
  <si>
    <t>Energy Efficieny and Load Management in Commercial Buildings</t>
  </si>
  <si>
    <t xml:space="preserve">Commercial building spaces in the North East integrated energy efficiency and demand response through leveraging machine learning, BAS integration, and locational flexibility. This showcased how utilities can build replicable programs that engage underserved customers while improving grid reliability. </t>
  </si>
  <si>
    <t>Peak Load Management Association</t>
  </si>
  <si>
    <t>Thermal Storage for Load Shifting</t>
  </si>
  <si>
    <t>Thermal Energy Storage (TES) such as systems using ice or hot water, could provide a significant load shifting resource, but so far there is little adoption beyond limited applications in larger commercial buildings. This presentation showed that for real results there is a need to include engagement with investor-owned utilities, municipal utilities, and rural electric cooperatives. Most applications of TES are specifically designed per location, so there is a need for multiple sources of data to showcase the possibilities obtainable for these customers.</t>
  </si>
  <si>
    <t>Commercial &amp; Industrial Load Flexibility</t>
  </si>
  <si>
    <t>This session explored the game-changing role of Thermal Energy Storage (TES) in meeting the AI-driven capacity challenge. Unlike traditional generation or battery storage, TES can be deployed rapidly offers low Levelized Cost of Energy (LCOE) compaired to other storage technologies, and requires no interconnection or siting delays. This showcased factors within residential heating TES, enabling flexible, grid-responsive load in homes across the country. As well as HVAC-based TES for large commercial buildings, shaping peak loads and enhancing building resilience. TES is also being deployed in commercial and industrial refrigeration, including food logistics and cold storage, where round-the-clock reliability is critical</t>
  </si>
  <si>
    <t>Scaling Storage: How Utilities Are Integrating Batteries in DR Programs</t>
  </si>
  <si>
    <t xml:space="preserve">With utilities expanding their demand response (DR) and virtual power plant (VPP) programs to include battery storage, these resources offer uniquely flexible capacity as well as distinct challenges around customer engagement, program design, and incentive structures. There are practical implementation steps for both residential and C&amp;I segments and proven approaches for maximizing customer satisfaction and maintaining high participation rates throughout the program lifecycle. Each takes a different approach, but above all the customer and their ability to comprehend and maximize results was a key factor. </t>
  </si>
  <si>
    <t>Decoding the EV Revolution: AI’s Blueprint for Grid Resilience</t>
  </si>
  <si>
    <t>EVs and AI are now converging to offer utilities a powerful solution for managing escalating demands on the grid. By taking a granular approach it was shown that its important to know not just who owns EVs, but how, when, and how much they charge. By working with utilities and AI analysis the understanding needed to plan distribution and resource allocation becomes a lot clearer. Through this work the use of AI was able to analyze diverse charging behaviors to pinpoint high-impact users influencing peak demand, plus customer engagement strategies that are achieving remarkable load shift results</t>
  </si>
  <si>
    <t>Unlocking Granular Locational Dispatch with Flexible Grouping</t>
  </si>
  <si>
    <t xml:space="preserve">Flexible grouping strategies transform DER management by allowing devices to be grouped based on any combination of attributes like substation, rate code, or customer behavior. Devices are automatically included when data changes, and post-event analysis allows granular reporting based on customer type. As it stands, legacy bulk grouping strategies make this complex and time-consuming. To combat this utilities need to dispatch DERs by precise grid locations, rate plans, or customer behavior. </t>
  </si>
  <si>
    <t>Totals:</t>
  </si>
  <si>
    <t>Events:</t>
  </si>
  <si>
    <t>Internal Training (Utility or Administrator Staff)</t>
  </si>
  <si>
    <t>How to Grow the Home Performance Sector to Meet Clean Energy Goals</t>
  </si>
  <si>
    <t>Explore the growing demand for home performance contractors driven by clean eneryg goals and the need for energy efficiency programs.</t>
  </si>
  <si>
    <t>Report Out</t>
  </si>
  <si>
    <t>SEM Customer Training</t>
  </si>
  <si>
    <t>Kickoff Workshop</t>
  </si>
  <si>
    <t>Total Project Management - Planning, Design and Ingenuity to Beat Deadlines</t>
  </si>
  <si>
    <t xml:space="preserve"> Contractor's forum from around the world dealing with everything from the project's conception to regulatory headwinds and how to navigate the realities of both.</t>
  </si>
  <si>
    <t>NAHB International Builders Show</t>
  </si>
  <si>
    <t>Heat Pump Water Heater Contractor Training</t>
  </si>
  <si>
    <t>Design, operation, maintenance and sales features of the HPWH.</t>
  </si>
  <si>
    <t>Warming Up with Cold Climate Heat Pumps</t>
  </si>
  <si>
    <t>Discuss feasibility of this technology in various northern climates, program design and customer and contractor education, and how to increase market demand for this type of efficient product.</t>
  </si>
  <si>
    <t>Commercial Lighting Market Movements &amp; Opportunities</t>
  </si>
  <si>
    <t>Provide an overview of the lighting market, offer insights from recent programs, and outline available options and opportunities, drawing on experience and perspectives from industry colleagues.</t>
  </si>
  <si>
    <t>ZIP Board Workshop - Sealing Your Space Intelligently</t>
  </si>
  <si>
    <t>Tricks and Tips for a seamless installation</t>
  </si>
  <si>
    <t>Thermal Envelope Upgrades</t>
  </si>
  <si>
    <t xml:space="preserve"> Insulation, sealing, orientation.</t>
  </si>
  <si>
    <t>Electrification Program Thermal Energy Storage</t>
  </si>
  <si>
    <t>Solutions for Commercial Buildings for Summer and Winter</t>
  </si>
  <si>
    <t>EPRI</t>
  </si>
  <si>
    <t>AESP Utilities Connect</t>
  </si>
  <si>
    <t>Utilities Only session, discussion of hot topics</t>
  </si>
  <si>
    <t>2025 AESP Annual Conference</t>
  </si>
  <si>
    <t>Utilities Connect</t>
  </si>
  <si>
    <t>Utilities Connect - Empowering People through Energy</t>
  </si>
  <si>
    <t>Body Language and Behaviors for Effective Engagement</t>
  </si>
  <si>
    <t>Customer behavior</t>
  </si>
  <si>
    <t>Breakthrough Marketing Strategies that Drive Results</t>
  </si>
  <si>
    <t>Different Marketing Strategies</t>
  </si>
  <si>
    <t>Empowering the Trades and Creating Sustanable Careers</t>
  </si>
  <si>
    <t>Developing Workforce</t>
  </si>
  <si>
    <t>Explore body language and behaviors for effective engagement.</t>
  </si>
  <si>
    <t>Welcome to Your New Home</t>
  </si>
  <si>
    <t>An equitable energy transition relies on affordable, energy efficient and resillent manufactured homes.</t>
  </si>
  <si>
    <t>Building the Energy Workforce of Tomorrow</t>
  </si>
  <si>
    <t>Building the Energy Workforce of Tomorrow:Empowering the Trades and Creating Sustainable Careers.</t>
  </si>
  <si>
    <t>Exploring the Shift from Estimated Data Driven Approaches to Smart Meters</t>
  </si>
  <si>
    <t>AMI Data</t>
  </si>
  <si>
    <t>Holistic and Flexible Electrificaiton for Resiliency</t>
  </si>
  <si>
    <t>Electrifcation measures</t>
  </si>
  <si>
    <t>Building Resilient and Flexible Energy Efficiency and Electrification Programs</t>
  </si>
  <si>
    <t>Joining Electrification and Energy Efficiency</t>
  </si>
  <si>
    <t>Serving People with Different Flavors of gas-electric Utility Partnerships</t>
  </si>
  <si>
    <t>Electric and Gas utilities working together to satisfy Customer Needs</t>
  </si>
  <si>
    <t>Powering Excellence: Celebrating Industry Trailblazers and InNvations</t>
  </si>
  <si>
    <t>Proven ways to effectively engage disadvantaged communities. How best to make customers aware of programs.</t>
  </si>
  <si>
    <t>Phoenix,AZ</t>
  </si>
  <si>
    <t>Cultivating Authentic Trust in Indigenous Partnerships</t>
  </si>
  <si>
    <t xml:space="preserve"> Do your research, kNw your audience - trust takes years to build and seconds to break.</t>
  </si>
  <si>
    <t>I'm low income?</t>
  </si>
  <si>
    <t xml:space="preserve"> Mismatches between customer language and pathways into energy programs and services.</t>
  </si>
  <si>
    <t>Serving people with different flavors of gas-electric utility partnership on SEM</t>
  </si>
  <si>
    <t>--</t>
  </si>
  <si>
    <t>Collaborative Pathways to a Sustainable Future</t>
  </si>
  <si>
    <t>Developing relationships to meet future needs</t>
  </si>
  <si>
    <t>Powering electrification: collaborative pathways to a sustainable future</t>
  </si>
  <si>
    <t>Building Resilience and Health: Weatherization programs for low and moderate income customers.</t>
  </si>
  <si>
    <t>Building our own clean energy future</t>
  </si>
  <si>
    <t>Employee Engagement Workshop</t>
  </si>
  <si>
    <t>SEM Tips and training for employees</t>
  </si>
  <si>
    <t>DSM in Uncertain Times</t>
  </si>
  <si>
    <t>What Utility Leades Should Consider as they Plan</t>
  </si>
  <si>
    <t>Bidgely</t>
  </si>
  <si>
    <t>Peak Demand and Power Factor Workshop</t>
  </si>
  <si>
    <t>Peak Demand and Power Factor Overview</t>
  </si>
  <si>
    <t>Demand Response Stakeholder Engagement Forum 2025</t>
  </si>
  <si>
    <t>Proposed Demand Response Policy</t>
  </si>
  <si>
    <t>SPP</t>
  </si>
  <si>
    <t>2025 Core Progress Workshop</t>
  </si>
  <si>
    <t>Unlocking Heat Pump Markets</t>
  </si>
  <si>
    <t>How State Policy Can Accelerate Adoption</t>
  </si>
  <si>
    <t>Advanced Energy United</t>
  </si>
  <si>
    <t>Projecting Putposeful Communication Through Body Language</t>
  </si>
  <si>
    <t>Understanding personal interactions better by recognizing what people are conveying through body language</t>
  </si>
  <si>
    <t>CLEAResult Energy Forum</t>
  </si>
  <si>
    <t>Prospecting Purposeful Communicaiton Through Body Language</t>
  </si>
  <si>
    <t>Evolving Energy Dynamics</t>
  </si>
  <si>
    <t>How the state of energy efficiency is evolving</t>
  </si>
  <si>
    <t>Grid Adequacy</t>
  </si>
  <si>
    <t>Meeting customer needs from behind the meter data</t>
  </si>
  <si>
    <t>Designing the Future</t>
  </si>
  <si>
    <t>DER Ecosystems</t>
  </si>
  <si>
    <t>Exploring Opportunities for AI</t>
  </si>
  <si>
    <t>Energy Planning and Program Operations</t>
  </si>
  <si>
    <t>Securing America's Energy Future</t>
  </si>
  <si>
    <t>Energy Future is evolving</t>
  </si>
  <si>
    <t>Look at the data you see today and cast it forward to predict the future</t>
  </si>
  <si>
    <t>Energy Concierge: Human Connection for More Resilient Communities &amp; Deeper Safings</t>
  </si>
  <si>
    <t>What is your personal journey and how did you get here today? What other utilities are doing for IQW customers and Healthy Homes.</t>
  </si>
  <si>
    <t>From Pilot to Portfolio: Building ghe Futuer of Residential Energy Storage</t>
  </si>
  <si>
    <t>BYOB-Bring Your Own Battery Program. VPP- a digitally connected network that aggregates.</t>
  </si>
  <si>
    <t>Artificila Intelligence</t>
  </si>
  <si>
    <t>AI mindset archettpe</t>
  </si>
  <si>
    <t>From Customers to Contractors: Driving Full Market Engagement</t>
  </si>
  <si>
    <t>Advertise outside of website. Could other market actors advertise our top performing contractors?</t>
  </si>
  <si>
    <t>Designing Customer-Centered Pilots</t>
  </si>
  <si>
    <t>Smart Workflows for Smart Programs:  Field Operations That Support Grid Stability</t>
  </si>
  <si>
    <t>Artificial Intellegence:  Moves to the Future</t>
  </si>
  <si>
    <t>Engaging the Full Market:  How Residential, C&amp;I and Small Businesses Contribute to System Goals</t>
  </si>
  <si>
    <t>Policy</t>
  </si>
  <si>
    <t>Navigating Policy Shifts and Programs</t>
  </si>
  <si>
    <t>Scaling Grid Benefits with Low and No Cost Solutions</t>
  </si>
  <si>
    <t>SEM opportunities</t>
  </si>
  <si>
    <t>Leveraging Energy management Programs During Extreme Weather Events</t>
  </si>
  <si>
    <t>DR Response Programs</t>
  </si>
  <si>
    <t>Grid Resilience is a SocioecoNmic Problem</t>
  </si>
  <si>
    <t xml:space="preserve">Bridging the gap with diverse contractor populations. </t>
  </si>
  <si>
    <t>The New Value of DSM: Aligning Programs with Grid Needs and Utility Strategy</t>
  </si>
  <si>
    <t>Take a box of donuts to the local 211 phone cneter (unfortunately we don't have one of these in our area) and ask how we can help</t>
  </si>
  <si>
    <t>Navigating Policy Shifts and Program Launches</t>
  </si>
  <si>
    <t>From Pilot to Portfolio:  Building the Future of Residential Energy Storage</t>
  </si>
  <si>
    <t>Resiliance in Action:  Leveraging Energy Management Programs During Extreme Weather Events</t>
  </si>
  <si>
    <t>The New Value of DSM:  Aligning Programs with Grid Needs and Utility Strategy</t>
  </si>
  <si>
    <t>Women In Energy</t>
  </si>
  <si>
    <t>Slow down to speed up</t>
  </si>
  <si>
    <t>Securing America's Energy Future- Part 2</t>
  </si>
  <si>
    <t>Add energy burden data to annual reports to help tell our story</t>
  </si>
  <si>
    <t>Low-Cost, High-Trust:Building Customer Relationships throught Strategic Energy Management</t>
  </si>
  <si>
    <t>Bridge and Tunnel Communicaton - build a bridge to connect, then tunnel in</t>
  </si>
  <si>
    <t>NOT USED - HELD FOR FUTURE USE</t>
  </si>
  <si>
    <t>Utility</t>
  </si>
  <si>
    <t>Affiliate</t>
  </si>
  <si>
    <t>3rd Party</t>
  </si>
  <si>
    <t>Portfolio Total</t>
  </si>
  <si>
    <t>EECR Reconciliation Table</t>
  </si>
  <si>
    <t>Total Portfolio Expenses:</t>
  </si>
  <si>
    <t>EECR Expenses:</t>
  </si>
  <si>
    <t>Explanation for Difference:</t>
  </si>
  <si>
    <t xml:space="preserve"> </t>
  </si>
  <si>
    <t xml:space="preserve">Programs savings reported are net savings and do not include adjustments for leakage. </t>
  </si>
  <si>
    <t>Methodology for Calculating Net Energy Savings</t>
  </si>
  <si>
    <t>Deemed Savings</t>
  </si>
  <si>
    <t>Custom Savings</t>
  </si>
  <si>
    <t>Other Savings</t>
  </si>
  <si>
    <t>Total Savings</t>
  </si>
  <si>
    <t>Net Energy Savings</t>
  </si>
  <si>
    <t>Total Resource Cost Test (TRC)</t>
  </si>
  <si>
    <t>Annualized Energy Saved</t>
  </si>
  <si>
    <t>Effective NTGR</t>
  </si>
  <si>
    <t>Lifetime Energy Savings</t>
  </si>
  <si>
    <t>Total 
Cost</t>
  </si>
  <si>
    <t>Total Benefits</t>
  </si>
  <si>
    <t>Total 
Net Benefits</t>
  </si>
  <si>
    <t>TRC</t>
  </si>
  <si>
    <t>Weighted Measure Life</t>
  </si>
  <si>
    <t>TRC Levelized Cost</t>
  </si>
  <si>
    <t>Ratio</t>
  </si>
  <si>
    <t>($000's)</t>
  </si>
  <si>
    <t>Portfolio Total:</t>
  </si>
  <si>
    <t>TRC Levelized Cost = Total TRC Cost x Capital Recovery Factor (CRF) / Incremental Annual Net Energy Savings.</t>
  </si>
  <si>
    <t>The CRF is based on weighted average measure life (Lifetime Energy Savings / Annualized Energy Saved) and the discount rate.</t>
  </si>
  <si>
    <t>Key Assumptions</t>
  </si>
  <si>
    <t>Discount Rate</t>
  </si>
  <si>
    <t>Notes/Source Documents</t>
  </si>
  <si>
    <t>Nominal Discount Rate (%)</t>
  </si>
  <si>
    <t>After tax WACC provided for triennial portfolio design in 2023</t>
  </si>
  <si>
    <t>Inflation Rate (%)</t>
  </si>
  <si>
    <t>CONFIDENTIAL-AR EE Avoided Cost_RECC_2024-2026 EE portfolio_20230724.xls</t>
  </si>
  <si>
    <t>Real Discount Rate</t>
  </si>
  <si>
    <t>Program Benefits</t>
  </si>
  <si>
    <t>Avoided Energy Costs</t>
  </si>
  <si>
    <t>[Class 1]</t>
  </si>
  <si>
    <t>[Class 2]</t>
  </si>
  <si>
    <t>[Class 3]</t>
  </si>
  <si>
    <t>[Class 4]</t>
  </si>
  <si>
    <t>[Class 5]</t>
  </si>
  <si>
    <t>Natural Gas ($/MMBtu)</t>
  </si>
  <si>
    <t>Local gas utility rate used in ADM's model</t>
  </si>
  <si>
    <t>On-Peak ($/MWh)</t>
  </si>
  <si>
    <t>Monthly on and off peak avoided energy costs are provided in CONFIDENTIAL-AR EE Avoided Cost …xls. These monthly values were adjusted to annual values for on, off, and shoulder, including winter &amp; summer.</t>
  </si>
  <si>
    <t>Off-Peak ($/MWh)</t>
  </si>
  <si>
    <t>See previous note</t>
  </si>
  <si>
    <t>Carbon Cost BY ($/ton)</t>
  </si>
  <si>
    <t>$15/metric ton</t>
  </si>
  <si>
    <t>Carbon Cost BY (YYYY)</t>
  </si>
  <si>
    <t>Carbon Cost EY (YYYY)</t>
  </si>
  <si>
    <t>[Line Loss Category]</t>
  </si>
  <si>
    <t>SWEPCO 2022 Line Loss Study (maintains consistency with avoided costs used for portfolio filing) (marginal line losses)</t>
  </si>
  <si>
    <t>Avoided Capacity Cost</t>
  </si>
  <si>
    <t>Proxy Unit $/kW</t>
  </si>
  <si>
    <t>Proxy Unit In Service Date</t>
  </si>
  <si>
    <t>RECC ($/kw-yr)</t>
  </si>
  <si>
    <t>RECC BY (YYYY)</t>
  </si>
  <si>
    <t>RECC EY (YYYY)</t>
  </si>
  <si>
    <t>Market Price ($/kw-yr)</t>
  </si>
  <si>
    <t>Market Price BY (YYYY)</t>
  </si>
  <si>
    <t>Market Price EY (YYYY)</t>
  </si>
  <si>
    <t>Capacity Reserve Margin</t>
  </si>
  <si>
    <t>Marginal Distribution ($/kw-yr)</t>
  </si>
  <si>
    <t>Marginal Transmission ($/kw-yr)</t>
  </si>
  <si>
    <t>NEBs</t>
  </si>
  <si>
    <t>Electricity ($/kWh)</t>
  </si>
  <si>
    <t>Natural Gas ($/Therm)</t>
  </si>
  <si>
    <t>Rates used as presented in the TRM</t>
  </si>
  <si>
    <t>LPG ($/gallon)</t>
  </si>
  <si>
    <t>Water ($/gallon)</t>
  </si>
  <si>
    <t>Waste Water ($/gallon)</t>
  </si>
  <si>
    <t>Avoided Replacement Cost ($PV)</t>
  </si>
  <si>
    <t>Calculator provided by IEM</t>
  </si>
  <si>
    <t>Deferred Replacement Cost ($PV)</t>
  </si>
  <si>
    <t>Notes:</t>
  </si>
  <si>
    <t xml:space="preserve">Certain assumptions may not be applicable to some utilities. </t>
  </si>
  <si>
    <t xml:space="preserve">If there are multiple data values (e.g. annual avoided costs) presented elsewhere (e.g. in testimony) then reference source document. </t>
  </si>
  <si>
    <t xml:space="preserve">Notes/Source Documents column is provided for further definition of the data and/or references to source documents.  </t>
  </si>
  <si>
    <t>Electric Savings</t>
  </si>
  <si>
    <t>Natural Gas Savings</t>
  </si>
  <si>
    <t>Propane Savings</t>
  </si>
  <si>
    <t>Water/Waste Water</t>
  </si>
  <si>
    <t>Replacement Cost</t>
  </si>
  <si>
    <t>Total
NPV $</t>
  </si>
  <si>
    <t>Annual
KWh</t>
  </si>
  <si>
    <t>NPV $</t>
  </si>
  <si>
    <t>Annual
Therms</t>
  </si>
  <si>
    <t>Annual
Gallons</t>
  </si>
  <si>
    <t>Avoided
NPV $</t>
  </si>
  <si>
    <t>Deferred
NPV $</t>
  </si>
  <si>
    <t>Cost-Effectiveness Test</t>
  </si>
  <si>
    <t>Participant Cost Test
(PCT)</t>
  </si>
  <si>
    <t>Ratepayer Impact Measure
(RIM)</t>
  </si>
  <si>
    <t>Program Administrator Cost
(PAC)</t>
  </si>
  <si>
    <t>Other Test
(Specify)</t>
  </si>
  <si>
    <t>Net Benefits
($000's)</t>
  </si>
  <si>
    <t>Current Programs</t>
  </si>
  <si>
    <t>Discontinued Programs</t>
  </si>
  <si>
    <t>Is the Utility currently operating under a Formula Rate Plan (FRP)?</t>
  </si>
  <si>
    <t>Yes</t>
  </si>
  <si>
    <t>If Yes, provide the effective date of FRP.</t>
  </si>
  <si>
    <t xml:space="preserve">Programs savings reported are net savings and include adjustments for leakage. </t>
  </si>
  <si>
    <t>Baseline Calculation</t>
  </si>
  <si>
    <t>Portfolio Level Summary</t>
  </si>
  <si>
    <t>Initial Budget</t>
  </si>
  <si>
    <t>SD Exemptions Adjustment</t>
  </si>
  <si>
    <t>Actual Expenses ($)</t>
  </si>
  <si>
    <t>Adjusted Baseline</t>
  </si>
  <si>
    <t>Portfolio Net Benefits ($)</t>
  </si>
  <si>
    <t>Incentive Calculation</t>
  </si>
  <si>
    <t>Savings Achievement</t>
  </si>
  <si>
    <t>Commission Established Goal</t>
  </si>
  <si>
    <t>% of Goal Achieved</t>
  </si>
  <si>
    <t>10% of Portfolio Net Benefits ($)</t>
  </si>
  <si>
    <t>Incentive Cap</t>
  </si>
  <si>
    <t>Maximum Allowed Incentive ($)</t>
  </si>
  <si>
    <t>Eligible Incentive $'s</t>
  </si>
  <si>
    <t>Historical Data (Program Data - Prior Two Years)</t>
  </si>
  <si>
    <t>Annual Budget &amp; Actual Cost</t>
  </si>
  <si>
    <t>Number of Participants</t>
  </si>
  <si>
    <t>Budget</t>
  </si>
  <si>
    <t>Actual</t>
  </si>
  <si>
    <t>Plan</t>
  </si>
  <si>
    <t>Evaluated</t>
  </si>
  <si>
    <t>n/a</t>
  </si>
  <si>
    <t>Regulatory</t>
  </si>
  <si>
    <t>Total Portfolio - Current Programs</t>
  </si>
  <si>
    <t xml:space="preserve">Note any changes made to a program in the primary reporting year that differ from the prior two years. </t>
  </si>
  <si>
    <t>Total Portfolio - Discontinued Programs</t>
  </si>
  <si>
    <t xml:space="preserve">Total Portfolio - Prior Two Years </t>
  </si>
  <si>
    <t>Historical Data (Portfolio Data - Prior Four Years)</t>
  </si>
  <si>
    <t>EE Portfolio</t>
  </si>
  <si>
    <t>Revenue and Sales</t>
  </si>
  <si>
    <t>Expenses</t>
  </si>
  <si>
    <t>Savings (MWh)</t>
  </si>
  <si>
    <t>Revenue</t>
  </si>
  <si>
    <t>Glossary</t>
  </si>
  <si>
    <t>Term</t>
  </si>
  <si>
    <t>Definition</t>
  </si>
  <si>
    <t>Actual spending for a program/portfolio for the program year being reported.</t>
  </si>
  <si>
    <t>Annual Energy Savings</t>
  </si>
  <si>
    <t>Energy savings realized for a full year. (8,760 hours)</t>
  </si>
  <si>
    <t>Benefit Cost Ratio</t>
  </si>
  <si>
    <t>The ratio of the total benefits of the program to the total costs over the life of the measure discounted as appropriate.</t>
  </si>
  <si>
    <t>Customer Savings</t>
  </si>
  <si>
    <t>Savings that are derived from custom measures where deemed savings are not addressed in the currently approved TRM.</t>
  </si>
  <si>
    <t>A "book" estimate of the gross energy savings (kWh or therms) or gross demand savings (kW or therms) for a single unit of an installed EE measure that (a) has been developed from data sources and analytical methods that are widely considered acceptable for the measure and purpose and (b) is applicable to the set of measures undergoing evaluation.  This information is found in the TRM on the APSC website and is subject to updates effective for estimation of EE savings associated with measures installed since the beginning of the year in which the updated version is approved.  See Volume 2, Section 1.6.</t>
  </si>
  <si>
    <t>Demand</t>
  </si>
  <si>
    <t>The time rate of energy flow.  Demand usually refers to electric power measured in kW but can also refer to natural gas, usually as Btu/hr or therms/day, etc..  The level at which electricity or natural gas is delivered to users at a given point in time.</t>
  </si>
  <si>
    <t>Demand Savings</t>
  </si>
  <si>
    <t>Demand that did not occur due to the installation of an EE measure. (non-coincident peak)</t>
  </si>
  <si>
    <t>Energy Sales</t>
  </si>
  <si>
    <t>Energy sold by the utility in the calendar year.</t>
  </si>
  <si>
    <t>Energy Savings</t>
  </si>
  <si>
    <t>Energy use that did not occur due to the installation of an EE measure.</t>
  </si>
  <si>
    <t>Gross Savings</t>
  </si>
  <si>
    <t>The change in energy consumption and/or demand that results directly from program-related actions taken by participants in an efficiency program, regardless of why they participated.</t>
  </si>
  <si>
    <t>EE budget approved by the Commission for the program year being reported.  This would include any modifications to budgets approved by a specific Commission order.</t>
  </si>
  <si>
    <t>kW</t>
  </si>
  <si>
    <t>A Kilowatt is a measure of electric demand - 1000 watts.</t>
  </si>
  <si>
    <t>kWh</t>
  </si>
  <si>
    <t>The basic unit of electric energy usage over time.  One kWh is equal to one kW of power supplied to a circuit for a period of one hour.</t>
  </si>
  <si>
    <t>LCFC Energy Savings</t>
  </si>
  <si>
    <t>For the current Program Year, the sum of eligible net energy savings from (1) measures installed in prior Program Years (8,760 hours) and (2) measures installed in current Program Year as adjusted for time of installation, weather, etc. (less than 8,760 hours).  Clarification of item (1) above: The savings reported in the current year should only reflect the current year impact of measures installed in prior years but, should not include the savings claimed and reported in prior years.</t>
  </si>
  <si>
    <t>Lifetime</t>
  </si>
  <si>
    <t>The expected useful life, in years, that an installed measure will be in service and producing savings.</t>
  </si>
  <si>
    <t>The sum of the energy savings through the measure's useful life.</t>
  </si>
  <si>
    <t>Measures</t>
  </si>
  <si>
    <t>Specific technology or practice that produces energy and/or demand savings as a result of a ratepayer's participation in a Utility/TPA EE Program.</t>
  </si>
  <si>
    <t>Net Benefits</t>
  </si>
  <si>
    <t>The program benefits minus the program costs discounted at the appropriate rate.</t>
  </si>
  <si>
    <t>Net Savings</t>
  </si>
  <si>
    <t>The total change in load (energy or demand) that is attributable to an EE Program.  This change in load may include, implicitly or explicitly, the effects of free drivers, free riders, EE standards, changes in the level of energy service, and other causes of changes in energy consumption or demand.</t>
  </si>
  <si>
    <t>Net-to-Gross Ratio (NTGR)</t>
  </si>
  <si>
    <t>A factor representing net program savings divided by gross program savings that is applied to gross program impacts, converting them into net program load impacts.</t>
  </si>
  <si>
    <t>Savings for which no deemed savings exist and no custom M&amp;V was performed.</t>
  </si>
  <si>
    <t>Participant Cost Test (PCT)</t>
  </si>
  <si>
    <t>A cost-effectiveness test that measures the economic impact to the participating customer of adopting an EE measure.</t>
  </si>
  <si>
    <t>Participant</t>
  </si>
  <si>
    <t>A consumer that received a service offered through the subject efficiency program, in a given Program Year.  The term "service" is used in this definition to suggest that the service can be a wide variety of services, including financial rebates, technical assistance, product installations, training, EE information or other services, items, or conditions.  Each evaluation plan should define "participant" as it applies to the specific evaluation and in accordance with the C&amp;EE Rules and/or State law.</t>
  </si>
  <si>
    <t>Plan Savings</t>
  </si>
  <si>
    <t>Annual energy savings budgeted by the utility for the Program Year.</t>
  </si>
  <si>
    <t>Portfolio</t>
  </si>
  <si>
    <t>Either (a) a collection of similar programs addressing the same market (e.g., a portfolio of residential programs), technology (e.g., motor-efficiency programs), or mechanisms (e.g., loan programs) or (b) the set of all programs conducted by one organization, such as a utility (and which could include programs that cover multiple markets, technologies, etc..).</t>
  </si>
  <si>
    <t>Program Administrator Cost (PAC) Test</t>
  </si>
  <si>
    <t>The Program Administrator Cost Test measures the net costs of a demand-side management program as a resource option based on the costs incurred by the program administrator (including incentives costs) and excluding any net costs incurred by the participant.</t>
  </si>
  <si>
    <t>The Year in which programs are administered and delivered, for the purposes of planning and reporting, a Program Year shall be considered a calendar year, January 1 - December 31.</t>
  </si>
  <si>
    <t>Program</t>
  </si>
  <si>
    <t>A group of projects, with similar characteristics and installed in similar applications.  Examples could include a utility program to install energy-efficiency lighting in commercial buildings, a developer's program to build a subdivision of homes that have photovoltaic systems, or a state residential EE code program.</t>
  </si>
  <si>
    <t>Ratepayer Impact Measure (RIM) Test</t>
  </si>
  <si>
    <t>The Ratepayer Impact Measure test measures what happens to customer bills or rates due to changes in utility revenues and operating costs caused by the program.</t>
  </si>
  <si>
    <r>
      <t xml:space="preserve">EE Budget the utility used for the program year being reported.  This budget may be different from the </t>
    </r>
    <r>
      <rPr>
        <sz val="10"/>
        <rFont val="Calibri"/>
        <family val="2"/>
      </rPr>
      <t>Initial Budget</t>
    </r>
    <r>
      <rPr>
        <sz val="10"/>
        <color indexed="8"/>
        <rFont val="Calibri"/>
        <family val="2"/>
      </rPr>
      <t>, if the Commission has granted the utility the flexibility to modify its program budgets.</t>
    </r>
  </si>
  <si>
    <t>Sales as Adjusted for SD Exemptions</t>
  </si>
  <si>
    <t>The utility's 2010 Annual Energy Sales minus the 2010 Annual Energy Sales of the customers granted self-direct exemptions by Commission Order.</t>
  </si>
  <si>
    <t>Total Resource Cost (TRC) Test</t>
  </si>
  <si>
    <t>The Total Resource Cost Test measures the net costs of a demand-side management program as a resource option based on the total costs of the program, including both the participants' and the utility's costs.</t>
  </si>
  <si>
    <t xml:space="preserve">The total costs of the program to the utility and its ratepayers on a per kWh or per them basis levelized over the life of the program. </t>
  </si>
  <si>
    <t>Program-Type Definitions</t>
  </si>
  <si>
    <t>Audit - C&amp;I</t>
  </si>
  <si>
    <t>Programs in which an energy assessment is performed on one or more participant commercial or industrial facilities to identify sources of potential energy waste and measures to reduce that waste.</t>
  </si>
  <si>
    <t>Residential programs designed around directly influencing household habits and decision-making on energy consumption through numerical or graphical feedback on consumption, sometimes accompanied by tips on saving energy. These programs include behavioral feedback programs (in which energy usage reports compare a consumer's household energy usage with those of similar consumers); online audits that are completed by the consumer; and in-home displays that help consumers assess their usage in real time. These programs do not include on-site energy assessments or audits.</t>
  </si>
  <si>
    <t>Programs that incentivize the sale, purchase and installation of energy efficient measures/equipment and or devices (e.g., refrigerators, dishwashers, clothes washers, dryers, electronics, lighting, lighting fixtures, lighting controls, etc.) that are more efficient than those meeting minimum energy performance standards.  All rebate/incentive delivery channels are included (Coupon, upstream retail, upstream manufacturing, web based, point of sale, etc.). Further, these programs typically do not include the local participating contractor (HVAC, Insulation, Auditing, etc.) for installation or incentives/rebates.</t>
  </si>
  <si>
    <t>Programs designed around the delivery of site-specific projects typically characterized by an extensive onsite energy assessment and identification and installation of multiple measures unique to that facility. These measures are likely to vary significantly from site to site</t>
  </si>
  <si>
    <t>Demand response programs</t>
  </si>
  <si>
    <t>Financing</t>
  </si>
  <si>
    <t>Residential - Financing programs for residential projects.  As with other programs, costs here are utility costs, including the costs of any inducements for lenders, e.g., loan loss reserves, interest rate buy downs, etc.
C&amp;I - Projects designed to increase loan financing for C&amp;I energy efficiency projects. As with other programs, program costs here are any costs paid by the PA out of utility-customer funds, including, e.g., loan loss reserves or other credit enhancements, interest rate buy downs, etc., -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</si>
  <si>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Market Specific/Hard to Reach</t>
  </si>
  <si>
    <t>Multi-family and mobile homes programs are designed to encourage the installation of energy efficient measures in common areas, units or both for residential structures of more than four units. These programs may be aimed at building owners/managers, tenants or both. This program may include rebate, direct install and auditing incentives/services.</t>
  </si>
  <si>
    <t>New Construction</t>
  </si>
  <si>
    <t>Residential - Programs that provide incentives and possibly technical services to ensure new homes are built or manufactured to energy performance standards higher than applicable code, e.g., ENERGY STAR Homes. These programs include new multi-family and new/replacement mobile homes.
C&amp;I - Programs that incentivize owners or builders of new commercial or industrial facilities to design and build beyond current code or to a certain certification level, e.g., ENERGY STAR or LEED.</t>
  </si>
  <si>
    <t>Programs not captured by any of the specific Residential, Industrial or Commercial categories but are sufficiently detailed or distinct to not be treated as a "general" program. Example: An EE program aimed specifically at the commercial subsector but is not clearly prescriptive or custom in nature might be classified as C&amp;I: Other.</t>
  </si>
  <si>
    <t>Prescriptive programs that encourage the purchase and installation of some or all of a specified set of pre-approved measures.</t>
  </si>
  <si>
    <t>Residential Programs that focus on specific a technology or a limited technology that require additional verification, quality control and/or includes specific design engineering prior to installation. Such programs can include water heating programs, pool pumps, HVAC "right sizing" replace on burn out or retrofit. Like the Consumer Product rebate program the Measure/Technology focus program must exceed standards in Arkansas. Unlike the Consumer Product programs these programs will usually require the recruitment and training of installation contractors and reporting from installation contractors followed by quality control practices.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</si>
  <si>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 and completed outside this program.</t>
  </si>
  <si>
    <t>Definitions - Participants</t>
  </si>
  <si>
    <t>The number of individually metered accounts. A participating customer may have more than one account.</t>
  </si>
  <si>
    <t xml:space="preserve">The number of specific end-users identified by a unique customer identifier. A single customer may have one or more accounts. </t>
  </si>
  <si>
    <t>Equipment</t>
  </si>
  <si>
    <t>The specific number of units of energy efficiency equipment installed through the program.</t>
  </si>
  <si>
    <t>The number of residences where assessments were conducted and/or energy efficiency measure(s) installed.</t>
  </si>
  <si>
    <t xml:space="preserve">The number of energy efficiency units installed or performed through the program. </t>
  </si>
  <si>
    <t>Population</t>
  </si>
  <si>
    <t xml:space="preserve">Available number of customers within a specific class code, i.e., Residential, Commercial, etc. If the population refers to the Commercial and Industrial sectors, it may need to be reduced by the number of approved self-direct customers. </t>
  </si>
  <si>
    <t>The number of jobs identified by a unique project identifier. A project may include a single measure or a group of measures.</t>
  </si>
  <si>
    <t>Program Definitions - Residential</t>
  </si>
  <si>
    <t>Consumer Product Rebate/Appliances</t>
  </si>
  <si>
    <t>Programs that incentivize the sale, purchase and installation of appliances (e.g., refrigerators, dishwashers, clothes washers and dryers) that are more efficient than those meeting minimum energy performance standards. Appliance recycling and the sale/purchase/installation of HVAC equipment, water heaters and consumer electronics are accounted for separately.</t>
  </si>
  <si>
    <t>Consumer Product Rebate/Electronics</t>
  </si>
  <si>
    <t xml:space="preserve">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</si>
  <si>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</si>
  <si>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</si>
  <si>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Consumer Product Rebate/Appliance Recycling</t>
  </si>
  <si>
    <t>Programs designed to remove less efficient appliances (typically refrigerators and freezers) from households.</t>
  </si>
  <si>
    <t>Demand Response - Load Control</t>
  </si>
  <si>
    <t>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t>
  </si>
  <si>
    <t>Demand Response - Price/Time Base</t>
  </si>
  <si>
    <t xml:space="preserve">A)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b)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</si>
  <si>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Financing programs for residential projects. Costs here are utility costs, including the costs of any inducements for lenders, e.g., loan loss reserves, interest rate buy downs, etc.</t>
  </si>
  <si>
    <t>Manufactured programs are designed to encourage the installation of energy efficient measures in manufactured homes.</t>
  </si>
  <si>
    <t>Measure/Technology Focus - HVAC/Furnace</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</si>
  <si>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</si>
  <si>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Measure/Technology Focus - Insulation</t>
  </si>
  <si>
    <t>Programs designed to encourage the sale/purchase and installation of insulation in residential structures, often through per-square-foot incentives for insulation of specific R­ values versus existing baseline. Programs may be point-of-sale rebates or rebates to insulation installation contractors.</t>
  </si>
  <si>
    <t>Measure/Technology Focus - Pool Pumps</t>
  </si>
  <si>
    <t>Programs that incentivize the installation of higher efficiency or variable speed pumps and controls, such as timers, for swimming pools.</t>
  </si>
  <si>
    <t>Measure/Technology Focus - Water Heater</t>
  </si>
  <si>
    <t>Programs designed to encourage the distribution, sale/purchase and installation of electric and gas water-heating systems that are more efficient than current standards, including high efficiency water storage tank and tankless systems.</t>
  </si>
  <si>
    <t>Measure/Technology Focus - Windows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</si>
  <si>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</si>
  <si>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</si>
  <si>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</si>
  <si>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All residential programs not specifically captured in the other residential program categorizations.</t>
  </si>
  <si>
    <t>Whole Home/Audits</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</si>
  <si>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</si>
  <si>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Whole Home/Direct Install</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</si>
  <si>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also may include a basic, walk-through energy assessment or audit, but the savings are principally derived from the installation of the provided measures.</t>
  </si>
  <si>
    <t>Whole Home/Retrofit</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</si>
  <si>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 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</si>
  <si>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Program Definitions - Commercial &amp; Industrial</t>
  </si>
  <si>
    <t>Programs designed around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</si>
  <si>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Farm- and orchard-based agricultural programs that primarily involve irrigation pumping and do not include agricultural refrigeration or processing at scale.</t>
  </si>
  <si>
    <t>Data center programs are custom-designed around large-scale server floors or farms that often serve high-tech, banking or academia. Projects tend to be site­ specific and involve some combination of lighting, servers, networking devices, cooling/chillers, and energy management systems/software. Several of these may be of experimental or proprietary design.</t>
  </si>
  <si>
    <t>Industrial programs deliver  custom-designed  projects that are characterized by an onsite energy and process efficiency assessment and a site-specific measure set that may include, for example, substantial changes in a manufacturing line. This category includes all EE program work at industrial sites that is not otherwise covered by the single-measure prescriptive programs below,e.g., lighting, HVAC, water heaters. This category therefore includes, but is not limited to, all industrial and agricultural process efficiency, all non-single measure efficiency activities inside and on industrial buildings.</t>
  </si>
  <si>
    <t>Warehouse programs are aimed at large-scale refrigerated storage. Typical end uses are lighting, climate controls and refrigeration systems.</t>
  </si>
  <si>
    <t xml:space="preserve">a) Direct Load Control: A demand response activity by which the program sponsor or program administer remotely shuts down or cycles a customer's electrical equipment (e.g., air conditioner, water heater) on short notice. Direct load control programs are primarily offered to residential or small commercial customers. Also known as direct control load management.
b) Demand Response Program: A demand response program that provides incentive payments to customers for load reductions achieved during an Emergency Demand Response Event.
c) Interruptible Load: A demand response program where electric consumption is subject to curtailment or interruption under tariffs contracts that provide a rate discount or bill credit for agreeing to reduce load during system contingencies. In some instances, the demand reduction may be effected by action of the System Operator (remote tripping) after notice to the customer in accordance with contractual provisions.
</t>
  </si>
  <si>
    <t>Demand Response - Price/Time Base Response</t>
  </si>
  <si>
    <t xml:space="preserve">a) Critical Peak Pricing: Demand-side management that combines direct load control with a pre-specified high price for use during designated critical peak periods, triggered by system contingencies or high wholesale market prices.
b) Critical Peak Pricing with Load Control: Demand-side management that combines direct load control with a pre-specified high price for use during designated critical peak periods, triggered by system contingencies or high wholesale market prices.
c) Peak Time Rebate: 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
d) Real time pricing: Demand-side management that uses rate and price structure in which the retail price for electricity typically fluctuates hourly or more often, to reflect changes in the wholesale price of electricity on either a day-ahead or hour-ahead basis.
e) Time of Use Pricing: 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
</t>
  </si>
  <si>
    <t>Programs designed to increase loan financing for C&amp;I energy efficiency projects. As with other programs, program costs here are any costs paid by the PA out of utility-customer funds, including, e.g., loan loss reserves or other credit enhancements, interest rate  buy downs, etc.,- but not including rebates.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</si>
  <si>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MUSH (Municipal, University, School &amp; Hospital) and government and non-profit programs cover a broad swath of program types generally aimed at public and institutional facilities. Examples include incentives and/or technical assistance to promote energy efficiency upgrades for elementary schools, recreation halls and homeless shelters. Street lighting is accounted for separately.</t>
  </si>
  <si>
    <t>Programs not captured by any of the specific C&amp;I categories but are sufficiently detailed or distinct to not be treated as a "general" program. Ex ample: An EE program aimed specifically at the C&amp;I subsector but is not clearly prescriptive or custom in nature might be classified as C&amp;I: Other.</t>
  </si>
  <si>
    <t>Grocery programs are prescriptive programs aimed at supermarkets and are designed around indoor and outdoor lighting and refrigerated display cases.</t>
  </si>
  <si>
    <t>C&amp;I HVAC programs encourage the sale/purchase and installation of heating, cooling and chiller systems at higher efficiency than current energy performance standards, across a broad range of unit sizes and configurations. Most of these programs will be directed toward commercial structures.</t>
  </si>
  <si>
    <t>Programs aimed at improving the efficiency of office equipment, chiefly commercially available PCs, printers, monitors, networking devices and mainframes not rising to the scale of a server farm or floor.</t>
  </si>
  <si>
    <t>Prescriptive programs that encourage the purchase and installation of some or all of a specified set of pre-approved industrial measures besides those covered in other measure-specific prescriptive programs.</t>
  </si>
  <si>
    <t>C&amp;I lighting programs incentivize the installation of higher efficiency lighting and controls, compared to the existing baseline. Most of these programs will be directed toward commercial structures. Typical measures might include T-8/T-5 fluorescent lamps and fixtures; CFLs and fixtures; LEDs for lighting, displays, signs and refrigerated lighting; metal halide and ceramic lamps and fixtures; occupancy controls; daylight dimming; and timers.</t>
  </si>
  <si>
    <t>Motors programs usually offer a prescribed set of approved higher efficiency motors, with industrial motors programs typically getting the largest savings from larger, high powered motors (&gt;200 hp).</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</si>
  <si>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t>
  </si>
  <si>
    <t>Street lighting programs include incentives and/or technical support for the installation of higher efficiency street lighting and traffic lights than current baseline.</t>
  </si>
  <si>
    <t>Program Definitions - Cross Sector</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</si>
  <si>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compliance; and training of building inspectors in ensuring the codes are met.</t>
  </si>
  <si>
    <t>Market transformation programs include programs aimed primarily at reducing market barriers to the adoption of more efficient goods and services rather than acquiring energy savings, per se.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</si>
  <si>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 xml:space="preserve">ME&amp;O programs include most standalone marketing, education and outreach programs, e.g., development and delivery of in-school energy and water efficiency curricula; and statewide marketing, outreach and brand development. </t>
  </si>
  <si>
    <t>Multi-sector rebate programs include providing incentives for commercially available end-use goods for multiple sectors, e.g., PCs, HVAC.</t>
  </si>
  <si>
    <t>This category is intended to capture all programs that cannot be allocated to a specific sector (or are multi-sectoral) and cannot be allocated to a specific program type.</t>
  </si>
  <si>
    <t>Research</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</si>
  <si>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</si>
  <si>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Shading/reflective programs include programs designed to lessen heating and cooling loads through generally changes to the exterior of a structure, e.g., tree plantings to shade walls and windows ,window screens and cool/reflective roofs. These programs are not necessarily specific to a sector.</t>
  </si>
  <si>
    <t>Programs that support investments in pre-meter system savings, typically by the program administrator. The most common form of these programs are voltage regulation programs that reduce voltage (within reliability parameters) during select time periods. Other measures may include purchase of higher efficiency transformers.</t>
  </si>
  <si>
    <t>Workforce training and development programs are a distinct category of market transformation program designed to provide the underlying skills and labor base for deployment of energy-efficiency measures.</t>
  </si>
  <si>
    <t>Program Cost Type</t>
  </si>
  <si>
    <t>Planning / Design</t>
  </si>
  <si>
    <t>Marketing &amp; Delivery</t>
  </si>
  <si>
    <t>Program planning cost</t>
  </si>
  <si>
    <t>Advertising costs including, but not limited to, educational/promotional</t>
  </si>
  <si>
    <t>Program design cost</t>
  </si>
  <si>
    <t>materials, website development and updates</t>
  </si>
  <si>
    <t>Research and development cost</t>
  </si>
  <si>
    <t>TV/Radio ads</t>
  </si>
  <si>
    <t>Request for proposal preparation and evaluation</t>
  </si>
  <si>
    <t>Payment to AEO for EEA program</t>
  </si>
  <si>
    <t>Consultants used for program design and planning</t>
  </si>
  <si>
    <t>Commercial and Industrial energy audits</t>
  </si>
  <si>
    <t>Company employee costs relating to program design, planning and</t>
  </si>
  <si>
    <t>Personnel costs for performing marketing and delivery functions</t>
  </si>
  <si>
    <t xml:space="preserve"> research and development</t>
  </si>
  <si>
    <t>Costs of processing rebates</t>
  </si>
  <si>
    <t>Database development/update costs</t>
  </si>
  <si>
    <t>Trade ally training events</t>
  </si>
  <si>
    <t>Incentives / Direct Install Costs</t>
  </si>
  <si>
    <t>Costs to support other EE related events and organizations</t>
  </si>
  <si>
    <t>Rebates</t>
  </si>
  <si>
    <t>Measurement and Verification costs as related to direct program/project/measure</t>
  </si>
  <si>
    <t>Water conservation kits</t>
  </si>
  <si>
    <t>costs to validate savings within the utility program (i.e. customer projects) and</t>
  </si>
  <si>
    <t>Interruptible credits or payments</t>
  </si>
  <si>
    <t>outside of independent EM&amp;V</t>
  </si>
  <si>
    <t>Payments to CADC (AWP) for weatherization of homes</t>
  </si>
  <si>
    <t>Payments to contractors for weatherization services</t>
  </si>
  <si>
    <t>EM&amp;V</t>
  </si>
  <si>
    <t>Direct install costs for all programs with direct install provisions</t>
  </si>
  <si>
    <t>Payments to consultants for preparation/update of Deemed Savings and</t>
  </si>
  <si>
    <t>Coupons and upstream program incentives</t>
  </si>
  <si>
    <t>Technical Reference Manual</t>
  </si>
  <si>
    <t>Residential energy audits</t>
  </si>
  <si>
    <t>Consultants costs for IEM and independent third party evaluations</t>
  </si>
  <si>
    <t>Administration</t>
  </si>
  <si>
    <t>Utility company personnel training costs</t>
  </si>
  <si>
    <t>Outside counsel legal fees for EE dockets</t>
  </si>
  <si>
    <t>Utility company EE personnel salary and benefits not charged elsewhere</t>
  </si>
  <si>
    <t>Travel costs related to EE dockets</t>
  </si>
  <si>
    <t>Overhead costs (office space, vehicles, etc.)</t>
  </si>
  <si>
    <t xml:space="preserve">Costs for preparing annual reports and EECR filings, including costs related to </t>
  </si>
  <si>
    <t>performing the required cost effectiveness tests</t>
  </si>
  <si>
    <t>Costs related to regulatory specific collaborative meetings and events</t>
  </si>
  <si>
    <t>Target Sectors and Program-Type Name</t>
  </si>
  <si>
    <t>Order</t>
  </si>
  <si>
    <t>Participant List</t>
  </si>
  <si>
    <t>******Single-Class******</t>
  </si>
  <si>
    <t>Direct Install</t>
  </si>
  <si>
    <t>Implementing Contractor</t>
  </si>
  <si>
    <t>Small Business</t>
  </si>
  <si>
    <t>Self-Install</t>
  </si>
  <si>
    <t>Municipalities/Schools</t>
  </si>
  <si>
    <t>Agriculture</t>
  </si>
  <si>
    <t>******Multi-Class******</t>
  </si>
  <si>
    <t>Portfolio Information</t>
  </si>
  <si>
    <t>Sector</t>
  </si>
  <si>
    <t>Type</t>
  </si>
  <si>
    <t>Channel</t>
  </si>
  <si>
    <t>Program Year Evaluation</t>
  </si>
  <si>
    <t>Lifetime Savings</t>
  </si>
  <si>
    <t>TRC Total Cost</t>
  </si>
  <si>
    <t>TRC Total Benefits</t>
  </si>
  <si>
    <t>TRC Net Benefits</t>
  </si>
  <si>
    <t>TRC Ratio</t>
  </si>
  <si>
    <t>History</t>
  </si>
  <si>
    <t>Savings Energy</t>
  </si>
  <si>
    <t>Savings Demand</t>
  </si>
  <si>
    <t xml:space="preserve">Budget </t>
  </si>
  <si>
    <t>Group</t>
  </si>
  <si>
    <t>Rank</t>
  </si>
  <si>
    <t>Table 1</t>
  </si>
  <si>
    <t>Energy</t>
  </si>
  <si>
    <t>TRC Net $</t>
  </si>
  <si>
    <t>PAC Ratio</t>
  </si>
  <si>
    <t>Target</t>
  </si>
  <si>
    <t>Achieved</t>
  </si>
  <si>
    <t>% Achieved</t>
  </si>
  <si>
    <t>Table 2</t>
  </si>
  <si>
    <t>Table 3</t>
  </si>
  <si>
    <t>Table 4</t>
  </si>
  <si>
    <t>Year</t>
  </si>
  <si>
    <t>Sales  (MWh)</t>
  </si>
  <si>
    <t>EE Budget</t>
  </si>
  <si>
    <t>EE Expense</t>
  </si>
  <si>
    <t>Report 1</t>
  </si>
  <si>
    <t>Benefits</t>
  </si>
  <si>
    <t>Report 2</t>
  </si>
  <si>
    <t>Net</t>
  </si>
  <si>
    <t>Value</t>
  </si>
  <si>
    <t>Cost-Effectiveness</t>
  </si>
  <si>
    <t>Goal Achievement</t>
  </si>
  <si>
    <t>Actual 
Expenses</t>
  </si>
  <si>
    <t>Performance 
Incentives</t>
  </si>
  <si>
    <t>TRC 
Net Benefits</t>
  </si>
  <si>
    <t>TRC
Ratio</t>
  </si>
  <si>
    <t>PAC
Ratio</t>
  </si>
  <si>
    <t>Commission 
Established 
Target</t>
  </si>
  <si>
    <t>Actual 
Savings 
Achieved</t>
  </si>
  <si>
    <t>% of 
Target 
Achieved</t>
  </si>
  <si>
    <t>(NPV)</t>
  </si>
  <si>
    <t>% of Baseline</t>
  </si>
  <si>
    <t>(%)</t>
  </si>
  <si>
    <t>Work Book is Incomplete 
- Click Here For Details-</t>
  </si>
  <si>
    <t>% of 
Budget</t>
  </si>
  <si>
    <t>($)</t>
  </si>
  <si>
    <t>EE Portfolio Expenditure Summary by Cost Type</t>
  </si>
  <si>
    <t>% of</t>
  </si>
  <si>
    <t>Cost Type</t>
  </si>
  <si>
    <t>Revenue and Expenses</t>
  </si>
  <si>
    <r>
      <t xml:space="preserve">Total Revenue
</t>
    </r>
    <r>
      <rPr>
        <sz val="10"/>
        <rFont val="Calibri"/>
        <family val="2"/>
      </rPr>
      <t>(a)</t>
    </r>
  </si>
  <si>
    <r>
      <t xml:space="preserve">Total Annual Energy Sales
</t>
    </r>
    <r>
      <rPr>
        <sz val="10"/>
        <rFont val="Calibri"/>
        <family val="2"/>
      </rPr>
      <t>(d)</t>
    </r>
  </si>
  <si>
    <r>
      <t xml:space="preserve">Portfolio Budget
</t>
    </r>
    <r>
      <rPr>
        <sz val="10"/>
        <rFont val="Calibri"/>
        <family val="2"/>
      </rPr>
      <t>(b)</t>
    </r>
  </si>
  <si>
    <t>% of Revenue</t>
  </si>
  <si>
    <r>
      <t xml:space="preserve">Portfolio Spending
</t>
    </r>
    <r>
      <rPr>
        <sz val="10"/>
        <rFont val="Calibri"/>
        <family val="2"/>
      </rPr>
      <t>(c)</t>
    </r>
  </si>
  <si>
    <r>
      <t xml:space="preserve">Net Annual Savings
</t>
    </r>
    <r>
      <rPr>
        <sz val="10"/>
        <rFont val="Calibri"/>
        <family val="2"/>
      </rPr>
      <t>(e)</t>
    </r>
  </si>
  <si>
    <t>% of Energy Sales</t>
  </si>
  <si>
    <r>
      <t xml:space="preserve">Net Annual Savings
</t>
    </r>
    <r>
      <rPr>
        <sz val="10"/>
        <rFont val="Calibri"/>
        <family val="2"/>
      </rPr>
      <t>(f)</t>
    </r>
  </si>
  <si>
    <t>(%=b/a)</t>
  </si>
  <si>
    <t>(%=c/a)</t>
  </si>
  <si>
    <t>(MWh)</t>
  </si>
  <si>
    <t>(%=e/d)</t>
  </si>
  <si>
    <t>(%=f/d)</t>
  </si>
  <si>
    <t>Table 5</t>
  </si>
  <si>
    <t>Select program from dropdown menu to view details.</t>
  </si>
  <si>
    <t>Expenditures</t>
  </si>
  <si>
    <t>%</t>
  </si>
  <si>
    <t>TOTAL:</t>
  </si>
  <si>
    <t>TOTAL</t>
  </si>
  <si>
    <t>Select the Data to be Displayed in Chart</t>
  </si>
  <si>
    <t>Savings (kWh)</t>
  </si>
  <si>
    <t>Actual Expense</t>
  </si>
  <si>
    <t>Report 3</t>
  </si>
  <si>
    <t>Level of Adoption of NAPEE "Best Practices" (Issue #8)</t>
  </si>
  <si>
    <t>Item #</t>
  </si>
  <si>
    <t>1a.</t>
  </si>
  <si>
    <t>1b.</t>
  </si>
  <si>
    <t>1c.</t>
  </si>
  <si>
    <t>2a.</t>
  </si>
  <si>
    <t>2b.</t>
  </si>
  <si>
    <t>3a.</t>
  </si>
  <si>
    <t>FTEs</t>
  </si>
  <si>
    <t>FTEs / $1M of EE Spending</t>
  </si>
  <si>
    <t>Training Sessions Attended</t>
  </si>
  <si>
    <t>Training Sessions Man-Hours</t>
  </si>
  <si>
    <t>EE Total Portfolio Expenses
(A)</t>
  </si>
  <si>
    <t>Planning &amp; Design
(B)</t>
  </si>
  <si>
    <t>As % of Total Portfolio Expenses</t>
  </si>
  <si>
    <t>Implementa-
tion
(C)
(C=A-B-D)</t>
  </si>
  <si>
    <t>EM&amp;V
(D)</t>
  </si>
  <si>
    <t>(%=B/A)</t>
  </si>
  <si>
    <t>(%=C/A)</t>
  </si>
  <si>
    <t>(%=D/A)</t>
  </si>
  <si>
    <t>Index to Docket No. 10-010-U Issue #8 Items</t>
  </si>
  <si>
    <t>Description</t>
  </si>
  <si>
    <t>Where Available?</t>
  </si>
  <si>
    <t>Program Staffing and Training Requirements</t>
  </si>
  <si>
    <t>Above</t>
  </si>
  <si>
    <t>DSM Program Design &amp; Implementation</t>
  </si>
  <si>
    <t>DSM Program Evaluation</t>
  </si>
  <si>
    <t>Estimation of DSM Resource Potential</t>
  </si>
  <si>
    <t>Narrative Section 1.0</t>
  </si>
  <si>
    <t>Shareholder Incentives for Program Performance</t>
  </si>
  <si>
    <t>Incentives Section</t>
  </si>
  <si>
    <t>Resource Planning with Energy Efficiency</t>
  </si>
  <si>
    <t>Utility Best Practices Guidance for Providing Business Customers with Energy Use Cost Data</t>
  </si>
  <si>
    <t>Narrative Section 3.3</t>
  </si>
  <si>
    <t>Customer Incentives for Energy Efficiency Through Electric and Natural Gas Rate Design</t>
  </si>
  <si>
    <t>Total Cost</t>
  </si>
  <si>
    <t>Levelized cost</t>
  </si>
  <si>
    <t>Historical Data (Next Annual Report)</t>
  </si>
  <si>
    <t>Tab</t>
  </si>
  <si>
    <t>Title 1</t>
  </si>
  <si>
    <t>Title 2</t>
  </si>
  <si>
    <t>Not Used</t>
  </si>
  <si>
    <t>Title 3</t>
  </si>
  <si>
    <t>Title 4</t>
  </si>
  <si>
    <t>Title 5</t>
  </si>
  <si>
    <t>Energy 1</t>
  </si>
  <si>
    <t>Energy 2</t>
  </si>
  <si>
    <t>Lost Contributions to Fixed Cost</t>
  </si>
  <si>
    <t>Demand 1</t>
  </si>
  <si>
    <t>Utility Performance Incentives</t>
  </si>
  <si>
    <t>Demand 2</t>
  </si>
  <si>
    <t>Utilities</t>
  </si>
  <si>
    <t>Natural Gas</t>
  </si>
  <si>
    <t>MWh</t>
  </si>
  <si>
    <t>Therms</t>
  </si>
  <si>
    <t>MW</t>
  </si>
  <si>
    <t>Empty List</t>
  </si>
  <si>
    <t>Status Report</t>
  </si>
  <si>
    <t>Cells Incomplete</t>
  </si>
  <si>
    <t>Status</t>
  </si>
  <si>
    <t>Report 4</t>
  </si>
  <si>
    <t>Errors:</t>
  </si>
  <si>
    <t>Baseline Year</t>
  </si>
  <si>
    <t>Docket No.</t>
  </si>
  <si>
    <t>Order No.</t>
  </si>
  <si>
    <t>08-137-U</t>
  </si>
  <si>
    <t>13-002-U</t>
  </si>
  <si>
    <t>20xx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</si>
</sst>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
    <numFmt numFmtId="166" formatCode="[$-409]mmmm\ d\,\ yyyy;@"/>
    <numFmt numFmtId="167" formatCode="##."/>
    <numFmt numFmtId="168" formatCode="m/d/yy;@"/>
    <numFmt numFmtId="169" formatCode="#,##0.0_);\(#,##0.0\)"/>
    <numFmt numFmtId="170" formatCode="_(&quot;$&quot;* #,##0.0000_);_(&quot;$&quot;* \(#,##0.0000\);_(&quot;$&quot;* &quot;-&quot;????_);_(@_)"/>
    <numFmt numFmtId="171" formatCode="_(&quot;$&quot;* #,##0.0000_);_(&quot;$&quot;* \(#,##0.0000\);_(&quot;$&quot;* &quot;-&quot;_);_(@_)"/>
    <numFmt numFmtId="172" formatCode="_(&quot;$&quot;* #,##0_);_(&quot;$&quot;* \(#,##0\);_(&quot;$&quot;* &quot;-&quot;??_);_(@_)"/>
    <numFmt numFmtId="173" formatCode="[$-409]mmm\-yyyy;@"/>
    <numFmt numFmtId="174" formatCode="&quot;$&quot;#,##0.0000"/>
    <numFmt numFmtId="175" formatCode="&quot;$&quot;#,##0.00"/>
  </numFmts>
  <fonts count="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0"/>
      <name val="Calibri"/>
      <family val="2"/>
    </font>
    <font>
      <sz val="10"/>
      <color indexed="8"/>
      <name val="Calibri"/>
      <family val="2"/>
    </font>
    <font>
      <b/>
      <sz val="12"/>
      <name val="Calibri"/>
      <family val="2"/>
    </font>
    <font>
      <b/>
      <sz val="10"/>
      <name val="Calibri"/>
      <family val="2"/>
    </font>
    <font>
      <sz val="9"/>
      <color indexed="8"/>
      <name val="Calibri"/>
      <family val="2"/>
    </font>
    <font>
      <b/>
      <u/>
      <sz val="10"/>
      <name val="Calibri"/>
      <family val="2"/>
    </font>
    <font>
      <b/>
      <sz val="11"/>
      <name val="Calibri"/>
      <family val="2"/>
    </font>
    <font>
      <sz val="10"/>
      <color indexed="8"/>
      <name val="Arial"/>
      <family val="2"/>
    </font>
    <font>
      <b/>
      <sz val="10"/>
      <name val="Arial"/>
      <family val="2"/>
    </font>
    <font>
      <b/>
      <sz val="10"/>
      <color indexed="8"/>
      <name val="Arial"/>
      <family val="2"/>
    </font>
    <font>
      <b/>
      <sz val="10"/>
      <color indexed="8"/>
      <name val="Calibri"/>
      <family val="2"/>
    </font>
    <font>
      <sz val="8"/>
      <name val="Calibri"/>
      <family val="2"/>
    </font>
    <font>
      <sz val="9"/>
      <name val="Calibri"/>
      <family val="2"/>
    </font>
    <font>
      <b/>
      <sz val="14"/>
      <name val="Calibri"/>
      <family val="2"/>
    </font>
    <font>
      <b/>
      <sz val="8"/>
      <name val="Calibri"/>
      <family val="2"/>
    </font>
    <font>
      <b/>
      <sz val="9"/>
      <name val="Calibri"/>
      <family val="2"/>
    </font>
    <font>
      <b/>
      <sz val="18"/>
      <name val="Arial"/>
      <family val="2"/>
    </font>
    <font>
      <b/>
      <sz val="9"/>
      <name val="Arial"/>
      <family val="2"/>
    </font>
    <font>
      <sz val="9"/>
      <name val="Arial"/>
      <family val="2"/>
    </font>
    <font>
      <b/>
      <sz val="8"/>
      <name val="Arial"/>
      <family val="2"/>
    </font>
    <font>
      <sz val="8"/>
      <name val="Arial"/>
      <family val="2"/>
    </font>
    <font>
      <i/>
      <sz val="8"/>
      <name val="Calibri"/>
      <family val="2"/>
    </font>
    <font>
      <b/>
      <sz val="11"/>
      <name val="Arial"/>
      <family val="2"/>
    </font>
    <font>
      <sz val="36"/>
      <name val="Calibri"/>
      <family val="2"/>
    </font>
    <font>
      <i/>
      <sz val="24"/>
      <name val="Calibri"/>
      <family val="2"/>
    </font>
    <font>
      <b/>
      <sz val="12"/>
      <color indexed="9"/>
      <name val="Calibri"/>
      <family val="2"/>
    </font>
    <font>
      <sz val="9"/>
      <color indexed="9"/>
      <name val="Calibri"/>
      <family val="2"/>
    </font>
    <font>
      <u/>
      <sz val="10"/>
      <name val="Arial"/>
      <family val="2"/>
    </font>
    <font>
      <b/>
      <sz val="16"/>
      <color indexed="8"/>
      <name val="Calibri"/>
      <family val="2"/>
    </font>
    <font>
      <b/>
      <u/>
      <sz val="14"/>
      <name val="Calibri"/>
      <family val="2"/>
    </font>
    <font>
      <sz val="36"/>
      <name val="Calibri"/>
      <family val="2"/>
      <scheme val="minor"/>
    </font>
    <font>
      <i/>
      <sz val="24"/>
      <name val="Calibri"/>
      <family val="2"/>
      <scheme val="minor"/>
    </font>
    <font>
      <i/>
      <sz val="12"/>
      <name val="Calibri"/>
      <family val="2"/>
      <scheme val="minor"/>
    </font>
    <font>
      <b/>
      <sz val="12"/>
      <color indexed="8"/>
      <name val="Calibri"/>
      <family val="2"/>
    </font>
    <font>
      <b/>
      <u/>
      <sz val="16"/>
      <name val="Calibri"/>
      <family val="2"/>
    </font>
    <font>
      <sz val="10"/>
      <color theme="2" tint="-0.499984740745262"/>
      <name val="Calibri"/>
      <family val="2"/>
    </font>
    <font>
      <sz val="10"/>
      <color theme="0"/>
      <name val="Calibri"/>
      <family val="2"/>
    </font>
    <font>
      <b/>
      <sz val="10"/>
      <color rgb="FFFF0000"/>
      <name val="Arial"/>
      <family val="2"/>
    </font>
    <font>
      <sz val="9"/>
      <color indexed="8"/>
      <name val="Arial"/>
      <family val="2"/>
    </font>
    <font>
      <sz val="8"/>
      <color indexed="8"/>
      <name val="Arial"/>
      <family val="2"/>
    </font>
    <font>
      <b/>
      <u/>
      <sz val="10"/>
      <color rgb="FFFF0000"/>
      <name val="Arial"/>
      <family val="2"/>
    </font>
    <font>
      <sz val="8"/>
      <color indexed="8"/>
      <name val="Calibri"/>
      <family val="2"/>
    </font>
    <font>
      <b/>
      <sz val="9"/>
      <color rgb="FFFF0000"/>
      <name val="Calibri"/>
      <family val="2"/>
    </font>
    <font>
      <sz val="12"/>
      <color rgb="FFFF0000"/>
      <name val="Wingdings"/>
      <charset val="2"/>
    </font>
    <font>
      <sz val="12"/>
      <color rgb="FFFF0000"/>
      <name val="Arial"/>
      <family val="2"/>
    </font>
    <font>
      <b/>
      <sz val="10"/>
      <color theme="0"/>
      <name val="Calibri"/>
      <family val="2"/>
    </font>
    <font>
      <sz val="12"/>
      <color rgb="FFFF0000"/>
      <name val="Calibri"/>
      <family val="2"/>
    </font>
    <font>
      <sz val="12"/>
      <color rgb="FFFF0000"/>
      <name val="Calibri"/>
      <family val="2"/>
      <scheme val="minor"/>
    </font>
    <font>
      <sz val="10"/>
      <name val="Arial"/>
      <family val="2"/>
    </font>
    <font>
      <sz val="8"/>
      <name val="Arial"/>
      <family val="2"/>
    </font>
    <font>
      <sz val="10"/>
      <name val="Arial"/>
      <family val="2"/>
    </font>
    <font>
      <sz val="10"/>
      <color theme="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8"/>
        <bgColor indexed="64"/>
      </patternFill>
    </fill>
    <fill>
      <patternFill patternType="solid">
        <fgColor rgb="FFFFFFCC"/>
        <bgColor indexed="64"/>
      </patternFill>
    </fill>
    <fill>
      <patternFill patternType="solid">
        <fgColor rgb="FFC0C0C0"/>
        <bgColor indexed="64"/>
      </patternFill>
    </fill>
    <fill>
      <patternFill patternType="solid">
        <fgColor theme="4"/>
        <bgColor indexed="64"/>
      </patternFill>
    </fill>
    <fill>
      <patternFill patternType="solid">
        <fgColor theme="0" tint="-0.14999847407452621"/>
        <bgColor indexed="64"/>
      </patternFill>
    </fill>
    <fill>
      <patternFill patternType="solid">
        <fgColor theme="4" tint="0.59999389629810485"/>
        <bgColor indexed="64"/>
      </patternFill>
    </fill>
    <fill>
      <patternFill patternType="gray125">
        <bgColor rgb="FFFFFFCC"/>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bgColor indexed="64"/>
      </patternFill>
    </fill>
    <fill>
      <patternFill patternType="solid">
        <fgColor theme="0"/>
        <bgColor indexed="64"/>
      </patternFill>
    </fill>
    <fill>
      <patternFill patternType="solid">
        <fgColor rgb="FFFFFF00"/>
        <bgColor indexed="64"/>
      </patternFill>
    </fill>
    <fill>
      <patternFill patternType="solid">
        <fgColor rgb="FFFFFFCC"/>
        <bgColor rgb="FF000000"/>
      </patternFill>
    </fill>
  </fills>
  <borders count="10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style="medium">
        <color indexed="64"/>
      </left>
      <right style="thin">
        <color indexed="63"/>
      </right>
      <top style="thin">
        <color indexed="63"/>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3"/>
      </left>
      <right style="thin">
        <color indexed="63"/>
      </right>
      <top style="thin">
        <color indexed="63"/>
      </top>
      <bottom style="medium">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3"/>
      </left>
      <right style="thin">
        <color indexed="63"/>
      </right>
      <top style="thin">
        <color indexed="63"/>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right/>
      <top style="dashed">
        <color theme="0" tint="-0.34998626667073579"/>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thin">
        <color indexed="64"/>
      </left>
      <right/>
      <top/>
      <bottom style="medium">
        <color indexed="64"/>
      </bottom>
      <diagonal/>
    </border>
    <border>
      <left style="medium">
        <color theme="3"/>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38">
    <xf numFmtId="0" fontId="0" fillId="0" borderId="0"/>
    <xf numFmtId="0" fontId="22" fillId="2" borderId="0" applyFill="0">
      <alignment horizontal="left"/>
    </xf>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25" fillId="0" borderId="0" applyNumberFormat="0" applyBorder="0" applyProtection="0">
      <alignment horizontal="left"/>
    </xf>
    <xf numFmtId="0" fontId="7" fillId="8"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0" borderId="0" applyNumberFormat="0" applyBorder="0" applyAlignment="0" applyProtection="0"/>
    <xf numFmtId="0" fontId="49" fillId="29" borderId="80" applyNumberFormat="0" applyProtection="0">
      <alignment horizontal="center" vertical="center"/>
    </xf>
    <xf numFmtId="0" fontId="7" fillId="11"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41" fontId="4"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37" fontId="21" fillId="0" borderId="0" applyFill="0" applyBorder="0" applyProtection="0">
      <alignment horizontal="center"/>
    </xf>
    <xf numFmtId="169" fontId="21" fillId="0" borderId="0" applyFill="0" applyBorder="0" applyAlignment="0" applyProtection="0"/>
    <xf numFmtId="43" fontId="6" fillId="0" borderId="0" applyFont="0" applyFill="0" applyBorder="0" applyAlignment="0" applyProtection="0"/>
    <xf numFmtId="42" fontId="4"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44" fontId="20" fillId="0" borderId="0" applyFont="0" applyFill="0" applyBorder="0" applyAlignment="0" applyProtection="0"/>
    <xf numFmtId="44" fontId="6"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3" fillId="4" borderId="0" applyNumberFormat="0" applyBorder="0" applyAlignment="0" applyProtection="0"/>
    <xf numFmtId="0" fontId="23" fillId="0" borderId="0" applyNumberFormat="0" applyFill="0" applyProtection="0">
      <alignment horizontal="left"/>
    </xf>
    <xf numFmtId="0" fontId="23" fillId="0" borderId="0" applyNumberFormat="0" applyFill="0" applyProtection="0">
      <alignment horizontal="left"/>
    </xf>
    <xf numFmtId="0" fontId="24" fillId="0" borderId="0" applyNumberFormat="0" applyFill="0" applyProtection="0">
      <alignment horizontal="left"/>
    </xf>
    <xf numFmtId="0" fontId="24" fillId="0" borderId="0" applyNumberFormat="0" applyFill="0" applyProtection="0">
      <alignment horizontal="left"/>
    </xf>
    <xf numFmtId="0" fontId="14" fillId="0" borderId="3"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1" fillId="27" borderId="4" applyNumberFormat="0">
      <alignment horizontal="left"/>
      <protection locked="0"/>
    </xf>
    <xf numFmtId="0" fontId="21" fillId="27" borderId="4" applyNumberFormat="0">
      <alignment horizontal="left"/>
      <protection locked="0"/>
    </xf>
    <xf numFmtId="0" fontId="15" fillId="0" borderId="5" applyNumberFormat="0" applyFill="0" applyAlignment="0" applyProtection="0"/>
    <xf numFmtId="0" fontId="15" fillId="0" borderId="5" applyNumberFormat="0" applyFill="0" applyAlignment="0" applyProtection="0"/>
    <xf numFmtId="0" fontId="16" fillId="23" borderId="0" applyNumberFormat="0" applyBorder="0" applyAlignment="0" applyProtection="0"/>
    <xf numFmtId="0" fontId="16" fillId="23" borderId="0" applyNumberFormat="0" applyBorder="0" applyAlignment="0" applyProtection="0"/>
    <xf numFmtId="0" fontId="5" fillId="24" borderId="6" applyNumberFormat="0" applyFont="0" applyAlignment="0" applyProtection="0"/>
    <xf numFmtId="0" fontId="5" fillId="24" borderId="6" applyNumberFormat="0" applyFont="0" applyAlignment="0" applyProtection="0"/>
    <xf numFmtId="0" fontId="24" fillId="28" borderId="7" applyNumberFormat="0" applyAlignment="0" applyProtection="0"/>
    <xf numFmtId="0" fontId="24" fillId="28" borderId="7" applyNumberFormat="0" applyAlignment="0" applyProtection="0"/>
    <xf numFmtId="9" fontId="4"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7" fontId="21" fillId="0" borderId="0"/>
    <xf numFmtId="0" fontId="22" fillId="2" borderId="0" applyFill="0">
      <alignment horizontal="left"/>
    </xf>
    <xf numFmtId="0" fontId="22" fillId="2" borderId="4" applyFill="0">
      <alignment horizontal="left" vertical="top" wrapText="1"/>
    </xf>
    <xf numFmtId="37" fontId="21" fillId="27" borderId="4" applyProtection="0">
      <alignment horizontal="center"/>
    </xf>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22" fillId="2" borderId="0" applyFill="0">
      <alignment horizontal="left"/>
    </xf>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25" fillId="0" borderId="0" applyNumberFormat="0" applyBorder="0" applyProtection="0">
      <alignment horizontal="left"/>
    </xf>
    <xf numFmtId="0" fontId="25" fillId="0" borderId="0" applyNumberFormat="0" applyBorder="0" applyProtection="0">
      <alignment horizontal="left"/>
    </xf>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41" fontId="69"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69" fillId="0" borderId="0" applyFont="0" applyFill="0" applyBorder="0" applyAlignment="0" applyProtection="0"/>
    <xf numFmtId="37" fontId="21" fillId="0" borderId="0" applyFill="0" applyBorder="0" applyProtection="0">
      <alignment horizontal="center"/>
    </xf>
    <xf numFmtId="43" fontId="69" fillId="0" borderId="0" applyFont="0" applyFill="0" applyBorder="0" applyAlignment="0" applyProtection="0"/>
    <xf numFmtId="43" fontId="69" fillId="0" borderId="0" applyFont="0" applyFill="0" applyBorder="0" applyAlignment="0" applyProtection="0"/>
    <xf numFmtId="43" fontId="4" fillId="0" borderId="0" applyFont="0" applyFill="0" applyBorder="0" applyAlignment="0" applyProtection="0"/>
    <xf numFmtId="42" fontId="69"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6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1" fillId="27" borderId="91" applyNumberFormat="0">
      <alignment horizontal="left"/>
      <protection locked="0"/>
    </xf>
    <xf numFmtId="0" fontId="21" fillId="27" borderId="91" applyNumberFormat="0">
      <alignment horizontal="left"/>
      <protection locked="0"/>
    </xf>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4" fillId="0" borderId="0"/>
    <xf numFmtId="9" fontId="69"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9"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43" fontId="4" fillId="0" borderId="0" applyFont="0" applyFill="0" applyBorder="0" applyAlignment="0" applyProtection="0"/>
    <xf numFmtId="0" fontId="41" fillId="0" borderId="0"/>
    <xf numFmtId="43" fontId="71" fillId="0" borderId="0" applyFont="0" applyFill="0" applyBorder="0" applyAlignment="0" applyProtection="0"/>
  </cellStyleXfs>
  <cellXfs count="805">
    <xf numFmtId="0" fontId="0" fillId="0" borderId="0" xfId="0"/>
    <xf numFmtId="0" fontId="6" fillId="0" borderId="0" xfId="0" applyFont="1"/>
    <xf numFmtId="0" fontId="21" fillId="0" borderId="0" xfId="0" applyFont="1"/>
    <xf numFmtId="0" fontId="21" fillId="0" borderId="9" xfId="0" applyFont="1" applyBorder="1"/>
    <xf numFmtId="0" fontId="21" fillId="0" borderId="10" xfId="0" applyFont="1" applyBorder="1"/>
    <xf numFmtId="0" fontId="21" fillId="0" borderId="11" xfId="0" applyFont="1" applyBorder="1"/>
    <xf numFmtId="0" fontId="21" fillId="0" borderId="12" xfId="0" applyFont="1" applyBorder="1"/>
    <xf numFmtId="0" fontId="21" fillId="0" borderId="13" xfId="0" applyFont="1" applyBorder="1"/>
    <xf numFmtId="0" fontId="0" fillId="0" borderId="9" xfId="0" applyBorder="1"/>
    <xf numFmtId="0" fontId="23" fillId="0" borderId="0" xfId="51">
      <alignment horizontal="left"/>
    </xf>
    <xf numFmtId="0" fontId="24" fillId="0" borderId="0" xfId="53">
      <alignment horizontal="left"/>
    </xf>
    <xf numFmtId="42" fontId="24" fillId="0" borderId="0" xfId="0" applyNumberFormat="1" applyFont="1"/>
    <xf numFmtId="42" fontId="24" fillId="0" borderId="0" xfId="0" applyNumberFormat="1" applyFont="1" applyAlignment="1">
      <alignment horizontal="right"/>
    </xf>
    <xf numFmtId="42" fontId="24" fillId="0" borderId="14" xfId="0" applyNumberFormat="1" applyFont="1" applyBorder="1"/>
    <xf numFmtId="42" fontId="24" fillId="0" borderId="15" xfId="0" applyNumberFormat="1" applyFont="1" applyBorder="1"/>
    <xf numFmtId="42" fontId="27" fillId="0" borderId="0" xfId="0" applyNumberFormat="1" applyFont="1"/>
    <xf numFmtId="37" fontId="24" fillId="0" borderId="15" xfId="35" applyFont="1" applyBorder="1">
      <alignment horizontal="center"/>
    </xf>
    <xf numFmtId="0" fontId="26" fillId="0" borderId="0" xfId="53" applyFont="1" applyAlignment="1">
      <alignment horizontal="center"/>
    </xf>
    <xf numFmtId="37" fontId="21" fillId="0" borderId="0" xfId="35" applyBorder="1">
      <alignment horizontal="center"/>
    </xf>
    <xf numFmtId="0" fontId="0" fillId="0" borderId="10" xfId="0" applyBorder="1"/>
    <xf numFmtId="0" fontId="23" fillId="0" borderId="9" xfId="51" applyBorder="1">
      <alignment horizontal="left"/>
    </xf>
    <xf numFmtId="0" fontId="23" fillId="0" borderId="10" xfId="51" applyBorder="1">
      <alignment horizontal="left"/>
    </xf>
    <xf numFmtId="0" fontId="29" fillId="0" borderId="9" xfId="51" applyFont="1" applyBorder="1">
      <alignment horizontal="left"/>
    </xf>
    <xf numFmtId="0" fontId="28" fillId="0" borderId="9" xfId="0" applyFont="1" applyBorder="1"/>
    <xf numFmtId="0" fontId="28" fillId="0" borderId="0" xfId="0" quotePrefix="1" applyFont="1"/>
    <xf numFmtId="0" fontId="28" fillId="0" borderId="0" xfId="0" applyFont="1"/>
    <xf numFmtId="0" fontId="29" fillId="0" borderId="0" xfId="51" applyFont="1">
      <alignment horizontal="left"/>
    </xf>
    <xf numFmtId="0" fontId="30" fillId="0" borderId="0" xfId="0" applyFont="1"/>
    <xf numFmtId="0" fontId="0" fillId="0" borderId="0" xfId="0" applyAlignment="1">
      <alignment horizontal="left"/>
    </xf>
    <xf numFmtId="0" fontId="24" fillId="0" borderId="0" xfId="53" applyAlignment="1">
      <alignment horizontal="center"/>
    </xf>
    <xf numFmtId="0" fontId="21" fillId="0" borderId="0" xfId="0" applyFont="1" applyAlignment="1">
      <alignment vertical="top"/>
    </xf>
    <xf numFmtId="0" fontId="24" fillId="0" borderId="0" xfId="53" applyAlignment="1">
      <alignment horizontal="right" vertical="top"/>
    </xf>
    <xf numFmtId="0" fontId="32" fillId="27" borderId="4" xfId="59" applyFont="1" applyAlignment="1">
      <alignment horizontal="left" vertical="center" wrapText="1"/>
      <protection locked="0"/>
    </xf>
    <xf numFmtId="42" fontId="24" fillId="0" borderId="0" xfId="0" applyNumberFormat="1" applyFont="1" applyAlignment="1">
      <alignment vertical="top"/>
    </xf>
    <xf numFmtId="9" fontId="24" fillId="0" borderId="0" xfId="69" applyFont="1" applyBorder="1" applyAlignment="1">
      <alignment horizontal="center" vertical="top"/>
    </xf>
    <xf numFmtId="0" fontId="21" fillId="0" borderId="20" xfId="0" applyFont="1" applyBorder="1" applyAlignment="1">
      <alignment horizontal="centerContinuous"/>
    </xf>
    <xf numFmtId="0" fontId="32" fillId="0" borderId="21" xfId="0" applyFont="1" applyBorder="1" applyAlignment="1">
      <alignment horizontal="center" vertical="center" wrapText="1"/>
    </xf>
    <xf numFmtId="0" fontId="21" fillId="0" borderId="22" xfId="0" applyFont="1" applyBorder="1"/>
    <xf numFmtId="0" fontId="32" fillId="0" borderId="23" xfId="0" applyFont="1" applyBorder="1" applyAlignment="1">
      <alignment horizontal="center"/>
    </xf>
    <xf numFmtId="0" fontId="24" fillId="0" borderId="24" xfId="53" applyBorder="1" applyAlignment="1">
      <alignment horizontal="centerContinuous"/>
    </xf>
    <xf numFmtId="0" fontId="24" fillId="0" borderId="25" xfId="53" applyBorder="1" applyAlignment="1">
      <alignment horizontal="center"/>
    </xf>
    <xf numFmtId="0" fontId="21" fillId="0" borderId="27" xfId="0" applyFont="1" applyBorder="1"/>
    <xf numFmtId="0" fontId="21" fillId="0" borderId="29" xfId="0" applyFont="1" applyBorder="1" applyAlignment="1">
      <alignment horizontal="center"/>
    </xf>
    <xf numFmtId="0" fontId="24" fillId="0" borderId="30" xfId="53" applyBorder="1" applyAlignment="1">
      <alignment horizontal="centerContinuous"/>
    </xf>
    <xf numFmtId="0" fontId="24" fillId="0" borderId="31" xfId="53" applyBorder="1" applyAlignment="1">
      <alignment horizontal="center" vertical="center" wrapText="1"/>
    </xf>
    <xf numFmtId="0" fontId="24" fillId="0" borderId="21" xfId="53" applyBorder="1" applyAlignment="1">
      <alignment horizontal="center" vertical="center" wrapText="1"/>
    </xf>
    <xf numFmtId="0" fontId="21" fillId="0" borderId="23" xfId="0" applyFont="1" applyBorder="1"/>
    <xf numFmtId="0" fontId="24" fillId="0" borderId="26" xfId="53" applyBorder="1" applyAlignment="1">
      <alignment horizontal="center" vertical="center" wrapText="1"/>
    </xf>
    <xf numFmtId="0" fontId="32" fillId="0" borderId="32" xfId="0" applyFont="1" applyBorder="1" applyAlignment="1">
      <alignment horizontal="center"/>
    </xf>
    <xf numFmtId="0" fontId="21" fillId="0" borderId="33" xfId="0" applyFont="1" applyBorder="1"/>
    <xf numFmtId="0" fontId="24" fillId="0" borderId="34" xfId="53" applyBorder="1" applyAlignment="1">
      <alignment horizontal="center" vertical="center" wrapText="1"/>
    </xf>
    <xf numFmtId="0" fontId="32" fillId="0" borderId="27" xfId="0" applyFont="1" applyBorder="1" applyAlignment="1">
      <alignment horizontal="center"/>
    </xf>
    <xf numFmtId="0" fontId="24" fillId="0" borderId="35" xfId="53" applyBorder="1" applyAlignment="1">
      <alignment horizontal="center" vertical="center" wrapText="1"/>
    </xf>
    <xf numFmtId="0" fontId="32" fillId="0" borderId="22" xfId="0" applyFont="1" applyBorder="1" applyAlignment="1">
      <alignment horizontal="center"/>
    </xf>
    <xf numFmtId="42" fontId="21" fillId="22" borderId="37" xfId="38" applyFont="1" applyFill="1" applyBorder="1" applyAlignment="1" applyProtection="1">
      <alignment horizontal="left"/>
      <protection locked="0"/>
    </xf>
    <xf numFmtId="42" fontId="21" fillId="22" borderId="38" xfId="38" applyFont="1" applyFill="1" applyBorder="1" applyAlignment="1" applyProtection="1">
      <alignment horizontal="left"/>
      <protection locked="0"/>
    </xf>
    <xf numFmtId="0" fontId="44" fillId="0" borderId="0" xfId="0" applyFont="1" applyAlignment="1">
      <alignment horizontal="left" vertical="center"/>
    </xf>
    <xf numFmtId="0" fontId="45" fillId="0" borderId="0" xfId="0" applyFont="1" applyAlignment="1">
      <alignment horizontal="left" vertical="center"/>
    </xf>
    <xf numFmtId="169" fontId="21" fillId="25" borderId="39" xfId="36" applyFill="1" applyBorder="1" applyAlignment="1">
      <alignment horizontal="center"/>
    </xf>
    <xf numFmtId="165" fontId="33" fillId="25" borderId="39" xfId="69" applyNumberFormat="1" applyFont="1" applyFill="1" applyBorder="1" applyAlignment="1">
      <alignment horizontal="center"/>
    </xf>
    <xf numFmtId="42" fontId="21" fillId="25" borderId="40" xfId="38" applyFont="1" applyFill="1" applyBorder="1"/>
    <xf numFmtId="42" fontId="21" fillId="0" borderId="0" xfId="0" applyNumberFormat="1" applyFont="1"/>
    <xf numFmtId="0" fontId="21" fillId="0" borderId="0" xfId="0" applyFont="1" applyAlignment="1">
      <alignment horizontal="left" indent="2"/>
    </xf>
    <xf numFmtId="0" fontId="21" fillId="0" borderId="10" xfId="0" applyFont="1" applyBorder="1" applyAlignment="1">
      <alignment vertical="top" wrapText="1"/>
    </xf>
    <xf numFmtId="42" fontId="21" fillId="0" borderId="0" xfId="0" applyNumberFormat="1" applyFont="1" applyAlignment="1">
      <alignment vertical="center"/>
    </xf>
    <xf numFmtId="0" fontId="35" fillId="0" borderId="48" xfId="0" applyFont="1" applyBorder="1" applyAlignment="1">
      <alignment horizontal="center"/>
    </xf>
    <xf numFmtId="42" fontId="21" fillId="25" borderId="7" xfId="38" applyFont="1" applyFill="1" applyBorder="1"/>
    <xf numFmtId="37" fontId="24" fillId="0" borderId="15" xfId="0" applyNumberFormat="1" applyFont="1" applyBorder="1"/>
    <xf numFmtId="0" fontId="21" fillId="0" borderId="15" xfId="0" applyFont="1" applyBorder="1"/>
    <xf numFmtId="0" fontId="27" fillId="0" borderId="0" xfId="0" applyFont="1" applyAlignment="1">
      <alignment horizontal="right"/>
    </xf>
    <xf numFmtId="0" fontId="23" fillId="0" borderId="9" xfId="0" applyFont="1" applyBorder="1"/>
    <xf numFmtId="0" fontId="23" fillId="0" borderId="0" xfId="0" applyFont="1"/>
    <xf numFmtId="10" fontId="33" fillId="0" borderId="0" xfId="0" applyNumberFormat="1" applyFont="1" applyAlignment="1">
      <alignment horizontal="center"/>
    </xf>
    <xf numFmtId="37" fontId="33" fillId="0" borderId="0" xfId="0" applyNumberFormat="1" applyFont="1" applyAlignment="1">
      <alignment horizontal="center"/>
    </xf>
    <xf numFmtId="9" fontId="33" fillId="0" borderId="0" xfId="0" applyNumberFormat="1" applyFont="1" applyAlignment="1">
      <alignment horizontal="center"/>
    </xf>
    <xf numFmtId="5" fontId="33" fillId="0" borderId="0" xfId="0" applyNumberFormat="1" applyFont="1" applyAlignment="1">
      <alignment horizontal="center"/>
    </xf>
    <xf numFmtId="0" fontId="27" fillId="0" borderId="14" xfId="0" applyFont="1" applyBorder="1"/>
    <xf numFmtId="5" fontId="27" fillId="0" borderId="14" xfId="0" applyNumberFormat="1" applyFont="1" applyBorder="1" applyAlignment="1">
      <alignment horizontal="center"/>
    </xf>
    <xf numFmtId="0" fontId="24" fillId="0" borderId="49" xfId="0" applyFont="1" applyBorder="1" applyAlignment="1">
      <alignment horizontal="center"/>
    </xf>
    <xf numFmtId="0" fontId="24" fillId="0" borderId="50" xfId="0" applyFont="1" applyBorder="1" applyAlignment="1">
      <alignment horizontal="center"/>
    </xf>
    <xf numFmtId="0" fontId="24" fillId="0" borderId="28" xfId="0" applyFont="1" applyBorder="1" applyAlignment="1">
      <alignment horizontal="center"/>
    </xf>
    <xf numFmtId="0" fontId="24" fillId="0" borderId="29" xfId="0" applyFont="1" applyBorder="1" applyAlignment="1">
      <alignment horizontal="center"/>
    </xf>
    <xf numFmtId="0" fontId="21" fillId="0" borderId="51" xfId="0" applyFont="1" applyBorder="1"/>
    <xf numFmtId="0" fontId="21" fillId="0" borderId="52" xfId="0" applyFont="1" applyBorder="1"/>
    <xf numFmtId="0" fontId="21" fillId="0" borderId="53" xfId="0" applyFont="1" applyBorder="1"/>
    <xf numFmtId="0" fontId="21" fillId="0" borderId="54" xfId="0" applyFont="1" applyBorder="1"/>
    <xf numFmtId="0" fontId="21" fillId="0" borderId="55" xfId="0" applyFont="1" applyBorder="1"/>
    <xf numFmtId="0" fontId="21" fillId="0" borderId="56" xfId="0" applyFont="1" applyBorder="1"/>
    <xf numFmtId="0" fontId="21" fillId="0" borderId="57" xfId="0" applyFont="1" applyBorder="1"/>
    <xf numFmtId="0" fontId="0" fillId="25" borderId="0" xfId="0" applyFill="1"/>
    <xf numFmtId="0" fontId="29" fillId="0" borderId="0" xfId="0" applyFont="1"/>
    <xf numFmtId="0" fontId="29" fillId="25" borderId="27" xfId="0" applyFont="1" applyFill="1" applyBorder="1" applyAlignment="1">
      <alignment horizontal="center"/>
    </xf>
    <xf numFmtId="0" fontId="38" fillId="25" borderId="41" xfId="0" applyFont="1" applyFill="1" applyBorder="1" applyAlignment="1">
      <alignment horizontal="center"/>
    </xf>
    <xf numFmtId="0" fontId="38" fillId="25" borderId="58" xfId="0" applyFont="1" applyFill="1" applyBorder="1" applyAlignment="1">
      <alignment horizontal="center"/>
    </xf>
    <xf numFmtId="0" fontId="38" fillId="25" borderId="59" xfId="0" applyFont="1" applyFill="1" applyBorder="1" applyAlignment="1">
      <alignment horizontal="center"/>
    </xf>
    <xf numFmtId="0" fontId="38" fillId="25" borderId="60" xfId="0" applyFont="1" applyFill="1" applyBorder="1" applyAlignment="1">
      <alignment horizontal="center"/>
    </xf>
    <xf numFmtId="41" fontId="38" fillId="0" borderId="16" xfId="0" applyNumberFormat="1" applyFont="1" applyBorder="1"/>
    <xf numFmtId="41" fontId="39" fillId="0" borderId="36" xfId="31" applyFont="1" applyBorder="1"/>
    <xf numFmtId="41" fontId="39" fillId="0" borderId="61" xfId="31" applyFont="1" applyBorder="1"/>
    <xf numFmtId="41" fontId="39" fillId="0" borderId="37" xfId="31" applyFont="1" applyBorder="1"/>
    <xf numFmtId="41" fontId="39" fillId="0" borderId="42" xfId="31" applyFont="1" applyBorder="1"/>
    <xf numFmtId="9" fontId="39" fillId="0" borderId="25" xfId="69" applyFont="1" applyBorder="1" applyAlignment="1">
      <alignment horizontal="center"/>
    </xf>
    <xf numFmtId="9" fontId="39" fillId="0" borderId="50" xfId="69" applyFont="1" applyBorder="1" applyAlignment="1">
      <alignment horizontal="center"/>
    </xf>
    <xf numFmtId="0" fontId="29" fillId="25" borderId="49" xfId="0" applyFont="1" applyFill="1" applyBorder="1" applyAlignment="1">
      <alignment horizontal="right"/>
    </xf>
    <xf numFmtId="0" fontId="24" fillId="0" borderId="37" xfId="51" applyFont="1" applyBorder="1" applyAlignment="1">
      <alignment horizontal="center" wrapText="1"/>
    </xf>
    <xf numFmtId="0" fontId="24" fillId="0" borderId="42" xfId="51" applyFont="1" applyBorder="1" applyAlignment="1">
      <alignment horizontal="center" wrapText="1"/>
    </xf>
    <xf numFmtId="42" fontId="21" fillId="22" borderId="31" xfId="38" applyFont="1" applyFill="1" applyBorder="1" applyAlignment="1" applyProtection="1">
      <alignment horizontal="left"/>
      <protection locked="0"/>
    </xf>
    <xf numFmtId="42" fontId="21" fillId="22" borderId="62" xfId="38" applyFont="1" applyFill="1" applyBorder="1" applyAlignment="1" applyProtection="1">
      <alignment horizontal="left"/>
      <protection locked="0"/>
    </xf>
    <xf numFmtId="2" fontId="21" fillId="27" borderId="19" xfId="59" applyNumberFormat="1" applyBorder="1" applyAlignment="1">
      <alignment horizontal="center"/>
      <protection locked="0"/>
    </xf>
    <xf numFmtId="0" fontId="24" fillId="0" borderId="31" xfId="53" applyBorder="1" applyAlignment="1">
      <alignment horizontal="center" wrapText="1"/>
    </xf>
    <xf numFmtId="0" fontId="24" fillId="0" borderId="21" xfId="53" applyBorder="1" applyAlignment="1">
      <alignment horizontal="center" wrapText="1"/>
    </xf>
    <xf numFmtId="0" fontId="35" fillId="0" borderId="63" xfId="0" applyFont="1" applyBorder="1" applyAlignment="1">
      <alignment horizontal="center"/>
    </xf>
    <xf numFmtId="0" fontId="35" fillId="0" borderId="46" xfId="0" applyFont="1" applyBorder="1" applyAlignment="1">
      <alignment horizontal="center"/>
    </xf>
    <xf numFmtId="37" fontId="21" fillId="0" borderId="37" xfId="0" applyNumberFormat="1" applyFont="1" applyBorder="1"/>
    <xf numFmtId="37" fontId="21" fillId="22" borderId="42" xfId="35" applyFill="1" applyBorder="1" applyProtection="1">
      <alignment horizontal="center"/>
      <protection locked="0"/>
    </xf>
    <xf numFmtId="37" fontId="21" fillId="0" borderId="38" xfId="0" applyNumberFormat="1" applyFont="1" applyBorder="1"/>
    <xf numFmtId="37" fontId="21" fillId="22" borderId="43" xfId="35" applyFill="1" applyBorder="1" applyProtection="1">
      <alignment horizontal="center"/>
      <protection locked="0"/>
    </xf>
    <xf numFmtId="2" fontId="21" fillId="28" borderId="7" xfId="67" applyNumberFormat="1" applyFont="1" applyAlignment="1" applyProtection="1">
      <alignment horizontal="center"/>
      <protection locked="0"/>
    </xf>
    <xf numFmtId="42" fontId="21" fillId="22" borderId="64" xfId="38" applyFont="1" applyFill="1" applyBorder="1" applyAlignment="1" applyProtection="1">
      <alignment horizontal="left"/>
      <protection locked="0"/>
    </xf>
    <xf numFmtId="42" fontId="21" fillId="25" borderId="65" xfId="38" applyFont="1" applyFill="1" applyBorder="1"/>
    <xf numFmtId="0" fontId="0" fillId="26" borderId="0" xfId="0" applyFill="1"/>
    <xf numFmtId="41" fontId="38" fillId="0" borderId="19" xfId="0" applyNumberFormat="1" applyFont="1" applyBorder="1"/>
    <xf numFmtId="9" fontId="38" fillId="0" borderId="49" xfId="69" applyFont="1" applyBorder="1" applyAlignment="1">
      <alignment horizontal="center"/>
    </xf>
    <xf numFmtId="42" fontId="21" fillId="22" borderId="42" xfId="38" applyFont="1" applyFill="1" applyBorder="1" applyAlignment="1" applyProtection="1">
      <alignment horizontal="left"/>
      <protection locked="0"/>
    </xf>
    <xf numFmtId="37" fontId="21" fillId="22" borderId="36" xfId="35" applyFill="1" applyBorder="1" applyProtection="1">
      <alignment horizontal="center"/>
      <protection locked="0"/>
    </xf>
    <xf numFmtId="37" fontId="21" fillId="22" borderId="61" xfId="35" applyFill="1" applyBorder="1" applyProtection="1">
      <alignment horizontal="center"/>
      <protection locked="0"/>
    </xf>
    <xf numFmtId="37" fontId="21" fillId="22" borderId="37" xfId="35" applyFill="1" applyBorder="1" applyProtection="1">
      <alignment horizontal="center"/>
      <protection locked="0"/>
    </xf>
    <xf numFmtId="37" fontId="21" fillId="22" borderId="38" xfId="35" applyFill="1" applyBorder="1" applyProtection="1">
      <alignment horizontal="center"/>
      <protection locked="0"/>
    </xf>
    <xf numFmtId="0" fontId="24" fillId="25" borderId="38" xfId="53" applyFill="1" applyBorder="1" applyAlignment="1">
      <alignment horizontal="center"/>
    </xf>
    <xf numFmtId="0" fontId="24" fillId="25" borderId="43" xfId="53" applyFill="1" applyBorder="1" applyAlignment="1">
      <alignment horizontal="center"/>
    </xf>
    <xf numFmtId="0" fontId="24" fillId="25" borderId="31" xfId="53" applyFill="1" applyBorder="1" applyAlignment="1">
      <alignment horizontal="center"/>
    </xf>
    <xf numFmtId="0" fontId="24" fillId="25" borderId="21" xfId="53" applyFill="1" applyBorder="1" applyAlignment="1">
      <alignment horizontal="center"/>
    </xf>
    <xf numFmtId="37" fontId="24" fillId="0" borderId="0" xfId="0" applyNumberFormat="1" applyFont="1" applyAlignment="1">
      <alignment horizontal="center"/>
    </xf>
    <xf numFmtId="0" fontId="29" fillId="25" borderId="33" xfId="0" applyFont="1" applyFill="1" applyBorder="1" applyAlignment="1">
      <alignment horizontal="center"/>
    </xf>
    <xf numFmtId="0" fontId="29" fillId="0" borderId="0" xfId="0" applyFont="1" applyAlignment="1">
      <alignment horizontal="center"/>
    </xf>
    <xf numFmtId="0" fontId="40" fillId="25" borderId="66" xfId="0" applyFont="1" applyFill="1" applyBorder="1" applyAlignment="1">
      <alignment horizontal="center"/>
    </xf>
    <xf numFmtId="0" fontId="38" fillId="25" borderId="66" xfId="0" applyFont="1" applyFill="1" applyBorder="1" applyAlignment="1">
      <alignment horizontal="center"/>
    </xf>
    <xf numFmtId="9" fontId="39" fillId="0" borderId="20" xfId="69" applyFont="1" applyBorder="1" applyAlignment="1">
      <alignment horizontal="center"/>
    </xf>
    <xf numFmtId="0" fontId="40" fillId="25" borderId="33" xfId="0" applyFont="1" applyFill="1" applyBorder="1" applyAlignment="1">
      <alignment horizontal="center"/>
    </xf>
    <xf numFmtId="0" fontId="40" fillId="25" borderId="58" xfId="0" applyFont="1" applyFill="1" applyBorder="1" applyAlignment="1">
      <alignment horizontal="center"/>
    </xf>
    <xf numFmtId="0" fontId="40" fillId="25" borderId="34" xfId="0" applyFont="1" applyFill="1" applyBorder="1" applyAlignment="1">
      <alignment horizontal="center"/>
    </xf>
    <xf numFmtId="0" fontId="38" fillId="25" borderId="0" xfId="0" applyFont="1" applyFill="1" applyAlignment="1">
      <alignment horizontal="center"/>
    </xf>
    <xf numFmtId="9" fontId="39" fillId="0" borderId="28" xfId="69" applyFont="1" applyBorder="1" applyAlignment="1">
      <alignment horizontal="center"/>
    </xf>
    <xf numFmtId="9" fontId="39" fillId="0" borderId="29" xfId="69" applyFont="1" applyBorder="1" applyAlignment="1">
      <alignment horizontal="center"/>
    </xf>
    <xf numFmtId="9" fontId="39" fillId="0" borderId="27" xfId="69" applyFont="1" applyBorder="1" applyAlignment="1">
      <alignment horizontal="center"/>
    </xf>
    <xf numFmtId="41" fontId="39" fillId="0" borderId="25" xfId="31" applyFont="1" applyBorder="1"/>
    <xf numFmtId="41" fontId="39" fillId="0" borderId="28" xfId="31" applyFont="1" applyBorder="1"/>
    <xf numFmtId="41" fontId="39" fillId="0" borderId="29" xfId="31" applyFont="1" applyBorder="1"/>
    <xf numFmtId="41" fontId="38" fillId="0" borderId="27" xfId="0" applyNumberFormat="1" applyFont="1" applyBorder="1"/>
    <xf numFmtId="9" fontId="39" fillId="0" borderId="54" xfId="69" applyFont="1" applyBorder="1" applyAlignment="1">
      <alignment horizontal="center"/>
    </xf>
    <xf numFmtId="9" fontId="39" fillId="0" borderId="57" xfId="69" applyFont="1" applyBorder="1" applyAlignment="1">
      <alignment horizontal="center"/>
    </xf>
    <xf numFmtId="9" fontId="39" fillId="0" borderId="60" xfId="69" applyFont="1" applyBorder="1" applyAlignment="1">
      <alignment horizontal="center"/>
    </xf>
    <xf numFmtId="0" fontId="21" fillId="0" borderId="45" xfId="0" applyFont="1" applyBorder="1"/>
    <xf numFmtId="0" fontId="21" fillId="0" borderId="66" xfId="0" applyFont="1" applyBorder="1"/>
    <xf numFmtId="170" fontId="21" fillId="25" borderId="42" xfId="38" applyNumberFormat="1" applyFont="1" applyFill="1" applyBorder="1" applyAlignment="1" applyProtection="1">
      <alignment horizontal="left"/>
      <protection locked="0"/>
    </xf>
    <xf numFmtId="0" fontId="0" fillId="0" borderId="9" xfId="0" applyBorder="1" applyAlignment="1">
      <alignment horizontal="left" indent="1"/>
    </xf>
    <xf numFmtId="0" fontId="0" fillId="0" borderId="10" xfId="0" applyBorder="1" applyAlignment="1">
      <alignment horizontal="left" indent="1"/>
    </xf>
    <xf numFmtId="0" fontId="21" fillId="0" borderId="10" xfId="0" applyFont="1" applyBorder="1" applyAlignment="1">
      <alignment horizontal="left" indent="1"/>
    </xf>
    <xf numFmtId="41" fontId="39" fillId="0" borderId="37" xfId="31" applyFont="1" applyBorder="1" applyAlignment="1">
      <alignment horizontal="center"/>
    </xf>
    <xf numFmtId="41" fontId="39" fillId="0" borderId="38" xfId="31" applyFont="1" applyBorder="1" applyAlignment="1">
      <alignment horizontal="center"/>
    </xf>
    <xf numFmtId="42" fontId="39" fillId="0" borderId="53" xfId="69" applyNumberFormat="1" applyFont="1" applyBorder="1" applyAlignment="1">
      <alignment horizontal="center"/>
    </xf>
    <xf numFmtId="42" fontId="39" fillId="0" borderId="55" xfId="69" applyNumberFormat="1" applyFont="1" applyBorder="1" applyAlignment="1">
      <alignment horizontal="center"/>
    </xf>
    <xf numFmtId="41" fontId="39" fillId="0" borderId="53" xfId="31" applyFont="1" applyBorder="1" applyAlignment="1">
      <alignment horizontal="center"/>
    </xf>
    <xf numFmtId="41" fontId="39" fillId="0" borderId="55" xfId="31" applyFont="1" applyBorder="1" applyAlignment="1">
      <alignment horizontal="center"/>
    </xf>
    <xf numFmtId="41" fontId="39" fillId="0" borderId="68" xfId="31" applyFont="1" applyBorder="1" applyAlignment="1">
      <alignment horizontal="center"/>
    </xf>
    <xf numFmtId="0" fontId="33" fillId="0" borderId="51" xfId="53" applyFont="1" applyBorder="1" applyAlignment="1">
      <alignment horizontal="center" vertical="center" wrapText="1"/>
    </xf>
    <xf numFmtId="0" fontId="33" fillId="0" borderId="63" xfId="53" applyFont="1" applyBorder="1" applyAlignment="1">
      <alignment horizontal="center" vertical="center" wrapText="1"/>
    </xf>
    <xf numFmtId="0" fontId="33" fillId="0" borderId="46" xfId="53" applyFont="1" applyBorder="1" applyAlignment="1">
      <alignment horizontal="center" vertical="center" wrapText="1"/>
    </xf>
    <xf numFmtId="0" fontId="33" fillId="0" borderId="13" xfId="53" applyFont="1" applyBorder="1" applyAlignment="1">
      <alignment horizontal="center" vertical="center" wrapText="1"/>
    </xf>
    <xf numFmtId="0" fontId="29" fillId="0" borderId="47" xfId="0" applyFont="1" applyBorder="1" applyAlignment="1">
      <alignment horizontal="center" wrapText="1"/>
    </xf>
    <xf numFmtId="6" fontId="39" fillId="0" borderId="48" xfId="0" applyNumberFormat="1" applyFont="1" applyBorder="1" applyAlignment="1">
      <alignment horizontal="center" vertical="center" wrapText="1"/>
    </xf>
    <xf numFmtId="0" fontId="39" fillId="0" borderId="63" xfId="0" applyFont="1" applyBorder="1" applyAlignment="1">
      <alignment horizontal="center" vertical="center" wrapText="1"/>
    </xf>
    <xf numFmtId="0" fontId="29" fillId="0" borderId="69" xfId="0" applyFont="1" applyBorder="1" applyAlignment="1">
      <alignment horizontal="center" wrapText="1"/>
    </xf>
    <xf numFmtId="0" fontId="29" fillId="0" borderId="70" xfId="0" applyFont="1" applyBorder="1" applyAlignment="1">
      <alignment horizontal="center" wrapText="1"/>
    </xf>
    <xf numFmtId="0" fontId="39" fillId="0" borderId="46" xfId="0" applyFont="1" applyBorder="1" applyAlignment="1">
      <alignment horizontal="center" vertical="center" wrapText="1"/>
    </xf>
    <xf numFmtId="6" fontId="39" fillId="0" borderId="63" xfId="0" applyNumberFormat="1" applyFont="1" applyBorder="1" applyAlignment="1">
      <alignment horizontal="center" vertical="center" wrapText="1"/>
    </xf>
    <xf numFmtId="0" fontId="24" fillId="0" borderId="0" xfId="0" applyFont="1"/>
    <xf numFmtId="0" fontId="21" fillId="27" borderId="4" xfId="59">
      <alignment horizontal="left"/>
      <protection locked="0"/>
    </xf>
    <xf numFmtId="0" fontId="0" fillId="25" borderId="45" xfId="0" applyFill="1" applyBorder="1"/>
    <xf numFmtId="0" fontId="0" fillId="25" borderId="66" xfId="0" applyFill="1" applyBorder="1"/>
    <xf numFmtId="0" fontId="0" fillId="25" borderId="59" xfId="0" applyFill="1" applyBorder="1"/>
    <xf numFmtId="0" fontId="0" fillId="25" borderId="60" xfId="0" applyFill="1" applyBorder="1"/>
    <xf numFmtId="0" fontId="0" fillId="25" borderId="67" xfId="0" applyFill="1" applyBorder="1"/>
    <xf numFmtId="42" fontId="0" fillId="0" borderId="0" xfId="0" applyNumberFormat="1" applyAlignment="1">
      <alignment horizontal="center"/>
    </xf>
    <xf numFmtId="0" fontId="21" fillId="0" borderId="24" xfId="0" applyFont="1" applyBorder="1"/>
    <xf numFmtId="0" fontId="42" fillId="0" borderId="0" xfId="0" applyFont="1"/>
    <xf numFmtId="165" fontId="39" fillId="0" borderId="42" xfId="31" applyNumberFormat="1" applyFont="1" applyBorder="1" applyAlignment="1">
      <alignment horizontal="center"/>
    </xf>
    <xf numFmtId="165" fontId="39" fillId="0" borderId="43" xfId="31" applyNumberFormat="1" applyFont="1" applyBorder="1" applyAlignment="1">
      <alignment horizontal="center"/>
    </xf>
    <xf numFmtId="42" fontId="39" fillId="0" borderId="37" xfId="0" applyNumberFormat="1" applyFont="1" applyBorder="1"/>
    <xf numFmtId="9" fontId="41" fillId="0" borderId="42" xfId="69" applyFont="1" applyBorder="1" applyAlignment="1">
      <alignment horizontal="center"/>
    </xf>
    <xf numFmtId="37" fontId="39" fillId="0" borderId="37" xfId="31" applyNumberFormat="1" applyFont="1" applyBorder="1" applyAlignment="1">
      <alignment horizontal="center" vertical="center"/>
    </xf>
    <xf numFmtId="39" fontId="39" fillId="0" borderId="28" xfId="0" applyNumberFormat="1" applyFont="1" applyBorder="1" applyAlignment="1">
      <alignment horizontal="center"/>
    </xf>
    <xf numFmtId="42" fontId="39" fillId="0" borderId="28" xfId="0" applyNumberFormat="1" applyFont="1" applyBorder="1"/>
    <xf numFmtId="42" fontId="39" fillId="0" borderId="29" xfId="0" applyNumberFormat="1" applyFont="1" applyBorder="1"/>
    <xf numFmtId="0" fontId="29" fillId="0" borderId="38" xfId="0" applyFont="1" applyBorder="1" applyAlignment="1">
      <alignment horizontal="center" wrapText="1"/>
    </xf>
    <xf numFmtId="0" fontId="29" fillId="0" borderId="64" xfId="0" applyFont="1" applyBorder="1" applyAlignment="1">
      <alignment horizontal="center" wrapText="1"/>
    </xf>
    <xf numFmtId="0" fontId="29" fillId="0" borderId="43" xfId="0" applyFont="1" applyBorder="1" applyAlignment="1">
      <alignment horizontal="center" wrapText="1"/>
    </xf>
    <xf numFmtId="42" fontId="39" fillId="0" borderId="50" xfId="0" applyNumberFormat="1" applyFont="1" applyBorder="1"/>
    <xf numFmtId="0" fontId="29" fillId="0" borderId="49" xfId="0" applyFont="1" applyBorder="1" applyAlignment="1">
      <alignment horizontal="center" wrapText="1"/>
    </xf>
    <xf numFmtId="42" fontId="21" fillId="0" borderId="36" xfId="38" applyFont="1" applyFill="1" applyBorder="1" applyAlignment="1" applyProtection="1">
      <alignment horizontal="left"/>
      <protection locked="0"/>
    </xf>
    <xf numFmtId="42" fontId="21" fillId="0" borderId="61" xfId="38" applyFont="1" applyFill="1" applyBorder="1" applyAlignment="1" applyProtection="1">
      <alignment horizontal="left"/>
      <protection locked="0"/>
    </xf>
    <xf numFmtId="42" fontId="21" fillId="0" borderId="37" xfId="38" applyFont="1" applyFill="1" applyBorder="1" applyAlignment="1" applyProtection="1">
      <alignment horizontal="left"/>
      <protection locked="0"/>
    </xf>
    <xf numFmtId="42" fontId="21" fillId="0" borderId="42" xfId="38" applyFont="1" applyFill="1" applyBorder="1" applyAlignment="1" applyProtection="1">
      <alignment horizontal="left"/>
      <protection locked="0"/>
    </xf>
    <xf numFmtId="42" fontId="21" fillId="0" borderId="38" xfId="38" applyFont="1" applyFill="1" applyBorder="1" applyAlignment="1" applyProtection="1">
      <alignment horizontal="left"/>
      <protection locked="0"/>
    </xf>
    <xf numFmtId="42" fontId="21" fillId="0" borderId="43" xfId="38" applyFont="1" applyFill="1" applyBorder="1" applyAlignment="1" applyProtection="1">
      <alignment horizontal="left"/>
      <protection locked="0"/>
    </xf>
    <xf numFmtId="37" fontId="21" fillId="0" borderId="36" xfId="35" applyFill="1" applyBorder="1" applyProtection="1">
      <alignment horizontal="center"/>
      <protection locked="0"/>
    </xf>
    <xf numFmtId="37" fontId="21" fillId="0" borderId="61" xfId="35" applyFill="1" applyBorder="1" applyProtection="1">
      <alignment horizontal="center"/>
      <protection locked="0"/>
    </xf>
    <xf numFmtId="37" fontId="21" fillId="0" borderId="37" xfId="35" applyFill="1" applyBorder="1" applyProtection="1">
      <alignment horizontal="center"/>
      <protection locked="0"/>
    </xf>
    <xf numFmtId="37" fontId="21" fillId="0" borderId="42" xfId="35" applyFill="1" applyBorder="1" applyProtection="1">
      <alignment horizontal="center"/>
      <protection locked="0"/>
    </xf>
    <xf numFmtId="37" fontId="21" fillId="0" borderId="38" xfId="35" applyFill="1" applyBorder="1" applyProtection="1">
      <alignment horizontal="center"/>
      <protection locked="0"/>
    </xf>
    <xf numFmtId="37" fontId="21" fillId="0" borderId="43" xfId="35" applyFill="1" applyBorder="1" applyProtection="1">
      <alignment horizontal="center"/>
      <protection locked="0"/>
    </xf>
    <xf numFmtId="42" fontId="21" fillId="0" borderId="72" xfId="38" applyFont="1" applyFill="1" applyBorder="1" applyAlignment="1" applyProtection="1">
      <alignment horizontal="left"/>
      <protection locked="0"/>
    </xf>
    <xf numFmtId="42" fontId="21" fillId="0" borderId="73" xfId="38" applyFont="1" applyFill="1" applyBorder="1" applyAlignment="1" applyProtection="1">
      <alignment horizontal="left"/>
      <protection locked="0"/>
    </xf>
    <xf numFmtId="37" fontId="21" fillId="0" borderId="72" xfId="35" applyFill="1" applyBorder="1" applyProtection="1">
      <alignment horizontal="center"/>
      <protection locked="0"/>
    </xf>
    <xf numFmtId="37" fontId="21" fillId="0" borderId="73" xfId="35" applyFill="1" applyBorder="1" applyProtection="1">
      <alignment horizontal="center"/>
      <protection locked="0"/>
    </xf>
    <xf numFmtId="42" fontId="39" fillId="0" borderId="51" xfId="0" applyNumberFormat="1" applyFont="1" applyBorder="1"/>
    <xf numFmtId="42" fontId="39" fillId="0" borderId="53" xfId="0" applyNumberFormat="1" applyFont="1" applyBorder="1"/>
    <xf numFmtId="42" fontId="39" fillId="0" borderId="55" xfId="0" applyNumberFormat="1" applyFont="1" applyBorder="1"/>
    <xf numFmtId="42" fontId="39" fillId="0" borderId="25" xfId="0" applyNumberFormat="1" applyFont="1" applyBorder="1"/>
    <xf numFmtId="42" fontId="39" fillId="0" borderId="31" xfId="0" applyNumberFormat="1" applyFont="1" applyBorder="1"/>
    <xf numFmtId="9" fontId="41" fillId="0" borderId="21" xfId="69" applyFont="1" applyBorder="1" applyAlignment="1">
      <alignment horizontal="center"/>
    </xf>
    <xf numFmtId="37" fontId="39" fillId="0" borderId="31" xfId="31" applyNumberFormat="1" applyFont="1" applyBorder="1" applyAlignment="1">
      <alignment horizontal="center" vertical="center"/>
    </xf>
    <xf numFmtId="39" fontId="39" fillId="0" borderId="26" xfId="0" applyNumberFormat="1" applyFont="1" applyBorder="1" applyAlignment="1">
      <alignment horizontal="center"/>
    </xf>
    <xf numFmtId="42" fontId="39" fillId="0" borderId="74" xfId="0" applyNumberFormat="1" applyFont="1" applyBorder="1"/>
    <xf numFmtId="9" fontId="41" fillId="0" borderId="61" xfId="69" applyFont="1" applyBorder="1" applyAlignment="1">
      <alignment horizontal="center"/>
    </xf>
    <xf numFmtId="37" fontId="39" fillId="0" borderId="36" xfId="31" applyNumberFormat="1" applyFont="1" applyBorder="1" applyAlignment="1">
      <alignment horizontal="center" vertical="center"/>
    </xf>
    <xf numFmtId="37" fontId="39" fillId="0" borderId="74" xfId="31" applyNumberFormat="1" applyFont="1" applyBorder="1" applyAlignment="1">
      <alignment horizontal="center" vertical="center"/>
    </xf>
    <xf numFmtId="39" fontId="39" fillId="0" borderId="52" xfId="0" applyNumberFormat="1" applyFont="1" applyBorder="1" applyAlignment="1">
      <alignment horizontal="center"/>
    </xf>
    <xf numFmtId="39" fontId="39" fillId="0" borderId="54" xfId="0" applyNumberFormat="1" applyFont="1" applyBorder="1" applyAlignment="1">
      <alignment horizontal="center"/>
    </xf>
    <xf numFmtId="39" fontId="39" fillId="0" borderId="71" xfId="0" applyNumberFormat="1" applyFont="1" applyBorder="1" applyAlignment="1">
      <alignment horizontal="center"/>
    </xf>
    <xf numFmtId="0" fontId="29" fillId="0" borderId="31" xfId="0" applyFont="1" applyBorder="1" applyAlignment="1">
      <alignment horizontal="center" wrapText="1"/>
    </xf>
    <xf numFmtId="0" fontId="29" fillId="0" borderId="21" xfId="0" applyFont="1" applyBorder="1" applyAlignment="1">
      <alignment horizontal="center" wrapText="1"/>
    </xf>
    <xf numFmtId="0" fontId="29" fillId="0" borderId="16" xfId="0" applyFont="1" applyBorder="1" applyAlignment="1">
      <alignment horizontal="center" wrapText="1"/>
    </xf>
    <xf numFmtId="42" fontId="38" fillId="0" borderId="62" xfId="0" applyNumberFormat="1" applyFont="1" applyBorder="1"/>
    <xf numFmtId="42" fontId="38" fillId="0" borderId="17" xfId="0" applyNumberFormat="1" applyFont="1" applyBorder="1"/>
    <xf numFmtId="9" fontId="39" fillId="0" borderId="19" xfId="69" applyFont="1" applyBorder="1" applyAlignment="1">
      <alignment horizontal="center"/>
    </xf>
    <xf numFmtId="37" fontId="38" fillId="0" borderId="62" xfId="0" applyNumberFormat="1" applyFont="1" applyBorder="1"/>
    <xf numFmtId="37" fontId="38" fillId="0" borderId="17" xfId="0" applyNumberFormat="1" applyFont="1" applyBorder="1"/>
    <xf numFmtId="2" fontId="38" fillId="0" borderId="49" xfId="0" applyNumberFormat="1" applyFont="1" applyBorder="1" applyAlignment="1">
      <alignment horizontal="center"/>
    </xf>
    <xf numFmtId="0" fontId="43" fillId="0" borderId="0" xfId="0" applyFont="1" applyAlignment="1">
      <alignment horizontal="center"/>
    </xf>
    <xf numFmtId="0" fontId="21" fillId="0" borderId="0" xfId="0" applyFont="1" applyProtection="1">
      <protection locked="0"/>
    </xf>
    <xf numFmtId="0" fontId="29" fillId="0" borderId="68" xfId="0" applyFont="1" applyBorder="1" applyAlignment="1">
      <alignment horizontal="center" wrapText="1"/>
    </xf>
    <xf numFmtId="42" fontId="39" fillId="0" borderId="75" xfId="0" applyNumberFormat="1" applyFont="1" applyBorder="1"/>
    <xf numFmtId="42" fontId="39" fillId="0" borderId="29" xfId="0" applyNumberFormat="1" applyFont="1" applyBorder="1" applyAlignment="1">
      <alignment horizontal="left" indent="1"/>
    </xf>
    <xf numFmtId="37" fontId="0" fillId="0" borderId="0" xfId="0" applyNumberFormat="1"/>
    <xf numFmtId="10" fontId="21" fillId="0" borderId="0" xfId="0" applyNumberFormat="1" applyFont="1"/>
    <xf numFmtId="164" fontId="21" fillId="0" borderId="0" xfId="0" applyNumberFormat="1" applyFont="1" applyAlignment="1">
      <alignment horizontal="center"/>
    </xf>
    <xf numFmtId="0" fontId="21" fillId="0" borderId="0" xfId="0" applyFont="1" applyAlignment="1">
      <alignment horizontal="center"/>
    </xf>
    <xf numFmtId="170" fontId="21" fillId="0" borderId="0" xfId="0" applyNumberFormat="1" applyFont="1"/>
    <xf numFmtId="0" fontId="23" fillId="0" borderId="0" xfId="51" applyFill="1" applyAlignment="1">
      <alignment horizontal="center"/>
    </xf>
    <xf numFmtId="0" fontId="24" fillId="0" borderId="0" xfId="51" applyFont="1" applyFill="1" applyAlignment="1">
      <alignment horizontal="center"/>
    </xf>
    <xf numFmtId="0" fontId="46" fillId="0" borderId="0" xfId="51" applyFont="1">
      <alignment horizontal="left"/>
    </xf>
    <xf numFmtId="0" fontId="47" fillId="0" borderId="0" xfId="0" applyFont="1"/>
    <xf numFmtId="2" fontId="21" fillId="28" borderId="0" xfId="67" applyNumberFormat="1" applyFont="1" applyBorder="1" applyAlignment="1" applyProtection="1">
      <alignment horizontal="center"/>
      <protection locked="0"/>
    </xf>
    <xf numFmtId="2" fontId="21" fillId="28" borderId="76" xfId="67" applyNumberFormat="1" applyFont="1" applyBorder="1" applyAlignment="1" applyProtection="1">
      <alignment horizontal="center"/>
      <protection locked="0"/>
    </xf>
    <xf numFmtId="170" fontId="21" fillId="25" borderId="21" xfId="38" applyNumberFormat="1" applyFont="1" applyFill="1" applyBorder="1" applyAlignment="1" applyProtection="1">
      <alignment horizontal="left"/>
      <protection locked="0"/>
    </xf>
    <xf numFmtId="2" fontId="21" fillId="28" borderId="18" xfId="67" applyNumberFormat="1" applyFont="1" applyBorder="1" applyAlignment="1" applyProtection="1">
      <alignment horizontal="center"/>
      <protection locked="0"/>
    </xf>
    <xf numFmtId="170" fontId="24" fillId="25" borderId="19" xfId="38" applyNumberFormat="1" applyFont="1" applyFill="1" applyBorder="1" applyAlignment="1" applyProtection="1">
      <alignment horizontal="left"/>
      <protection locked="0"/>
    </xf>
    <xf numFmtId="0" fontId="21" fillId="0" borderId="0" xfId="0" applyFont="1" applyAlignment="1">
      <alignment horizontal="left" indent="1"/>
    </xf>
    <xf numFmtId="0" fontId="24" fillId="0" borderId="12" xfId="0" applyFont="1" applyBorder="1" applyAlignment="1">
      <alignment horizontal="right"/>
    </xf>
    <xf numFmtId="42" fontId="21" fillId="0" borderId="12" xfId="0" applyNumberFormat="1" applyFont="1" applyBorder="1"/>
    <xf numFmtId="42" fontId="21" fillId="22" borderId="37" xfId="39" applyFont="1" applyFill="1" applyBorder="1" applyAlignment="1" applyProtection="1">
      <alignment horizontal="left"/>
      <protection locked="0"/>
    </xf>
    <xf numFmtId="42" fontId="21" fillId="0" borderId="0" xfId="39" applyFont="1" applyFill="1" applyBorder="1" applyAlignment="1" applyProtection="1">
      <alignment horizontal="left"/>
      <protection locked="0"/>
    </xf>
    <xf numFmtId="42" fontId="24" fillId="0" borderId="0" xfId="53" applyNumberFormat="1" applyAlignment="1">
      <alignment horizontal="center"/>
    </xf>
    <xf numFmtId="0" fontId="21" fillId="0" borderId="0" xfId="0" applyFont="1" applyAlignment="1" applyProtection="1">
      <alignment horizontal="right"/>
      <protection locked="0"/>
    </xf>
    <xf numFmtId="0" fontId="21" fillId="27" borderId="4" xfId="60">
      <alignment horizontal="left"/>
      <protection locked="0"/>
    </xf>
    <xf numFmtId="2" fontId="21" fillId="28" borderId="49" xfId="67" applyNumberFormat="1" applyFont="1" applyBorder="1" applyAlignment="1" applyProtection="1">
      <alignment horizontal="center"/>
      <protection locked="0"/>
    </xf>
    <xf numFmtId="42" fontId="0" fillId="0" borderId="0" xfId="0" applyNumberFormat="1"/>
    <xf numFmtId="0" fontId="48" fillId="0" borderId="0" xfId="0" applyFont="1"/>
    <xf numFmtId="172" fontId="39" fillId="0" borderId="37" xfId="69" applyNumberFormat="1" applyFont="1" applyBorder="1" applyAlignment="1">
      <alignment horizontal="center"/>
    </xf>
    <xf numFmtId="172" fontId="39" fillId="0" borderId="38" xfId="69" applyNumberFormat="1" applyFont="1" applyBorder="1" applyAlignment="1">
      <alignment horizontal="center"/>
    </xf>
    <xf numFmtId="172" fontId="39" fillId="0" borderId="68" xfId="69" applyNumberFormat="1" applyFont="1" applyBorder="1" applyAlignment="1">
      <alignment horizontal="center"/>
    </xf>
    <xf numFmtId="167" fontId="21" fillId="0" borderId="9" xfId="76" applyBorder="1"/>
    <xf numFmtId="0" fontId="22" fillId="0" borderId="0" xfId="77" applyFill="1">
      <alignment horizontal="left"/>
    </xf>
    <xf numFmtId="0" fontId="24" fillId="0" borderId="0" xfId="53" applyAlignment="1">
      <alignment horizontal="center" wrapText="1"/>
    </xf>
    <xf numFmtId="0" fontId="26" fillId="0" borderId="0" xfId="53" applyFont="1" applyAlignment="1">
      <alignment horizontal="center" wrapText="1"/>
    </xf>
    <xf numFmtId="0" fontId="27" fillId="0" borderId="0" xfId="53" applyFont="1" applyFill="1" applyAlignment="1">
      <alignment horizontal="right"/>
    </xf>
    <xf numFmtId="0" fontId="24" fillId="0" borderId="0" xfId="53" applyFill="1" applyAlignment="1">
      <alignment horizontal="right"/>
    </xf>
    <xf numFmtId="167" fontId="24" fillId="0" borderId="9" xfId="76" applyFont="1" applyBorder="1"/>
    <xf numFmtId="42" fontId="24" fillId="28" borderId="7" xfId="67" applyNumberFormat="1"/>
    <xf numFmtId="167" fontId="21" fillId="0" borderId="0" xfId="76"/>
    <xf numFmtId="0" fontId="21" fillId="0" borderId="0" xfId="53" applyFont="1">
      <alignment horizontal="left"/>
    </xf>
    <xf numFmtId="0" fontId="24" fillId="0" borderId="0" xfId="0" applyFont="1" applyAlignment="1">
      <alignment horizontal="left" indent="1"/>
    </xf>
    <xf numFmtId="0" fontId="22" fillId="0" borderId="4" xfId="78" applyFill="1">
      <alignment horizontal="left" vertical="top" wrapText="1"/>
    </xf>
    <xf numFmtId="37" fontId="21" fillId="27" borderId="4" xfId="79" applyProtection="1">
      <alignment horizontal="center"/>
      <protection locked="0"/>
    </xf>
    <xf numFmtId="0" fontId="23" fillId="0" borderId="0" xfId="51" applyAlignment="1">
      <alignment horizontal="right"/>
    </xf>
    <xf numFmtId="0" fontId="21" fillId="27" borderId="4" xfId="59" applyAlignment="1">
      <alignment horizontal="left" vertical="center"/>
      <protection locked="0"/>
    </xf>
    <xf numFmtId="166" fontId="21" fillId="27" borderId="4" xfId="59" applyNumberFormat="1">
      <alignment horizontal="left"/>
      <protection locked="0"/>
    </xf>
    <xf numFmtId="44" fontId="0" fillId="0" borderId="0" xfId="0" applyNumberFormat="1"/>
    <xf numFmtId="0" fontId="23" fillId="0" borderId="0" xfId="51" applyAlignment="1"/>
    <xf numFmtId="0" fontId="23" fillId="30" borderId="0" xfId="51" applyFill="1" applyAlignment="1">
      <alignment horizontal="right"/>
    </xf>
    <xf numFmtId="42" fontId="24" fillId="30" borderId="0" xfId="0" applyNumberFormat="1" applyFont="1" applyFill="1"/>
    <xf numFmtId="0" fontId="21" fillId="30" borderId="0" xfId="0" applyFont="1" applyFill="1"/>
    <xf numFmtId="37" fontId="24" fillId="30" borderId="0" xfId="0" applyNumberFormat="1" applyFont="1" applyFill="1" applyAlignment="1">
      <alignment horizontal="center"/>
    </xf>
    <xf numFmtId="0" fontId="36" fillId="0" borderId="0" xfId="51" applyFont="1">
      <alignment horizontal="left"/>
    </xf>
    <xf numFmtId="0" fontId="23" fillId="0" borderId="82" xfId="51" applyBorder="1" applyAlignment="1">
      <alignment horizontal="right"/>
    </xf>
    <xf numFmtId="37" fontId="24" fillId="0" borderId="82" xfId="0" applyNumberFormat="1" applyFont="1" applyBorder="1" applyAlignment="1">
      <alignment horizontal="center"/>
    </xf>
    <xf numFmtId="0" fontId="21" fillId="0" borderId="82" xfId="0" applyFont="1" applyBorder="1"/>
    <xf numFmtId="42" fontId="21" fillId="22" borderId="21" xfId="38" applyFont="1" applyFill="1" applyBorder="1" applyAlignment="1" applyProtection="1">
      <alignment horizontal="left"/>
      <protection locked="0"/>
    </xf>
    <xf numFmtId="42" fontId="21" fillId="22" borderId="19" xfId="38" applyFont="1" applyFill="1" applyBorder="1" applyAlignment="1" applyProtection="1">
      <alignment horizontal="left"/>
      <protection locked="0"/>
    </xf>
    <xf numFmtId="0" fontId="22" fillId="0" borderId="0" xfId="77" applyFill="1" applyAlignment="1">
      <alignment horizontal="center"/>
    </xf>
    <xf numFmtId="0" fontId="34" fillId="0" borderId="0" xfId="0" applyFont="1" applyAlignment="1">
      <alignment horizontal="centerContinuous"/>
    </xf>
    <xf numFmtId="0" fontId="21" fillId="0" borderId="0" xfId="0" applyFont="1" applyAlignment="1">
      <alignment horizontal="centerContinuous"/>
    </xf>
    <xf numFmtId="0" fontId="23" fillId="0" borderId="0" xfId="51" applyFill="1">
      <alignment horizontal="left"/>
    </xf>
    <xf numFmtId="0" fontId="24" fillId="0" borderId="0" xfId="53" applyFill="1" applyAlignment="1">
      <alignment horizontal="center" wrapText="1"/>
    </xf>
    <xf numFmtId="0" fontId="21" fillId="0" borderId="0" xfId="53" applyFont="1" applyFill="1" applyAlignment="1">
      <alignment horizontal="center" wrapText="1"/>
    </xf>
    <xf numFmtId="10" fontId="33" fillId="0" borderId="0" xfId="69" applyNumberFormat="1" applyFont="1" applyFill="1" applyBorder="1" applyAlignment="1">
      <alignment horizontal="center"/>
    </xf>
    <xf numFmtId="37" fontId="21" fillId="0" borderId="0" xfId="79" applyFill="1" applyBorder="1" applyProtection="1">
      <alignment horizontal="center"/>
      <protection locked="0"/>
    </xf>
    <xf numFmtId="37" fontId="21" fillId="0" borderId="0" xfId="0" applyNumberFormat="1" applyFont="1"/>
    <xf numFmtId="42" fontId="21" fillId="0" borderId="29" xfId="39" applyFont="1" applyFill="1" applyBorder="1" applyAlignment="1" applyProtection="1">
      <alignment horizontal="left"/>
      <protection locked="0"/>
    </xf>
    <xf numFmtId="42" fontId="21" fillId="0" borderId="38" xfId="39" applyFont="1" applyFill="1" applyBorder="1" applyAlignment="1" applyProtection="1">
      <alignment horizontal="left"/>
      <protection locked="0"/>
    </xf>
    <xf numFmtId="42" fontId="21" fillId="0" borderId="68" xfId="39" applyFont="1" applyFill="1" applyBorder="1" applyAlignment="1" applyProtection="1">
      <alignment horizontal="left"/>
      <protection locked="0"/>
    </xf>
    <xf numFmtId="37" fontId="21" fillId="0" borderId="29" xfId="35" applyFill="1" applyBorder="1" applyProtection="1">
      <alignment horizontal="center"/>
      <protection locked="0"/>
    </xf>
    <xf numFmtId="0" fontId="0" fillId="0" borderId="11" xfId="0" applyBorder="1"/>
    <xf numFmtId="0" fontId="0" fillId="0" borderId="12" xfId="0" applyBorder="1"/>
    <xf numFmtId="0" fontId="0" fillId="0" borderId="13" xfId="0" applyBorder="1"/>
    <xf numFmtId="0" fontId="24" fillId="0" borderId="26" xfId="0" applyFont="1" applyBorder="1" applyAlignment="1">
      <alignment horizontal="center" vertical="center" wrapText="1"/>
    </xf>
    <xf numFmtId="0" fontId="23" fillId="0" borderId="0" xfId="51" applyFill="1" applyAlignment="1">
      <alignment horizontal="centerContinuous"/>
    </xf>
    <xf numFmtId="0" fontId="24" fillId="0" borderId="0" xfId="53" applyFill="1" applyAlignment="1">
      <alignment horizontal="center"/>
    </xf>
    <xf numFmtId="0" fontId="24" fillId="0" borderId="0" xfId="53" applyFill="1" applyAlignment="1">
      <alignment horizontal="centerContinuous"/>
    </xf>
    <xf numFmtId="0" fontId="24" fillId="0" borderId="0" xfId="53" applyFill="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xf>
    <xf numFmtId="37" fontId="21" fillId="0" borderId="0" xfId="35" applyFill="1" applyBorder="1" applyProtection="1">
      <alignment horizontal="center"/>
      <protection locked="0"/>
    </xf>
    <xf numFmtId="169" fontId="21" fillId="0" borderId="0" xfId="36" applyFill="1" applyBorder="1" applyAlignment="1">
      <alignment horizontal="center"/>
    </xf>
    <xf numFmtId="165" fontId="33" fillId="0" borderId="0" xfId="69" applyNumberFormat="1" applyFont="1" applyFill="1" applyBorder="1" applyAlignment="1">
      <alignment horizontal="center"/>
    </xf>
    <xf numFmtId="42" fontId="21" fillId="0" borderId="0" xfId="38" applyFont="1" applyFill="1" applyBorder="1"/>
    <xf numFmtId="0" fontId="51" fillId="0" borderId="0" xfId="0" applyFont="1" applyAlignment="1">
      <alignment horizontal="left" vertical="center"/>
    </xf>
    <xf numFmtId="0" fontId="52" fillId="0" borderId="0" xfId="0" applyFont="1" applyAlignment="1">
      <alignment horizontal="left" vertical="center"/>
    </xf>
    <xf numFmtId="0" fontId="21" fillId="27" borderId="4" xfId="59" applyAlignment="1">
      <alignment horizontal="center"/>
      <protection locked="0"/>
    </xf>
    <xf numFmtId="0" fontId="18" fillId="0" borderId="0" xfId="77" applyFont="1" applyFill="1">
      <alignment horizontal="left"/>
    </xf>
    <xf numFmtId="0" fontId="21" fillId="0" borderId="0" xfId="0" applyFont="1" applyAlignment="1">
      <alignment horizontal="right"/>
    </xf>
    <xf numFmtId="173" fontId="21" fillId="27" borderId="4" xfId="59" applyNumberFormat="1" applyAlignment="1">
      <alignment horizontal="center"/>
      <protection locked="0"/>
    </xf>
    <xf numFmtId="0" fontId="57" fillId="0" borderId="0" xfId="0" applyFont="1" applyAlignment="1" applyProtection="1">
      <alignment horizontal="left"/>
      <protection hidden="1"/>
    </xf>
    <xf numFmtId="0" fontId="58" fillId="0" borderId="0" xfId="0" applyFont="1" applyProtection="1">
      <protection hidden="1"/>
    </xf>
    <xf numFmtId="0" fontId="39" fillId="0" borderId="0" xfId="0" applyFont="1"/>
    <xf numFmtId="0" fontId="28" fillId="0" borderId="0" xfId="0" applyFont="1" applyAlignment="1">
      <alignment horizontal="left" vertical="center"/>
    </xf>
    <xf numFmtId="0" fontId="59" fillId="0" borderId="0" xfId="0" quotePrefix="1" applyFont="1"/>
    <xf numFmtId="0" fontId="59" fillId="0" borderId="0" xfId="0" quotePrefix="1" applyFont="1" applyAlignment="1">
      <alignment horizontal="left"/>
    </xf>
    <xf numFmtId="0" fontId="59" fillId="0" borderId="0" xfId="0" quotePrefix="1" applyFont="1" applyAlignment="1">
      <alignment horizontal="right"/>
    </xf>
    <xf numFmtId="0" fontId="60" fillId="0" borderId="0" xfId="0" quotePrefix="1" applyFont="1" applyAlignment="1">
      <alignment horizontal="left" indent="1"/>
    </xf>
    <xf numFmtId="0" fontId="28" fillId="0" borderId="0" xfId="0" applyFont="1" applyAlignment="1">
      <alignment vertical="center"/>
    </xf>
    <xf numFmtId="167" fontId="21" fillId="0" borderId="0" xfId="76" quotePrefix="1"/>
    <xf numFmtId="0" fontId="24" fillId="28" borderId="7" xfId="68" applyAlignment="1">
      <alignment horizontal="center"/>
    </xf>
    <xf numFmtId="167" fontId="24" fillId="0" borderId="0" xfId="76" quotePrefix="1" applyFont="1"/>
    <xf numFmtId="0" fontId="28" fillId="0" borderId="11" xfId="0" applyFont="1" applyBorder="1"/>
    <xf numFmtId="0" fontId="28" fillId="0" borderId="12" xfId="0" applyFont="1" applyBorder="1"/>
    <xf numFmtId="0" fontId="21" fillId="0" borderId="89" xfId="0" applyFont="1" applyBorder="1"/>
    <xf numFmtId="0" fontId="21" fillId="0" borderId="84" xfId="0" applyFont="1" applyBorder="1"/>
    <xf numFmtId="0" fontId="24" fillId="0" borderId="0" xfId="0" applyFont="1" applyAlignment="1">
      <alignment horizontal="left"/>
    </xf>
    <xf numFmtId="0" fontId="63" fillId="0" borderId="0" xfId="0" applyFont="1" applyAlignment="1" applyProtection="1">
      <alignment horizontal="left" vertical="center"/>
      <protection hidden="1"/>
    </xf>
    <xf numFmtId="0" fontId="24" fillId="0" borderId="91" xfId="53" applyFill="1" applyBorder="1">
      <alignment horizontal="left"/>
    </xf>
    <xf numFmtId="0" fontId="22" fillId="0" borderId="92" xfId="77" applyFill="1" applyBorder="1" applyAlignment="1">
      <alignment horizontal="right"/>
    </xf>
    <xf numFmtId="0" fontId="22" fillId="0" borderId="47" xfId="77" applyFill="1" applyBorder="1" applyAlignment="1">
      <alignment horizontal="right"/>
    </xf>
    <xf numFmtId="0" fontId="22" fillId="0" borderId="48" xfId="77" applyFill="1" applyBorder="1" applyAlignment="1">
      <alignment horizontal="right"/>
    </xf>
    <xf numFmtId="0" fontId="21" fillId="27" borderId="91" xfId="59" applyBorder="1">
      <alignment horizontal="left"/>
      <protection locked="0"/>
    </xf>
    <xf numFmtId="0" fontId="21" fillId="27" borderId="92" xfId="59" applyBorder="1">
      <alignment horizontal="left"/>
      <protection locked="0"/>
    </xf>
    <xf numFmtId="0" fontId="21" fillId="27" borderId="48" xfId="59" applyBorder="1">
      <alignment horizontal="left"/>
      <protection locked="0"/>
    </xf>
    <xf numFmtId="0" fontId="0" fillId="0" borderId="88" xfId="0" applyBorder="1"/>
    <xf numFmtId="0" fontId="0" fillId="0" borderId="89" xfId="0" applyBorder="1"/>
    <xf numFmtId="0" fontId="0" fillId="0" borderId="90" xfId="0" applyBorder="1"/>
    <xf numFmtId="0" fontId="24" fillId="0" borderId="37" xfId="53" applyBorder="1" applyAlignment="1">
      <alignment horizontal="center" vertical="center" wrapText="1"/>
    </xf>
    <xf numFmtId="0" fontId="24" fillId="0" borderId="42" xfId="53" applyBorder="1" applyAlignment="1">
      <alignment horizontal="center" vertical="center" wrapText="1"/>
    </xf>
    <xf numFmtId="42" fontId="21" fillId="27" borderId="42" xfId="39" applyFont="1" applyFill="1" applyBorder="1" applyAlignment="1" applyProtection="1">
      <alignment horizontal="left"/>
      <protection locked="0"/>
    </xf>
    <xf numFmtId="42" fontId="21" fillId="27" borderId="43" xfId="39" applyFont="1" applyFill="1" applyBorder="1" applyAlignment="1" applyProtection="1">
      <alignment horizontal="left"/>
      <protection locked="0"/>
    </xf>
    <xf numFmtId="42" fontId="24" fillId="0" borderId="90" xfId="0" applyNumberFormat="1" applyFont="1" applyBorder="1"/>
    <xf numFmtId="42" fontId="21" fillId="27" borderId="37" xfId="39" applyFont="1" applyFill="1" applyBorder="1" applyAlignment="1" applyProtection="1">
      <alignment horizontal="left"/>
      <protection locked="0"/>
    </xf>
    <xf numFmtId="42" fontId="21" fillId="27" borderId="38" xfId="39" applyFont="1" applyFill="1" applyBorder="1" applyAlignment="1" applyProtection="1">
      <alignment horizontal="left"/>
      <protection locked="0"/>
    </xf>
    <xf numFmtId="0" fontId="23" fillId="0" borderId="9" xfId="52" applyBorder="1">
      <alignment horizontal="left"/>
    </xf>
    <xf numFmtId="0" fontId="21" fillId="0" borderId="0" xfId="0" applyFont="1" applyAlignment="1" applyProtection="1">
      <alignment horizontal="left"/>
      <protection hidden="1"/>
    </xf>
    <xf numFmtId="0" fontId="21" fillId="0" borderId="0" xfId="0" applyFont="1" applyAlignment="1" applyProtection="1">
      <alignment horizontal="left"/>
      <protection locked="0"/>
    </xf>
    <xf numFmtId="10" fontId="33" fillId="0" borderId="0" xfId="0" applyNumberFormat="1" applyFont="1" applyAlignment="1">
      <alignment horizontal="right"/>
    </xf>
    <xf numFmtId="0" fontId="23" fillId="0" borderId="0" xfId="0" applyFont="1" applyAlignment="1">
      <alignment horizontal="left" indent="4"/>
    </xf>
    <xf numFmtId="0" fontId="29" fillId="0" borderId="9" xfId="0" applyFont="1" applyBorder="1" applyAlignment="1">
      <alignment horizontal="center" wrapText="1"/>
    </xf>
    <xf numFmtId="6" fontId="39" fillId="0" borderId="11" xfId="0" applyNumberFormat="1" applyFont="1" applyBorder="1" applyAlignment="1">
      <alignment horizontal="center" vertical="center" wrapText="1"/>
    </xf>
    <xf numFmtId="0" fontId="39" fillId="0" borderId="48" xfId="0" applyFont="1" applyBorder="1" applyAlignment="1">
      <alignment vertical="center"/>
    </xf>
    <xf numFmtId="0" fontId="29" fillId="0" borderId="78" xfId="0" applyFont="1" applyBorder="1" applyAlignment="1">
      <alignment horizontal="center" wrapText="1"/>
    </xf>
    <xf numFmtId="0" fontId="29" fillId="0" borderId="79" xfId="0" applyFont="1" applyBorder="1" applyAlignment="1">
      <alignment horizontal="center" wrapText="1"/>
    </xf>
    <xf numFmtId="0" fontId="29" fillId="0" borderId="44" xfId="0" applyFont="1" applyBorder="1" applyAlignment="1">
      <alignment horizontal="center" wrapText="1"/>
    </xf>
    <xf numFmtId="0" fontId="29" fillId="0" borderId="47" xfId="0" applyFont="1" applyBorder="1"/>
    <xf numFmtId="10" fontId="0" fillId="0" borderId="0" xfId="0" applyNumberFormat="1"/>
    <xf numFmtId="0" fontId="29" fillId="0" borderId="100" xfId="0" applyFont="1" applyBorder="1" applyAlignment="1">
      <alignment horizontal="center" wrapText="1"/>
    </xf>
    <xf numFmtId="0" fontId="39" fillId="0" borderId="11" xfId="0" applyFont="1" applyBorder="1" applyAlignment="1">
      <alignment vertical="center"/>
    </xf>
    <xf numFmtId="0" fontId="41" fillId="0" borderId="48" xfId="0" applyFont="1" applyBorder="1" applyAlignment="1">
      <alignment horizontal="center" vertical="center"/>
    </xf>
    <xf numFmtId="0" fontId="41" fillId="0" borderId="63" xfId="0" applyFont="1" applyBorder="1" applyAlignment="1">
      <alignment horizontal="center" vertical="center"/>
    </xf>
    <xf numFmtId="0" fontId="41" fillId="0" borderId="46" xfId="0" applyFont="1" applyBorder="1" applyAlignment="1">
      <alignment horizontal="center" vertical="center"/>
    </xf>
    <xf numFmtId="10" fontId="39" fillId="0" borderId="42" xfId="31" applyNumberFormat="1" applyFont="1" applyBorder="1" applyAlignment="1">
      <alignment horizontal="center"/>
    </xf>
    <xf numFmtId="10" fontId="39" fillId="0" borderId="43" xfId="31" applyNumberFormat="1" applyFont="1" applyBorder="1" applyAlignment="1">
      <alignment horizontal="center"/>
    </xf>
    <xf numFmtId="6" fontId="41" fillId="0" borderId="63" xfId="0" applyNumberFormat="1" applyFont="1" applyBorder="1" applyAlignment="1">
      <alignment horizontal="center" vertical="center" wrapText="1"/>
    </xf>
    <xf numFmtId="167" fontId="21" fillId="0" borderId="0" xfId="76" applyAlignment="1">
      <alignment horizontal="center" vertical="center"/>
    </xf>
    <xf numFmtId="0" fontId="24" fillId="25" borderId="0" xfId="53" applyFill="1" applyAlignment="1">
      <alignment horizontal="center" wrapText="1"/>
    </xf>
    <xf numFmtId="0" fontId="24" fillId="25" borderId="0" xfId="53" applyFill="1" applyAlignment="1">
      <alignment horizontal="center" vertical="center" wrapText="1"/>
    </xf>
    <xf numFmtId="0" fontId="24" fillId="25" borderId="0" xfId="53" applyFill="1" applyAlignment="1">
      <alignment horizontal="right" vertical="top"/>
    </xf>
    <xf numFmtId="37" fontId="31" fillId="25" borderId="0" xfId="35" applyFont="1" applyFill="1" applyBorder="1" applyAlignment="1">
      <alignment horizontal="center" vertical="center"/>
    </xf>
    <xf numFmtId="9" fontId="24" fillId="26" borderId="0" xfId="69" applyFont="1" applyFill="1" applyBorder="1" applyAlignment="1">
      <alignment horizontal="center" vertical="top"/>
    </xf>
    <xf numFmtId="37" fontId="0" fillId="25" borderId="0" xfId="35" applyFont="1" applyFill="1" applyBorder="1" applyAlignment="1">
      <alignment horizontal="center" vertical="center"/>
    </xf>
    <xf numFmtId="0" fontId="24" fillId="25" borderId="0" xfId="53" applyFill="1" applyAlignment="1">
      <alignment horizontal="center" vertical="top"/>
    </xf>
    <xf numFmtId="168" fontId="0" fillId="0" borderId="0" xfId="0" applyNumberFormat="1"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37" fontId="22" fillId="0" borderId="0" xfId="35" applyFont="1" applyFill="1" applyBorder="1" applyAlignment="1" applyProtection="1">
      <alignment horizontal="center" vertical="center"/>
      <protection locked="0"/>
    </xf>
    <xf numFmtId="0" fontId="22" fillId="0" borderId="0" xfId="77" quotePrefix="1" applyFill="1">
      <alignment horizontal="left"/>
    </xf>
    <xf numFmtId="0" fontId="0" fillId="0" borderId="0" xfId="0" applyAlignment="1">
      <alignment horizontal="center"/>
    </xf>
    <xf numFmtId="0" fontId="59" fillId="34" borderId="0" xfId="0" quotePrefix="1" applyFont="1" applyFill="1" applyAlignment="1">
      <alignment horizontal="left"/>
    </xf>
    <xf numFmtId="0" fontId="60" fillId="34" borderId="0" xfId="0" quotePrefix="1" applyFont="1" applyFill="1" applyAlignment="1">
      <alignment horizontal="left" indent="1"/>
    </xf>
    <xf numFmtId="0" fontId="59" fillId="34" borderId="0" xfId="0" quotePrefix="1" applyFont="1" applyFill="1"/>
    <xf numFmtId="0" fontId="65" fillId="0" borderId="0" xfId="0" applyFont="1"/>
    <xf numFmtId="167" fontId="21" fillId="0" borderId="9" xfId="76" quotePrefix="1" applyBorder="1"/>
    <xf numFmtId="167" fontId="24" fillId="0" borderId="9" xfId="76" quotePrefix="1" applyFont="1" applyBorder="1"/>
    <xf numFmtId="0" fontId="0" fillId="34" borderId="0" xfId="0" applyFill="1" applyAlignment="1">
      <alignment horizontal="center"/>
    </xf>
    <xf numFmtId="0" fontId="22" fillId="34" borderId="0" xfId="77" quotePrefix="1" applyFill="1">
      <alignment horizontal="left"/>
    </xf>
    <xf numFmtId="0" fontId="64" fillId="34" borderId="91" xfId="77" applyFont="1" applyFill="1" applyBorder="1" applyAlignment="1">
      <alignment horizontal="center"/>
    </xf>
    <xf numFmtId="0" fontId="64" fillId="0" borderId="91" xfId="77" applyFont="1" applyFill="1" applyBorder="1" applyAlignment="1">
      <alignment horizontal="center"/>
    </xf>
    <xf numFmtId="0" fontId="68" fillId="34" borderId="91" xfId="77" quotePrefix="1" applyFont="1" applyFill="1" applyBorder="1" applyAlignment="1">
      <alignment horizontal="center"/>
    </xf>
    <xf numFmtId="0" fontId="22" fillId="34" borderId="91" xfId="77" quotePrefix="1" applyFill="1" applyBorder="1" applyAlignment="1">
      <alignment horizontal="center" vertical="center"/>
    </xf>
    <xf numFmtId="0" fontId="67" fillId="34" borderId="91" xfId="77" quotePrefix="1" applyFont="1" applyFill="1" applyBorder="1" applyAlignment="1">
      <alignment horizontal="center"/>
    </xf>
    <xf numFmtId="0" fontId="0" fillId="0" borderId="93" xfId="0" applyBorder="1"/>
    <xf numFmtId="0" fontId="0" fillId="0" borderId="94" xfId="0" applyBorder="1"/>
    <xf numFmtId="0" fontId="0" fillId="0" borderId="95" xfId="0" applyBorder="1"/>
    <xf numFmtId="0" fontId="67" fillId="0" borderId="91" xfId="77" quotePrefix="1" applyFont="1" applyFill="1" applyBorder="1" applyAlignment="1">
      <alignment horizontal="center"/>
    </xf>
    <xf numFmtId="0" fontId="22" fillId="0" borderId="47" xfId="77" applyFill="1" applyBorder="1" applyAlignment="1" applyProtection="1">
      <alignment horizontal="right"/>
      <protection locked="0"/>
    </xf>
    <xf numFmtId="0" fontId="22" fillId="0" borderId="48" xfId="77" applyFill="1" applyBorder="1" applyAlignment="1" applyProtection="1">
      <alignment horizontal="right"/>
      <protection locked="0"/>
    </xf>
    <xf numFmtId="0" fontId="24" fillId="0" borderId="91" xfId="53" applyFill="1" applyBorder="1" applyAlignment="1" applyProtection="1">
      <alignment horizontal="center"/>
      <protection locked="0"/>
    </xf>
    <xf numFmtId="37" fontId="21" fillId="27" borderId="37" xfId="79" applyBorder="1" applyProtection="1">
      <alignment horizontal="center"/>
      <protection locked="0"/>
    </xf>
    <xf numFmtId="37" fontId="21" fillId="27" borderId="38" xfId="79" applyBorder="1" applyProtection="1">
      <alignment horizontal="center"/>
      <protection locked="0"/>
    </xf>
    <xf numFmtId="37" fontId="24" fillId="28" borderId="7" xfId="68" applyNumberFormat="1" applyAlignment="1" applyProtection="1">
      <alignment horizontal="center"/>
    </xf>
    <xf numFmtId="42" fontId="21" fillId="0" borderId="0" xfId="39" applyFont="1" applyFill="1" applyBorder="1" applyAlignment="1" applyProtection="1">
      <alignment horizontal="left"/>
    </xf>
    <xf numFmtId="37" fontId="21" fillId="0" borderId="0" xfId="35" applyFill="1" applyBorder="1" applyProtection="1">
      <alignment horizontal="center"/>
    </xf>
    <xf numFmtId="42" fontId="21" fillId="22" borderId="42" xfId="153" applyFont="1" applyFill="1" applyBorder="1" applyAlignment="1" applyProtection="1">
      <alignment horizontal="left"/>
      <protection locked="0"/>
    </xf>
    <xf numFmtId="37" fontId="21" fillId="22" borderId="37" xfId="141" applyFill="1" applyBorder="1" applyProtection="1">
      <alignment horizontal="center"/>
      <protection locked="0"/>
    </xf>
    <xf numFmtId="42" fontId="21" fillId="22" borderId="91" xfId="38" applyFont="1" applyFill="1" applyBorder="1" applyAlignment="1" applyProtection="1">
      <alignment horizontal="left"/>
      <protection locked="0"/>
    </xf>
    <xf numFmtId="37" fontId="21" fillId="22" borderId="91" xfId="35" applyFill="1" applyBorder="1" applyProtection="1">
      <alignment horizontal="center"/>
      <protection locked="0"/>
    </xf>
    <xf numFmtId="172" fontId="29" fillId="0" borderId="91" xfId="236" applyNumberFormat="1" applyFont="1" applyBorder="1" applyProtection="1">
      <protection locked="0"/>
    </xf>
    <xf numFmtId="2" fontId="21" fillId="27" borderId="4" xfId="59" applyNumberFormat="1" applyAlignment="1">
      <alignment horizontal="center"/>
      <protection locked="0"/>
    </xf>
    <xf numFmtId="2" fontId="21" fillId="27" borderId="42" xfId="59" applyNumberFormat="1" applyBorder="1" applyAlignment="1">
      <alignment horizontal="center"/>
      <protection locked="0"/>
    </xf>
    <xf numFmtId="174" fontId="21" fillId="27" borderId="48" xfId="59" applyNumberFormat="1" applyBorder="1">
      <alignment horizontal="left"/>
      <protection locked="0"/>
    </xf>
    <xf numFmtId="0" fontId="21" fillId="27" borderId="91" xfId="158">
      <alignment horizontal="left"/>
      <protection locked="0"/>
    </xf>
    <xf numFmtId="0" fontId="21" fillId="27" borderId="92" xfId="158" applyBorder="1">
      <alignment horizontal="left"/>
      <protection locked="0"/>
    </xf>
    <xf numFmtId="4" fontId="21" fillId="27" borderId="91" xfId="158" applyNumberFormat="1" applyAlignment="1">
      <alignment horizontal="center" vertical="center"/>
      <protection locked="0"/>
    </xf>
    <xf numFmtId="4" fontId="21" fillId="27" borderId="92" xfId="158" applyNumberFormat="1" applyBorder="1" applyAlignment="1">
      <alignment horizontal="center" vertical="center"/>
      <protection locked="0"/>
    </xf>
    <xf numFmtId="4" fontId="21" fillId="27" borderId="94" xfId="158" applyNumberFormat="1" applyBorder="1" applyAlignment="1">
      <alignment horizontal="center" vertical="center"/>
      <protection locked="0"/>
    </xf>
    <xf numFmtId="4" fontId="21" fillId="27" borderId="95" xfId="158" applyNumberFormat="1" applyBorder="1" applyAlignment="1">
      <alignment horizontal="center" vertical="center"/>
      <protection locked="0"/>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pplyProtection="1">
      <alignment horizontal="center" vertical="center"/>
      <protection locked="0"/>
    </xf>
    <xf numFmtId="0" fontId="21" fillId="37" borderId="0" xfId="0" applyFont="1" applyFill="1"/>
    <xf numFmtId="37" fontId="24" fillId="0" borderId="15" xfId="237" applyNumberFormat="1" applyFont="1" applyBorder="1"/>
    <xf numFmtId="0" fontId="0" fillId="0" borderId="91" xfId="0" applyBorder="1" applyAlignment="1" applyProtection="1">
      <alignment horizontal="center"/>
      <protection locked="0"/>
    </xf>
    <xf numFmtId="0" fontId="0" fillId="0" borderId="91" xfId="237" applyNumberFormat="1" applyFont="1" applyBorder="1" applyAlignment="1">
      <alignment horizontal="center"/>
    </xf>
    <xf numFmtId="0" fontId="0" fillId="36" borderId="91" xfId="0" applyFill="1" applyBorder="1" applyAlignment="1">
      <alignment horizontal="center" vertical="center"/>
    </xf>
    <xf numFmtId="0" fontId="0" fillId="0" borderId="101" xfId="0" applyBorder="1" applyAlignment="1">
      <alignment horizontal="center" vertical="center"/>
    </xf>
    <xf numFmtId="0" fontId="0" fillId="0" borderId="91" xfId="0" applyBorder="1" applyAlignment="1">
      <alignment horizontal="center" vertical="center"/>
    </xf>
    <xf numFmtId="0" fontId="0" fillId="0" borderId="102" xfId="0" applyBorder="1" applyAlignment="1">
      <alignment horizontal="center" vertical="center"/>
    </xf>
    <xf numFmtId="0" fontId="21" fillId="0" borderId="0" xfId="0" applyFont="1" applyAlignment="1">
      <alignment vertical="center"/>
    </xf>
    <xf numFmtId="37" fontId="21" fillId="0" borderId="0" xfId="35" applyBorder="1" applyAlignment="1">
      <alignment horizontal="center" vertical="center"/>
    </xf>
    <xf numFmtId="0" fontId="0" fillId="0" borderId="91" xfId="0" applyBorder="1" applyAlignment="1" applyProtection="1">
      <alignment horizontal="center" vertical="center"/>
      <protection locked="0"/>
    </xf>
    <xf numFmtId="0" fontId="0" fillId="0" borderId="91" xfId="237" applyNumberFormat="1" applyFont="1" applyBorder="1" applyAlignment="1">
      <alignment horizontal="center" vertical="center"/>
    </xf>
    <xf numFmtId="0" fontId="0" fillId="0" borderId="92" xfId="0" applyBorder="1" applyAlignment="1" applyProtection="1">
      <alignment horizontal="center" vertical="center"/>
      <protection locked="0"/>
    </xf>
    <xf numFmtId="0" fontId="0" fillId="0" borderId="92" xfId="237" applyNumberFormat="1" applyFont="1" applyBorder="1" applyAlignment="1">
      <alignment horizontal="center" vertical="center"/>
    </xf>
    <xf numFmtId="0" fontId="0" fillId="0" borderId="91" xfId="0" applyBorder="1" applyAlignment="1">
      <alignment horizontal="center" vertical="center" wrapText="1"/>
    </xf>
    <xf numFmtId="0" fontId="0" fillId="0" borderId="0" xfId="0" applyAlignment="1" applyProtection="1">
      <alignment horizontal="center" vertical="top" wrapText="1"/>
      <protection locked="0"/>
    </xf>
    <xf numFmtId="0" fontId="0" fillId="0" borderId="0" xfId="0" applyAlignment="1" applyProtection="1">
      <alignment horizontal="left" vertical="top" wrapText="1"/>
      <protection locked="0"/>
    </xf>
    <xf numFmtId="0" fontId="0" fillId="0" borderId="48" xfId="0" applyBorder="1" applyAlignment="1">
      <alignment horizontal="center" vertical="center"/>
    </xf>
    <xf numFmtId="0" fontId="0" fillId="0" borderId="0" xfId="0" applyAlignment="1" applyProtection="1">
      <alignment horizontal="center" wrapText="1"/>
      <protection locked="0"/>
    </xf>
    <xf numFmtId="0" fontId="4" fillId="0" borderId="0" xfId="0" applyFont="1" applyAlignment="1" applyProtection="1">
      <alignment horizontal="center" vertical="center" wrapText="1"/>
      <protection locked="0"/>
    </xf>
    <xf numFmtId="0" fontId="4" fillId="0" borderId="91" xfId="0" applyFont="1" applyBorder="1" applyAlignment="1">
      <alignment horizontal="center" vertical="center" wrapText="1"/>
    </xf>
    <xf numFmtId="0" fontId="0" fillId="0" borderId="91" xfId="0" applyBorder="1" applyAlignment="1">
      <alignment horizontal="center" wrapText="1"/>
    </xf>
    <xf numFmtId="0" fontId="0" fillId="0" borderId="91" xfId="0" applyBorder="1" applyAlignment="1" applyProtection="1">
      <alignment horizontal="center" wrapText="1"/>
      <protection locked="0"/>
    </xf>
    <xf numFmtId="0" fontId="0" fillId="0" borderId="0" xfId="0" applyAlignment="1" applyProtection="1">
      <alignment horizontal="center" vertical="top"/>
      <protection locked="0"/>
    </xf>
    <xf numFmtId="0" fontId="4" fillId="0" borderId="91" xfId="0" applyFont="1" applyBorder="1" applyAlignment="1">
      <alignment horizontal="center" vertical="center"/>
    </xf>
    <xf numFmtId="0" fontId="0" fillId="0" borderId="0" xfId="0" applyAlignment="1" applyProtection="1">
      <alignment horizontal="center" vertical="center"/>
      <protection locked="0"/>
    </xf>
    <xf numFmtId="0" fontId="0" fillId="30" borderId="91" xfId="0" applyFill="1" applyBorder="1" applyAlignment="1">
      <alignment horizontal="center" vertical="center"/>
    </xf>
    <xf numFmtId="0" fontId="0" fillId="30" borderId="92" xfId="0" applyFill="1" applyBorder="1" applyAlignment="1">
      <alignment horizontal="center" vertical="center"/>
    </xf>
    <xf numFmtId="0" fontId="0" fillId="30" borderId="48" xfId="0" applyFill="1" applyBorder="1" applyAlignment="1">
      <alignment horizontal="center" vertical="center"/>
    </xf>
    <xf numFmtId="42" fontId="21" fillId="22" borderId="36" xfId="38" applyFont="1" applyFill="1" applyBorder="1" applyAlignment="1" applyProtection="1">
      <alignment horizontal="left"/>
      <protection locked="0"/>
    </xf>
    <xf numFmtId="42" fontId="21" fillId="22" borderId="61" xfId="38" applyFont="1" applyFill="1" applyBorder="1" applyAlignment="1" applyProtection="1">
      <alignment horizontal="left"/>
      <protection locked="0"/>
    </xf>
    <xf numFmtId="14" fontId="0" fillId="0" borderId="0" xfId="0" applyNumberFormat="1" applyAlignment="1">
      <alignment horizont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wrapText="1"/>
    </xf>
    <xf numFmtId="39" fontId="22" fillId="25" borderId="0" xfId="35" applyNumberFormat="1" applyFont="1" applyFill="1" applyBorder="1" applyAlignment="1">
      <alignment horizontal="center" vertical="center"/>
    </xf>
    <xf numFmtId="39" fontId="22" fillId="0" borderId="0" xfId="35" applyNumberFormat="1" applyFont="1" applyFill="1" applyBorder="1" applyAlignment="1" applyProtection="1">
      <alignment horizontal="center" vertical="center"/>
      <protection locked="0"/>
    </xf>
    <xf numFmtId="0" fontId="4" fillId="0" borderId="88" xfId="0" applyFont="1" applyBorder="1"/>
    <xf numFmtId="0" fontId="4" fillId="0" borderId="89" xfId="0" applyFont="1" applyBorder="1"/>
    <xf numFmtId="0" fontId="4" fillId="0" borderId="90" xfId="0" applyFont="1" applyBorder="1"/>
    <xf numFmtId="0" fontId="4" fillId="0" borderId="9" xfId="0" applyFont="1" applyBorder="1"/>
    <xf numFmtId="0" fontId="4" fillId="0" borderId="10" xfId="0" applyFont="1" applyBorder="1"/>
    <xf numFmtId="0" fontId="4" fillId="0" borderId="0" xfId="0" applyFont="1" applyAlignment="1">
      <alignment wrapText="1"/>
    </xf>
    <xf numFmtId="0" fontId="4" fillId="0" borderId="0" xfId="0" applyFont="1"/>
    <xf numFmtId="0" fontId="4" fillId="0" borderId="0" xfId="0" applyFont="1" applyAlignment="1">
      <alignment horizontal="center"/>
    </xf>
    <xf numFmtId="0" fontId="21" fillId="32" borderId="91" xfId="59" applyFill="1" applyBorder="1">
      <alignment horizontal="left"/>
      <protection locked="0"/>
    </xf>
    <xf numFmtId="0" fontId="4" fillId="0" borderId="0" xfId="51" applyFont="1">
      <alignment horizontal="left"/>
    </xf>
    <xf numFmtId="0" fontId="4" fillId="0" borderId="13" xfId="0" applyFont="1" applyBorder="1"/>
    <xf numFmtId="0" fontId="21" fillId="25" borderId="35" xfId="0" applyFont="1" applyFill="1" applyBorder="1" applyAlignment="1">
      <alignment horizontal="center" vertical="center" wrapText="1"/>
    </xf>
    <xf numFmtId="0" fontId="21" fillId="25" borderId="89" xfId="0" applyFont="1" applyFill="1" applyBorder="1" applyAlignment="1">
      <alignment horizontal="center" vertical="center" wrapText="1"/>
    </xf>
    <xf numFmtId="0" fontId="21" fillId="25" borderId="90" xfId="0" applyFont="1" applyFill="1" applyBorder="1" applyAlignment="1">
      <alignment horizontal="center" vertical="center" wrapText="1"/>
    </xf>
    <xf numFmtId="0" fontId="21" fillId="25" borderId="88" xfId="0" applyFont="1" applyFill="1" applyBorder="1" applyAlignment="1">
      <alignment horizontal="center" vertical="center" wrapText="1"/>
    </xf>
    <xf numFmtId="0" fontId="21" fillId="25" borderId="71" xfId="0" applyFont="1" applyFill="1" applyBorder="1" applyAlignment="1">
      <alignment horizontal="center" vertical="center" wrapText="1"/>
    </xf>
    <xf numFmtId="0" fontId="21" fillId="25" borderId="45" xfId="0" applyFont="1" applyFill="1" applyBorder="1" applyAlignment="1">
      <alignment horizontal="center" vertical="center" wrapText="1"/>
    </xf>
    <xf numFmtId="0" fontId="21" fillId="25" borderId="10" xfId="0" applyFont="1" applyFill="1" applyBorder="1" applyAlignment="1">
      <alignment horizontal="center" vertical="center" wrapText="1"/>
    </xf>
    <xf numFmtId="0" fontId="21" fillId="25" borderId="9" xfId="0" applyFont="1" applyFill="1" applyBorder="1" applyAlignment="1">
      <alignment horizontal="center" vertical="center" wrapText="1"/>
    </xf>
    <xf numFmtId="0" fontId="21" fillId="25" borderId="66" xfId="0" applyFont="1" applyFill="1" applyBorder="1" applyAlignment="1">
      <alignment horizontal="center" vertical="center" wrapText="1"/>
    </xf>
    <xf numFmtId="0" fontId="4" fillId="25" borderId="59" xfId="0" applyFont="1" applyFill="1" applyBorder="1"/>
    <xf numFmtId="0" fontId="4" fillId="25" borderId="67" xfId="0" applyFont="1" applyFill="1" applyBorder="1"/>
    <xf numFmtId="0" fontId="4" fillId="25" borderId="32" xfId="0" applyFont="1" applyFill="1" applyBorder="1"/>
    <xf numFmtId="0" fontId="4" fillId="25" borderId="86" xfId="0" applyFont="1" applyFill="1" applyBorder="1"/>
    <xf numFmtId="0" fontId="4" fillId="25" borderId="60" xfId="0" applyFont="1" applyFill="1" applyBorder="1"/>
    <xf numFmtId="0" fontId="21" fillId="0" borderId="93" xfId="0" applyFont="1" applyBorder="1"/>
    <xf numFmtId="0" fontId="21" fillId="0" borderId="94" xfId="0" applyFont="1" applyBorder="1"/>
    <xf numFmtId="0" fontId="21" fillId="0" borderId="95" xfId="0" applyFont="1" applyBorder="1"/>
    <xf numFmtId="0" fontId="21" fillId="0" borderId="88" xfId="0" applyFont="1" applyBorder="1"/>
    <xf numFmtId="0" fontId="21" fillId="0" borderId="90" xfId="0" applyFont="1" applyBorder="1"/>
    <xf numFmtId="0" fontId="56" fillId="27" borderId="93" xfId="59" applyFont="1" applyBorder="1" applyAlignment="1" applyProtection="1">
      <alignment horizontal="left" indent="1"/>
      <protection hidden="1"/>
    </xf>
    <xf numFmtId="0" fontId="21" fillId="0" borderId="91" xfId="0" applyFont="1" applyBorder="1" applyAlignment="1">
      <alignment horizontal="center" textRotation="90"/>
    </xf>
    <xf numFmtId="0" fontId="21" fillId="27" borderId="91" xfId="0" applyFont="1" applyFill="1" applyBorder="1" applyAlignment="1" applyProtection="1">
      <alignment horizontal="center" vertical="center"/>
      <protection locked="0"/>
    </xf>
    <xf numFmtId="42" fontId="21" fillId="22" borderId="91" xfId="39" applyFont="1" applyFill="1" applyBorder="1" applyAlignment="1" applyProtection="1">
      <alignment horizontal="left"/>
      <protection locked="0"/>
    </xf>
    <xf numFmtId="42" fontId="21" fillId="22" borderId="92" xfId="38" applyFont="1" applyFill="1" applyBorder="1" applyAlignment="1" applyProtection="1">
      <alignment horizontal="left"/>
      <protection locked="0"/>
    </xf>
    <xf numFmtId="167" fontId="21" fillId="0" borderId="91" xfId="76" applyBorder="1"/>
    <xf numFmtId="0" fontId="22" fillId="0" borderId="91" xfId="77" applyFill="1" applyBorder="1">
      <alignment horizontal="left"/>
    </xf>
    <xf numFmtId="42" fontId="21" fillId="22" borderId="91" xfId="39" applyFont="1" applyFill="1" applyBorder="1" applyAlignment="1" applyProtection="1">
      <alignment horizontal="left" vertical="center"/>
      <protection locked="0"/>
    </xf>
    <xf numFmtId="42" fontId="21" fillId="0" borderId="91" xfId="0" applyNumberFormat="1" applyFont="1" applyBorder="1" applyAlignment="1">
      <alignment vertical="center"/>
    </xf>
    <xf numFmtId="9" fontId="21" fillId="0" borderId="91" xfId="69" applyFont="1" applyBorder="1" applyAlignment="1">
      <alignment horizontal="center" vertical="center"/>
    </xf>
    <xf numFmtId="0" fontId="22" fillId="0" borderId="91" xfId="77" applyFill="1" applyBorder="1" applyAlignment="1">
      <alignment horizontal="left" indent="1"/>
    </xf>
    <xf numFmtId="37" fontId="22" fillId="25" borderId="0" xfId="35" applyFont="1" applyFill="1" applyBorder="1" applyAlignment="1">
      <alignment horizontal="center" vertical="center"/>
    </xf>
    <xf numFmtId="37" fontId="22" fillId="0" borderId="0" xfId="35" applyFont="1" applyFill="1" applyAlignment="1" applyProtection="1">
      <alignment horizontal="center" vertical="center"/>
      <protection locked="0"/>
    </xf>
    <xf numFmtId="42" fontId="21" fillId="0" borderId="91" xfId="38" applyFont="1" applyBorder="1"/>
    <xf numFmtId="42" fontId="21" fillId="0" borderId="92" xfId="38" applyFont="1" applyBorder="1"/>
    <xf numFmtId="42" fontId="21" fillId="22" borderId="91" xfId="38" applyFont="1" applyFill="1" applyBorder="1" applyAlignment="1" applyProtection="1">
      <alignment horizontal="left" vertical="center"/>
      <protection locked="0"/>
    </xf>
    <xf numFmtId="0" fontId="24" fillId="0" borderId="92" xfId="53" applyBorder="1" applyAlignment="1">
      <alignment horizontal="center" wrapText="1"/>
    </xf>
    <xf numFmtId="37" fontId="21" fillId="27" borderId="91" xfId="237" applyNumberFormat="1" applyFont="1" applyFill="1" applyBorder="1" applyAlignment="1" applyProtection="1">
      <alignment horizontal="center"/>
      <protection locked="0"/>
    </xf>
    <xf numFmtId="37" fontId="21" fillId="22" borderId="92" xfId="35" applyFill="1" applyBorder="1" applyProtection="1">
      <alignment horizontal="center"/>
      <protection locked="0"/>
    </xf>
    <xf numFmtId="0" fontId="23" fillId="0" borderId="91" xfId="51" applyFill="1" applyBorder="1">
      <alignment horizontal="left"/>
    </xf>
    <xf numFmtId="0" fontId="24" fillId="0" borderId="91" xfId="53" applyFill="1" applyBorder="1" applyAlignment="1">
      <alignment horizontal="left" vertical="top"/>
    </xf>
    <xf numFmtId="0" fontId="24" fillId="0" borderId="91" xfId="53" applyFill="1" applyBorder="1" applyAlignment="1">
      <alignment horizontal="left" vertical="top" wrapText="1"/>
    </xf>
    <xf numFmtId="0" fontId="29" fillId="0" borderId="91" xfId="0" applyFont="1" applyBorder="1"/>
    <xf numFmtId="0" fontId="29" fillId="0" borderId="91" xfId="0" applyFont="1" applyBorder="1" applyAlignment="1">
      <alignment horizontal="center" wrapText="1"/>
    </xf>
    <xf numFmtId="0" fontId="0" fillId="0" borderId="91" xfId="0" applyBorder="1"/>
    <xf numFmtId="42" fontId="0" fillId="0" borderId="91" xfId="0" applyNumberFormat="1" applyBorder="1"/>
    <xf numFmtId="42" fontId="0" fillId="25" borderId="91" xfId="0" applyNumberFormat="1" applyFill="1" applyBorder="1"/>
    <xf numFmtId="37" fontId="0" fillId="0" borderId="91" xfId="0" applyNumberFormat="1" applyBorder="1"/>
    <xf numFmtId="0" fontId="4" fillId="0" borderId="0" xfId="0" quotePrefix="1" applyFont="1" applyAlignment="1">
      <alignment horizontal="center"/>
    </xf>
    <xf numFmtId="169" fontId="0" fillId="0" borderId="91" xfId="0" applyNumberFormat="1" applyBorder="1"/>
    <xf numFmtId="171" fontId="0" fillId="0" borderId="91" xfId="0" applyNumberFormat="1" applyBorder="1"/>
    <xf numFmtId="0" fontId="29" fillId="0" borderId="91" xfId="0" applyFont="1" applyBorder="1" applyAlignment="1">
      <alignment horizontal="center"/>
    </xf>
    <xf numFmtId="0" fontId="0" fillId="0" borderId="91" xfId="0" applyBorder="1" applyAlignment="1">
      <alignment horizontal="center"/>
    </xf>
    <xf numFmtId="42" fontId="0" fillId="0" borderId="91" xfId="0" applyNumberFormat="1" applyBorder="1" applyAlignment="1">
      <alignment horizontal="center"/>
    </xf>
    <xf numFmtId="39" fontId="0" fillId="0" borderId="91" xfId="0" applyNumberFormat="1" applyBorder="1"/>
    <xf numFmtId="0" fontId="4" fillId="0" borderId="91" xfId="0" applyFont="1" applyBorder="1"/>
    <xf numFmtId="0" fontId="4" fillId="0" borderId="95" xfId="0" applyFont="1" applyBorder="1"/>
    <xf numFmtId="42" fontId="0" fillId="0" borderId="93" xfId="0" applyNumberFormat="1" applyBorder="1" applyAlignment="1">
      <alignment horizontal="center"/>
    </xf>
    <xf numFmtId="37" fontId="4" fillId="0" borderId="0" xfId="0" applyNumberFormat="1" applyFont="1"/>
    <xf numFmtId="37" fontId="4" fillId="0" borderId="38" xfId="31" applyNumberFormat="1" applyFont="1" applyBorder="1" applyAlignment="1">
      <alignment horizontal="center" vertical="center"/>
    </xf>
    <xf numFmtId="37" fontId="4" fillId="0" borderId="43" xfId="31" applyNumberFormat="1" applyFont="1" applyBorder="1" applyAlignment="1">
      <alignment horizontal="center" vertical="center"/>
    </xf>
    <xf numFmtId="42" fontId="4" fillId="0" borderId="38" xfId="69" applyNumberFormat="1" applyFont="1" applyBorder="1" applyAlignment="1">
      <alignment horizontal="center" vertical="center"/>
    </xf>
    <xf numFmtId="42" fontId="4" fillId="0" borderId="64" xfId="69" applyNumberFormat="1" applyFont="1" applyBorder="1" applyAlignment="1">
      <alignment horizontal="center" vertical="center"/>
    </xf>
    <xf numFmtId="42" fontId="4" fillId="0" borderId="73" xfId="69" applyNumberFormat="1" applyFont="1" applyBorder="1" applyAlignment="1">
      <alignment horizontal="center" vertical="center"/>
    </xf>
    <xf numFmtId="42" fontId="4" fillId="0" borderId="55" xfId="69" applyNumberFormat="1" applyFont="1" applyBorder="1" applyAlignment="1">
      <alignment horizontal="center" vertical="center"/>
    </xf>
    <xf numFmtId="2" fontId="4" fillId="0" borderId="64" xfId="0" applyNumberFormat="1" applyFont="1" applyBorder="1" applyAlignment="1">
      <alignment horizontal="center" vertical="center"/>
    </xf>
    <xf numFmtId="2" fontId="4" fillId="0" borderId="67" xfId="0" applyNumberFormat="1" applyFont="1" applyBorder="1" applyAlignment="1">
      <alignment horizontal="center" vertical="center"/>
    </xf>
    <xf numFmtId="10" fontId="4" fillId="0" borderId="38" xfId="69" applyNumberFormat="1" applyFont="1" applyBorder="1" applyAlignment="1">
      <alignment horizontal="center" vertical="center"/>
    </xf>
    <xf numFmtId="10" fontId="4" fillId="0" borderId="64" xfId="69" applyNumberFormat="1" applyFont="1" applyBorder="1" applyAlignment="1">
      <alignment horizontal="center" vertical="center"/>
    </xf>
    <xf numFmtId="9" fontId="4" fillId="0" borderId="43" xfId="69" applyFont="1" applyBorder="1" applyAlignment="1">
      <alignment horizontal="center" vertical="center"/>
    </xf>
    <xf numFmtId="0" fontId="4" fillId="25" borderId="33" xfId="0" applyFont="1" applyFill="1" applyBorder="1"/>
    <xf numFmtId="0" fontId="4" fillId="25" borderId="34" xfId="0" applyFont="1" applyFill="1" applyBorder="1"/>
    <xf numFmtId="0" fontId="4" fillId="0" borderId="41" xfId="0" applyFont="1" applyBorder="1"/>
    <xf numFmtId="0" fontId="4" fillId="0" borderId="33" xfId="0" applyFont="1" applyBorder="1"/>
    <xf numFmtId="0" fontId="4" fillId="0" borderId="45" xfId="0" applyFont="1" applyBorder="1"/>
    <xf numFmtId="0" fontId="4" fillId="0" borderId="34" xfId="0" applyFont="1" applyBorder="1"/>
    <xf numFmtId="42" fontId="4" fillId="0" borderId="59" xfId="0" applyNumberFormat="1" applyFont="1" applyBorder="1" applyAlignment="1">
      <alignment horizontal="left" indent="2"/>
    </xf>
    <xf numFmtId="0" fontId="4" fillId="25" borderId="49" xfId="0" applyFont="1" applyFill="1" applyBorder="1"/>
    <xf numFmtId="0" fontId="4" fillId="0" borderId="67" xfId="0" applyFont="1" applyBorder="1"/>
    <xf numFmtId="0" fontId="24" fillId="0" borderId="90" xfId="53" applyBorder="1" applyAlignment="1">
      <alignment horizontal="center" wrapText="1"/>
    </xf>
    <xf numFmtId="0" fontId="4" fillId="0" borderId="0" xfId="0" applyFont="1" applyAlignment="1">
      <alignment vertical="center"/>
    </xf>
    <xf numFmtId="0" fontId="4" fillId="0" borderId="28" xfId="0" applyFont="1" applyBorder="1" applyAlignment="1">
      <alignment horizontal="center"/>
    </xf>
    <xf numFmtId="172" fontId="39" fillId="0" borderId="95" xfId="69" applyNumberFormat="1" applyFont="1" applyBorder="1" applyAlignment="1">
      <alignment horizontal="center"/>
    </xf>
    <xf numFmtId="41" fontId="39" fillId="0" borderId="95" xfId="31" applyFont="1" applyBorder="1" applyAlignment="1">
      <alignment horizontal="center"/>
    </xf>
    <xf numFmtId="0" fontId="29" fillId="25" borderId="91" xfId="0" applyFont="1" applyFill="1" applyBorder="1" applyAlignment="1">
      <alignment vertical="center"/>
    </xf>
    <xf numFmtId="0" fontId="29" fillId="25" borderId="91" xfId="0" applyFont="1" applyFill="1" applyBorder="1" applyAlignment="1">
      <alignment horizontal="center" wrapText="1"/>
    </xf>
    <xf numFmtId="42" fontId="39" fillId="0" borderId="91" xfId="0" applyNumberFormat="1" applyFont="1" applyBorder="1" applyAlignment="1">
      <alignment vertical="center"/>
    </xf>
    <xf numFmtId="9" fontId="41" fillId="0" borderId="91" xfId="69" applyFont="1" applyBorder="1" applyAlignment="1">
      <alignment horizontal="center" vertical="center"/>
    </xf>
    <xf numFmtId="37" fontId="39" fillId="0" borderId="91" xfId="31" applyNumberFormat="1" applyFont="1" applyBorder="1" applyAlignment="1">
      <alignment horizontal="center" vertical="center"/>
    </xf>
    <xf numFmtId="42" fontId="38" fillId="0" borderId="91" xfId="0" applyNumberFormat="1" applyFont="1" applyBorder="1" applyAlignment="1">
      <alignment vertical="center"/>
    </xf>
    <xf numFmtId="9" fontId="40" fillId="0" borderId="91" xfId="69" applyFont="1" applyBorder="1" applyAlignment="1">
      <alignment horizontal="center" vertical="center"/>
    </xf>
    <xf numFmtId="37" fontId="38" fillId="0" borderId="91" xfId="31" applyNumberFormat="1" applyFont="1" applyBorder="1" applyAlignment="1">
      <alignment horizontal="center" vertical="center"/>
    </xf>
    <xf numFmtId="42" fontId="39" fillId="0" borderId="95" xfId="0" applyNumberFormat="1" applyFont="1" applyBorder="1"/>
    <xf numFmtId="42" fontId="39" fillId="0" borderId="91" xfId="0" applyNumberFormat="1" applyFont="1" applyBorder="1"/>
    <xf numFmtId="42" fontId="39" fillId="0" borderId="90" xfId="0" applyNumberFormat="1" applyFont="1" applyBorder="1"/>
    <xf numFmtId="42" fontId="39" fillId="0" borderId="92" xfId="0" applyNumberFormat="1" applyFont="1" applyBorder="1"/>
    <xf numFmtId="37" fontId="39" fillId="0" borderId="92" xfId="31" applyNumberFormat="1" applyFont="1" applyBorder="1" applyAlignment="1">
      <alignment horizontal="center" vertical="center"/>
    </xf>
    <xf numFmtId="0" fontId="29" fillId="0" borderId="92" xfId="0" applyFont="1" applyBorder="1" applyAlignment="1">
      <alignment horizontal="center" wrapText="1"/>
    </xf>
    <xf numFmtId="0" fontId="24" fillId="0" borderId="90" xfId="53" applyBorder="1" applyAlignment="1">
      <alignment horizontal="center" vertical="center" wrapText="1"/>
    </xf>
    <xf numFmtId="0" fontId="39" fillId="0" borderId="91" xfId="0" applyFont="1" applyBorder="1"/>
    <xf numFmtId="169" fontId="39" fillId="0" borderId="91" xfId="31" applyNumberFormat="1" applyFont="1" applyBorder="1" applyAlignment="1">
      <alignment horizontal="center" vertical="center"/>
    </xf>
    <xf numFmtId="171" fontId="39" fillId="0" borderId="91" xfId="0" applyNumberFormat="1" applyFont="1" applyBorder="1"/>
    <xf numFmtId="42" fontId="21" fillId="0" borderId="93" xfId="38" applyFont="1" applyFill="1" applyBorder="1" applyAlignment="1" applyProtection="1">
      <alignment horizontal="left"/>
      <protection locked="0"/>
    </xf>
    <xf numFmtId="37" fontId="21" fillId="0" borderId="93" xfId="35" applyFill="1" applyBorder="1" applyProtection="1">
      <alignment horizontal="center"/>
      <protection locked="0"/>
    </xf>
    <xf numFmtId="42" fontId="21" fillId="0" borderId="91" xfId="38" applyFont="1" applyFill="1" applyBorder="1" applyAlignment="1" applyProtection="1">
      <alignment horizontal="left"/>
      <protection locked="0"/>
    </xf>
    <xf numFmtId="37" fontId="21" fillId="0" borderId="91" xfId="35" applyFill="1" applyBorder="1" applyProtection="1">
      <alignment horizontal="center"/>
      <protection locked="0"/>
    </xf>
    <xf numFmtId="0" fontId="4" fillId="34" borderId="0" xfId="0" applyFont="1" applyFill="1" applyAlignment="1">
      <alignment horizontal="center"/>
    </xf>
    <xf numFmtId="0" fontId="4" fillId="34" borderId="0" xfId="0" applyFont="1" applyFill="1"/>
    <xf numFmtId="0" fontId="4" fillId="0" borderId="0" xfId="0" applyFont="1" applyAlignment="1">
      <alignment horizontal="right"/>
    </xf>
    <xf numFmtId="0" fontId="4" fillId="0" borderId="91" xfId="0" applyFont="1" applyBorder="1" applyAlignment="1">
      <alignment horizontal="center" wrapText="1"/>
    </xf>
    <xf numFmtId="10" fontId="0" fillId="0" borderId="91" xfId="0" applyNumberFormat="1" applyBorder="1" applyAlignment="1">
      <alignment horizontal="center"/>
    </xf>
    <xf numFmtId="0" fontId="4" fillId="0" borderId="91" xfId="0" applyFont="1" applyBorder="1" applyAlignment="1">
      <alignment horizontal="center"/>
    </xf>
    <xf numFmtId="0" fontId="22" fillId="0" borderId="66" xfId="77" applyFill="1" applyBorder="1">
      <alignment horizontal="left"/>
    </xf>
    <xf numFmtId="37" fontId="21" fillId="27" borderId="95" xfId="79" applyBorder="1" applyProtection="1">
      <alignment horizontal="center"/>
      <protection locked="0"/>
    </xf>
    <xf numFmtId="37" fontId="21" fillId="22" borderId="95" xfId="35" applyFill="1" applyBorder="1" applyProtection="1">
      <alignment horizontal="center"/>
      <protection locked="0"/>
    </xf>
    <xf numFmtId="0" fontId="23" fillId="0" borderId="34" xfId="51" applyBorder="1">
      <alignment horizontal="left"/>
    </xf>
    <xf numFmtId="37" fontId="21" fillId="27" borderId="42" xfId="79" applyBorder="1" applyProtection="1">
      <alignment horizontal="center"/>
      <protection locked="0"/>
    </xf>
    <xf numFmtId="37" fontId="21" fillId="22" borderId="42" xfId="141" applyFill="1" applyBorder="1" applyProtection="1">
      <alignment horizontal="center"/>
      <protection locked="0"/>
    </xf>
    <xf numFmtId="37" fontId="21" fillId="22" borderId="46" xfId="141" applyFill="1" applyBorder="1" applyProtection="1">
      <alignment horizontal="center"/>
      <protection locked="0"/>
    </xf>
    <xf numFmtId="0" fontId="24" fillId="25" borderId="68" xfId="53" applyFill="1" applyBorder="1" applyAlignment="1">
      <alignment horizontal="center"/>
    </xf>
    <xf numFmtId="0" fontId="21" fillId="0" borderId="34" xfId="0" applyFont="1" applyBorder="1"/>
    <xf numFmtId="42" fontId="21" fillId="22" borderId="43" xfId="38" applyFont="1" applyFill="1" applyBorder="1" applyAlignment="1" applyProtection="1">
      <alignment horizontal="left"/>
      <protection locked="0"/>
    </xf>
    <xf numFmtId="37" fontId="21" fillId="22" borderId="20" xfId="141" applyFill="1" applyBorder="1" applyProtection="1">
      <alignment horizontal="center"/>
      <protection locked="0"/>
    </xf>
    <xf numFmtId="37" fontId="21" fillId="22" borderId="54" xfId="141" applyFill="1" applyBorder="1" applyProtection="1">
      <alignment horizontal="center"/>
      <protection locked="0"/>
    </xf>
    <xf numFmtId="37" fontId="21" fillId="22" borderId="54" xfId="35" applyFill="1" applyBorder="1" applyProtection="1">
      <alignment horizontal="center"/>
      <protection locked="0"/>
    </xf>
    <xf numFmtId="37" fontId="21" fillId="22" borderId="36" xfId="141" applyFill="1" applyBorder="1" applyProtection="1">
      <alignment horizontal="center"/>
      <protection locked="0"/>
    </xf>
    <xf numFmtId="37" fontId="21" fillId="22" borderId="95" xfId="141" applyFill="1" applyBorder="1" applyProtection="1">
      <alignment horizontal="center"/>
      <protection locked="0"/>
    </xf>
    <xf numFmtId="37" fontId="21" fillId="22" borderId="22" xfId="35" applyFill="1" applyBorder="1" applyProtection="1">
      <alignment horizontal="center"/>
      <protection locked="0"/>
    </xf>
    <xf numFmtId="37" fontId="21" fillId="22" borderId="23" xfId="35" applyFill="1" applyBorder="1" applyProtection="1">
      <alignment horizontal="center"/>
      <protection locked="0"/>
    </xf>
    <xf numFmtId="42" fontId="21" fillId="22" borderId="54" xfId="38" applyFont="1" applyFill="1" applyBorder="1" applyAlignment="1" applyProtection="1">
      <alignment horizontal="left"/>
      <protection locked="0"/>
    </xf>
    <xf numFmtId="42" fontId="21" fillId="22" borderId="95" xfId="38" applyFont="1" applyFill="1" applyBorder="1" applyAlignment="1" applyProtection="1">
      <alignment horizontal="left"/>
      <protection locked="0"/>
    </xf>
    <xf numFmtId="14" fontId="72" fillId="0" borderId="0" xfId="0" applyNumberFormat="1" applyFont="1" applyAlignment="1">
      <alignment horizontal="center" vertical="center"/>
    </xf>
    <xf numFmtId="14" fontId="72" fillId="0" borderId="0" xfId="0" applyNumberFormat="1" applyFont="1" applyAlignment="1">
      <alignment horizontal="center" vertical="center" wrapText="1"/>
    </xf>
    <xf numFmtId="0" fontId="72" fillId="0" borderId="0" xfId="0" applyFont="1" applyAlignment="1">
      <alignment horizontal="center" vertical="center"/>
    </xf>
    <xf numFmtId="0" fontId="0" fillId="0" borderId="0" xfId="0" applyAlignment="1">
      <alignment vertical="top"/>
    </xf>
    <xf numFmtId="0" fontId="0" fillId="0" borderId="0" xfId="0" quotePrefix="1" applyAlignment="1">
      <alignment horizontal="center" vertical="center" wrapText="1"/>
    </xf>
    <xf numFmtId="0" fontId="72" fillId="0" borderId="0" xfId="0" applyFont="1" applyAlignment="1">
      <alignment wrapText="1"/>
    </xf>
    <xf numFmtId="0" fontId="72" fillId="0" borderId="0" xfId="0" quotePrefix="1" applyFont="1" applyAlignment="1">
      <alignment horizontal="center" vertical="center"/>
    </xf>
    <xf numFmtId="164" fontId="0" fillId="0" borderId="0" xfId="0" applyNumberFormat="1" applyAlignment="1">
      <alignment horizontal="center" vertical="center"/>
    </xf>
    <xf numFmtId="0" fontId="28" fillId="0" borderId="0" xfId="0" applyFont="1" applyAlignment="1">
      <alignment horizontal="left"/>
    </xf>
    <xf numFmtId="0" fontId="24" fillId="0" borderId="0" xfId="0" applyFont="1" applyAlignment="1">
      <alignment horizontal="center"/>
    </xf>
    <xf numFmtId="0" fontId="24" fillId="0" borderId="92" xfId="53" applyBorder="1" applyAlignment="1">
      <alignment horizontal="center" vertical="center" wrapText="1"/>
    </xf>
    <xf numFmtId="0" fontId="21" fillId="27" borderId="93" xfId="59" applyBorder="1" applyAlignment="1">
      <alignment horizontal="left" wrapText="1"/>
      <protection locked="0"/>
    </xf>
    <xf numFmtId="0" fontId="21" fillId="27" borderId="94" xfId="59" applyBorder="1" applyAlignment="1">
      <alignment horizontal="left" wrapText="1"/>
      <protection locked="0"/>
    </xf>
    <xf numFmtId="0" fontId="21" fillId="27" borderId="95" xfId="59" applyBorder="1" applyAlignment="1">
      <alignment horizontal="left" wrapText="1"/>
      <protection locked="0"/>
    </xf>
    <xf numFmtId="0" fontId="24" fillId="0" borderId="91" xfId="53" applyFill="1" applyBorder="1" applyAlignment="1">
      <alignment horizontal="center"/>
    </xf>
    <xf numFmtId="0" fontId="21" fillId="27" borderId="95" xfId="59" applyBorder="1">
      <alignment horizontal="left"/>
      <protection locked="0"/>
    </xf>
    <xf numFmtId="0" fontId="23" fillId="0" borderId="0" xfId="51" applyAlignment="1">
      <alignment horizontal="center"/>
    </xf>
    <xf numFmtId="0" fontId="50" fillId="0" borderId="0" xfId="51" applyFont="1" applyAlignment="1">
      <alignment horizontal="center"/>
    </xf>
    <xf numFmtId="0" fontId="24" fillId="25" borderId="91" xfId="53" applyFill="1" applyBorder="1" applyAlignment="1">
      <alignment horizontal="center"/>
    </xf>
    <xf numFmtId="0" fontId="28" fillId="0" borderId="0" xfId="0" applyFont="1" applyAlignment="1">
      <alignment horizontal="left" vertical="top" wrapText="1"/>
    </xf>
    <xf numFmtId="0" fontId="28" fillId="0" borderId="0" xfId="0" applyFont="1" applyAlignment="1">
      <alignment horizontal="left"/>
    </xf>
    <xf numFmtId="0" fontId="18" fillId="31" borderId="0" xfId="12" applyFont="1" applyFill="1" applyBorder="1">
      <alignment horizontal="center" vertical="center"/>
    </xf>
    <xf numFmtId="0" fontId="49" fillId="29" borderId="87" xfId="12" applyBorder="1">
      <alignment horizontal="center" vertical="center"/>
    </xf>
    <xf numFmtId="0" fontId="49" fillId="29" borderId="0" xfId="12" applyBorder="1">
      <alignment horizontal="center" vertical="center"/>
    </xf>
    <xf numFmtId="0" fontId="4" fillId="0" borderId="0" xfId="0" applyFont="1" applyAlignment="1">
      <alignment vertical="center" wrapText="1"/>
    </xf>
    <xf numFmtId="0" fontId="4" fillId="0" borderId="0" xfId="0" applyFont="1" applyAlignment="1">
      <alignment horizontal="left" vertical="center" wrapText="1"/>
    </xf>
    <xf numFmtId="0" fontId="28" fillId="0" borderId="0" xfId="0" applyFont="1" applyAlignment="1">
      <alignment horizontal="left" wrapText="1"/>
    </xf>
    <xf numFmtId="0" fontId="28" fillId="0" borderId="0" xfId="0" quotePrefix="1" applyFont="1" applyAlignment="1">
      <alignment horizontal="left" vertical="center" wrapText="1"/>
    </xf>
    <xf numFmtId="0" fontId="28" fillId="0" borderId="10" xfId="0" quotePrefix="1" applyFont="1" applyBorder="1" applyAlignment="1">
      <alignment horizontal="left" vertical="center" wrapText="1"/>
    </xf>
    <xf numFmtId="0" fontId="21" fillId="25" borderId="53" xfId="0" applyFont="1" applyFill="1" applyBorder="1" applyAlignment="1">
      <alignment horizontal="center" vertical="center" wrapText="1"/>
    </xf>
    <xf numFmtId="0" fontId="21" fillId="25" borderId="94" xfId="0" applyFont="1" applyFill="1" applyBorder="1" applyAlignment="1">
      <alignment horizontal="center" vertical="center" wrapText="1"/>
    </xf>
    <xf numFmtId="0" fontId="21" fillId="25" borderId="95" xfId="0" applyFont="1" applyFill="1" applyBorder="1" applyAlignment="1">
      <alignment horizontal="center" vertical="center" wrapText="1"/>
    </xf>
    <xf numFmtId="0" fontId="21" fillId="25" borderId="0" xfId="0" applyFont="1" applyFill="1" applyAlignment="1">
      <alignment horizontal="center" vertical="center" wrapText="1"/>
    </xf>
    <xf numFmtId="0" fontId="21" fillId="25" borderId="93" xfId="0" applyFont="1" applyFill="1" applyBorder="1" applyAlignment="1">
      <alignment horizontal="center" vertical="center" wrapText="1"/>
    </xf>
    <xf numFmtId="0" fontId="21" fillId="25" borderId="54" xfId="0" applyFont="1" applyFill="1" applyBorder="1" applyAlignment="1">
      <alignment horizontal="center" vertical="center" wrapText="1"/>
    </xf>
    <xf numFmtId="0" fontId="23" fillId="25" borderId="30" xfId="0" applyFont="1" applyFill="1" applyBorder="1" applyAlignment="1">
      <alignment horizontal="center"/>
    </xf>
    <xf numFmtId="0" fontId="23" fillId="25" borderId="24" xfId="0" applyFont="1" applyFill="1" applyBorder="1" applyAlignment="1">
      <alignment horizontal="center"/>
    </xf>
    <xf numFmtId="0" fontId="23" fillId="25" borderId="20" xfId="0" applyFont="1" applyFill="1" applyBorder="1" applyAlignment="1">
      <alignment horizontal="center"/>
    </xf>
    <xf numFmtId="5" fontId="21" fillId="22" borderId="93" xfId="39" applyNumberFormat="1" applyFont="1" applyFill="1" applyBorder="1" applyAlignment="1" applyProtection="1">
      <alignment horizontal="left"/>
      <protection locked="0"/>
    </xf>
    <xf numFmtId="5" fontId="21" fillId="22" borderId="94" xfId="39" applyNumberFormat="1" applyFont="1" applyFill="1" applyBorder="1" applyAlignment="1" applyProtection="1">
      <alignment horizontal="left"/>
      <protection locked="0"/>
    </xf>
    <xf numFmtId="5" fontId="21" fillId="22" borderId="95" xfId="39" applyNumberFormat="1" applyFont="1" applyFill="1" applyBorder="1" applyAlignment="1" applyProtection="1">
      <alignment horizontal="left"/>
      <protection locked="0"/>
    </xf>
    <xf numFmtId="37" fontId="21" fillId="27" borderId="93" xfId="79" applyBorder="1" applyAlignment="1" applyProtection="1">
      <alignment horizontal="left"/>
      <protection locked="0"/>
    </xf>
    <xf numFmtId="37" fontId="21" fillId="27" borderId="94" xfId="79" applyBorder="1" applyAlignment="1" applyProtection="1">
      <alignment horizontal="left"/>
      <protection locked="0"/>
    </xf>
    <xf numFmtId="37" fontId="21" fillId="27" borderId="95" xfId="79" applyBorder="1" applyAlignment="1" applyProtection="1">
      <alignment horizontal="left"/>
      <protection locked="0"/>
    </xf>
    <xf numFmtId="0" fontId="24" fillId="0" borderId="93" xfId="0" applyFont="1" applyBorder="1" applyAlignment="1">
      <alignment horizontal="center" vertical="center"/>
    </xf>
    <xf numFmtId="0" fontId="24" fillId="0" borderId="94" xfId="0" applyFont="1" applyBorder="1" applyAlignment="1">
      <alignment horizontal="center" vertical="center"/>
    </xf>
    <xf numFmtId="0" fontId="24" fillId="0" borderId="95" xfId="0" applyFont="1" applyBorder="1" applyAlignment="1">
      <alignment horizontal="center" vertical="center"/>
    </xf>
    <xf numFmtId="0" fontId="49" fillId="29" borderId="80" xfId="12">
      <alignment horizontal="center" vertical="center"/>
    </xf>
    <xf numFmtId="0" fontId="24" fillId="0" borderId="0" xfId="0" applyFont="1" applyAlignment="1">
      <alignment horizontal="center"/>
    </xf>
    <xf numFmtId="0" fontId="27" fillId="0" borderId="0" xfId="0" applyFont="1" applyAlignment="1">
      <alignment horizontal="center"/>
    </xf>
    <xf numFmtId="42" fontId="23" fillId="0" borderId="0" xfId="39" applyFont="1" applyFill="1" applyBorder="1" applyAlignment="1" applyProtection="1">
      <alignment horizontal="center"/>
      <protection locked="0"/>
    </xf>
    <xf numFmtId="0" fontId="21" fillId="27" borderId="88" xfId="59" applyBorder="1" applyAlignment="1">
      <alignment horizontal="left" vertical="top"/>
      <protection locked="0"/>
    </xf>
    <xf numFmtId="0" fontId="21" fillId="27" borderId="89" xfId="59" applyBorder="1" applyAlignment="1">
      <alignment horizontal="left" vertical="top"/>
      <protection locked="0"/>
    </xf>
    <xf numFmtId="0" fontId="21" fillId="27" borderId="90" xfId="59" applyBorder="1" applyAlignment="1">
      <alignment horizontal="left" vertical="top"/>
      <protection locked="0"/>
    </xf>
    <xf numFmtId="0" fontId="21" fillId="27" borderId="9" xfId="59" applyBorder="1" applyAlignment="1">
      <alignment horizontal="left" vertical="top"/>
      <protection locked="0"/>
    </xf>
    <xf numFmtId="0" fontId="21" fillId="27" borderId="0" xfId="59" applyBorder="1" applyAlignment="1">
      <alignment horizontal="left" vertical="top"/>
      <protection locked="0"/>
    </xf>
    <xf numFmtId="0" fontId="21" fillId="27" borderId="10" xfId="59" applyBorder="1" applyAlignment="1">
      <alignment horizontal="left" vertical="top"/>
      <protection locked="0"/>
    </xf>
    <xf numFmtId="0" fontId="21" fillId="27" borderId="11" xfId="59" applyBorder="1" applyAlignment="1">
      <alignment horizontal="left" vertical="top"/>
      <protection locked="0"/>
    </xf>
    <xf numFmtId="0" fontId="21" fillId="27" borderId="12" xfId="59" applyBorder="1" applyAlignment="1">
      <alignment horizontal="left" vertical="top"/>
      <protection locked="0"/>
    </xf>
    <xf numFmtId="0" fontId="21" fillId="27" borderId="13" xfId="59" applyBorder="1" applyAlignment="1">
      <alignment horizontal="left" vertical="top"/>
      <protection locked="0"/>
    </xf>
    <xf numFmtId="0" fontId="21" fillId="28" borderId="7" xfId="67" applyFont="1" applyAlignment="1">
      <alignment horizontal="center"/>
    </xf>
    <xf numFmtId="0" fontId="23" fillId="0" borderId="30" xfId="51" applyBorder="1" applyAlignment="1">
      <alignment horizontal="center" vertical="center"/>
    </xf>
    <xf numFmtId="0" fontId="23" fillId="0" borderId="24" xfId="51" applyBorder="1" applyAlignment="1">
      <alignment horizontal="center" vertical="center"/>
    </xf>
    <xf numFmtId="0" fontId="23" fillId="0" borderId="20" xfId="51" applyBorder="1" applyAlignment="1">
      <alignment horizontal="center" vertical="center"/>
    </xf>
    <xf numFmtId="0" fontId="24" fillId="0" borderId="92" xfId="53" applyBorder="1" applyAlignment="1">
      <alignment horizontal="center" vertical="center" wrapText="1"/>
    </xf>
    <xf numFmtId="0" fontId="24" fillId="0" borderId="48" xfId="53" applyBorder="1" applyAlignment="1">
      <alignment horizontal="center" vertical="center" wrapText="1"/>
    </xf>
    <xf numFmtId="0" fontId="49" fillId="29" borderId="96" xfId="12" applyBorder="1">
      <alignment horizontal="center" vertical="center"/>
    </xf>
    <xf numFmtId="0" fontId="49" fillId="29" borderId="97" xfId="12" applyBorder="1">
      <alignment horizontal="center" vertical="center"/>
    </xf>
    <xf numFmtId="0" fontId="49" fillId="29" borderId="98" xfId="12" applyBorder="1">
      <alignment horizontal="center" vertical="center"/>
    </xf>
    <xf numFmtId="10" fontId="21" fillId="33" borderId="93" xfId="0" applyNumberFormat="1" applyFont="1" applyFill="1" applyBorder="1" applyAlignment="1">
      <alignment horizontal="center"/>
    </xf>
    <xf numFmtId="10" fontId="21" fillId="33" borderId="94" xfId="0" applyNumberFormat="1" applyFont="1" applyFill="1" applyBorder="1" applyAlignment="1">
      <alignment horizontal="center"/>
    </xf>
    <xf numFmtId="10" fontId="21" fillId="33" borderId="95" xfId="0" applyNumberFormat="1" applyFont="1" applyFill="1" applyBorder="1" applyAlignment="1">
      <alignment horizontal="center"/>
    </xf>
    <xf numFmtId="0" fontId="21" fillId="38" borderId="93" xfId="158" applyFill="1" applyBorder="1" applyAlignment="1">
      <alignment horizontal="left" wrapText="1"/>
      <protection locked="0"/>
    </xf>
    <xf numFmtId="0" fontId="21" fillId="38" borderId="94" xfId="158" applyFill="1" applyBorder="1" applyAlignment="1">
      <alignment horizontal="left" wrapText="1"/>
      <protection locked="0"/>
    </xf>
    <xf numFmtId="0" fontId="21" fillId="38" borderId="95" xfId="158" applyFill="1" applyBorder="1" applyAlignment="1">
      <alignment horizontal="left" wrapText="1"/>
      <protection locked="0"/>
    </xf>
    <xf numFmtId="0" fontId="21" fillId="27" borderId="93" xfId="59" applyBorder="1" applyAlignment="1">
      <alignment horizontal="left" wrapText="1"/>
      <protection locked="0"/>
    </xf>
    <xf numFmtId="0" fontId="21" fillId="27" borderId="94" xfId="59" applyBorder="1" applyAlignment="1">
      <alignment horizontal="left" wrapText="1"/>
      <protection locked="0"/>
    </xf>
    <xf numFmtId="0" fontId="21" fillId="27" borderId="95" xfId="59" applyBorder="1" applyAlignment="1">
      <alignment horizontal="left" wrapText="1"/>
      <protection locked="0"/>
    </xf>
    <xf numFmtId="0" fontId="24" fillId="0" borderId="91" xfId="54" applyBorder="1" applyAlignment="1">
      <alignment horizontal="center"/>
    </xf>
    <xf numFmtId="0" fontId="24" fillId="0" borderId="91" xfId="53" applyFill="1" applyBorder="1" applyAlignment="1">
      <alignment horizontal="center"/>
    </xf>
    <xf numFmtId="10" fontId="21" fillId="27" borderId="93" xfId="60" applyNumberFormat="1" applyBorder="1" applyAlignment="1">
      <alignment horizontal="center"/>
      <protection locked="0"/>
    </xf>
    <xf numFmtId="10" fontId="21" fillId="27" borderId="94" xfId="60" applyNumberFormat="1" applyBorder="1" applyAlignment="1">
      <alignment horizontal="center"/>
      <protection locked="0"/>
    </xf>
    <xf numFmtId="10" fontId="21" fillId="27" borderId="95" xfId="60" applyNumberFormat="1" applyBorder="1" applyAlignment="1">
      <alignment horizontal="center"/>
      <protection locked="0"/>
    </xf>
    <xf numFmtId="0" fontId="21" fillId="27" borderId="93" xfId="158" applyBorder="1">
      <alignment horizontal="left"/>
      <protection locked="0"/>
    </xf>
    <xf numFmtId="0" fontId="21" fillId="27" borderId="94" xfId="158" applyBorder="1">
      <alignment horizontal="left"/>
      <protection locked="0"/>
    </xf>
    <xf numFmtId="0" fontId="21" fillId="27" borderId="95" xfId="158" applyBorder="1">
      <alignment horizontal="left"/>
      <protection locked="0"/>
    </xf>
    <xf numFmtId="0" fontId="21" fillId="27" borderId="93" xfId="59" applyBorder="1">
      <alignment horizontal="left"/>
      <protection locked="0"/>
    </xf>
    <xf numFmtId="0" fontId="21" fillId="27" borderId="94" xfId="59" applyBorder="1">
      <alignment horizontal="left"/>
      <protection locked="0"/>
    </xf>
    <xf numFmtId="0" fontId="21" fillId="27" borderId="95" xfId="59" applyBorder="1">
      <alignment horizontal="left"/>
      <protection locked="0"/>
    </xf>
    <xf numFmtId="175" fontId="21" fillId="27" borderId="93" xfId="158" applyNumberFormat="1" applyBorder="1">
      <alignment horizontal="left"/>
      <protection locked="0"/>
    </xf>
    <xf numFmtId="175" fontId="21" fillId="27" borderId="94" xfId="158" applyNumberFormat="1" applyBorder="1">
      <alignment horizontal="left"/>
      <protection locked="0"/>
    </xf>
    <xf numFmtId="175" fontId="21" fillId="27" borderId="95" xfId="158" applyNumberFormat="1" applyBorder="1">
      <alignment horizontal="left"/>
      <protection locked="0"/>
    </xf>
    <xf numFmtId="0" fontId="21" fillId="27" borderId="93" xfId="158" applyBorder="1" applyAlignment="1">
      <alignment horizontal="left" wrapText="1"/>
      <protection locked="0"/>
    </xf>
    <xf numFmtId="0" fontId="21" fillId="27" borderId="94" xfId="158" applyBorder="1" applyAlignment="1">
      <alignment horizontal="left" wrapText="1"/>
      <protection locked="0"/>
    </xf>
    <xf numFmtId="0" fontId="21" fillId="27" borderId="95" xfId="158" applyBorder="1" applyAlignment="1">
      <alignment horizontal="left" wrapText="1"/>
      <protection locked="0"/>
    </xf>
    <xf numFmtId="8" fontId="21" fillId="27" borderId="93" xfId="59" applyNumberFormat="1" applyBorder="1">
      <alignment horizontal="left"/>
      <protection locked="0"/>
    </xf>
    <xf numFmtId="8" fontId="21" fillId="27" borderId="94" xfId="59" applyNumberFormat="1" applyBorder="1">
      <alignment horizontal="left"/>
      <protection locked="0"/>
    </xf>
    <xf numFmtId="8" fontId="21" fillId="27" borderId="95" xfId="59" applyNumberFormat="1" applyBorder="1">
      <alignment horizontal="left"/>
      <protection locked="0"/>
    </xf>
    <xf numFmtId="2" fontId="21" fillId="27" borderId="93" xfId="59" applyNumberFormat="1" applyBorder="1">
      <alignment horizontal="left"/>
      <protection locked="0"/>
    </xf>
    <xf numFmtId="2" fontId="21" fillId="27" borderId="94" xfId="59" applyNumberFormat="1" applyBorder="1">
      <alignment horizontal="left"/>
      <protection locked="0"/>
    </xf>
    <xf numFmtId="2" fontId="21" fillId="27" borderId="95" xfId="59" applyNumberFormat="1" applyBorder="1">
      <alignment horizontal="left"/>
      <protection locked="0"/>
    </xf>
    <xf numFmtId="0" fontId="21" fillId="27" borderId="93" xfId="59" applyBorder="1" applyAlignment="1">
      <alignment horizontal="left" vertical="top" wrapText="1"/>
      <protection locked="0"/>
    </xf>
    <xf numFmtId="0" fontId="21" fillId="27" borderId="94" xfId="59" applyBorder="1" applyAlignment="1">
      <alignment horizontal="left" vertical="top" wrapText="1"/>
      <protection locked="0"/>
    </xf>
    <xf numFmtId="0" fontId="21" fillId="27" borderId="95" xfId="59" applyBorder="1" applyAlignment="1">
      <alignment horizontal="left" vertical="top" wrapText="1"/>
      <protection locked="0"/>
    </xf>
    <xf numFmtId="0" fontId="49" fillId="29" borderId="81" xfId="12" applyBorder="1">
      <alignment horizontal="center" vertical="center"/>
    </xf>
    <xf numFmtId="0" fontId="24" fillId="0" borderId="36" xfId="53" applyBorder="1" applyAlignment="1">
      <alignment horizontal="center"/>
    </xf>
    <xf numFmtId="0" fontId="24" fillId="0" borderId="61" xfId="53" applyBorder="1" applyAlignment="1">
      <alignment horizontal="center"/>
    </xf>
    <xf numFmtId="0" fontId="24" fillId="0" borderId="95" xfId="53" applyBorder="1" applyAlignment="1">
      <alignment horizontal="center" vertical="center" wrapText="1"/>
    </xf>
    <xf numFmtId="0" fontId="36" fillId="0" borderId="36" xfId="53" applyFont="1" applyBorder="1" applyAlignment="1">
      <alignment horizontal="center" wrapText="1"/>
    </xf>
    <xf numFmtId="0" fontId="36" fillId="0" borderId="61" xfId="53" applyFont="1" applyBorder="1" applyAlignment="1">
      <alignment horizontal="center" wrapText="1"/>
    </xf>
    <xf numFmtId="0" fontId="36" fillId="0" borderId="61" xfId="53" applyFont="1" applyBorder="1" applyAlignment="1">
      <alignment horizontal="center"/>
    </xf>
    <xf numFmtId="0" fontId="23" fillId="0" borderId="0" xfId="51" applyAlignment="1">
      <alignment horizontal="center"/>
    </xf>
    <xf numFmtId="0" fontId="55" fillId="0" borderId="0" xfId="51" applyFont="1" applyAlignment="1">
      <alignment horizontal="left" vertical="center"/>
    </xf>
    <xf numFmtId="0" fontId="24" fillId="25" borderId="30" xfId="51" applyFont="1" applyFill="1" applyBorder="1" applyAlignment="1">
      <alignment horizontal="center"/>
    </xf>
    <xf numFmtId="0" fontId="24" fillId="25" borderId="20" xfId="51" applyFont="1" applyFill="1" applyBorder="1" applyAlignment="1">
      <alignment horizontal="center"/>
    </xf>
    <xf numFmtId="0" fontId="24" fillId="25" borderId="24" xfId="51" applyFont="1" applyFill="1" applyBorder="1" applyAlignment="1">
      <alignment horizontal="center"/>
    </xf>
    <xf numFmtId="0" fontId="23" fillId="0" borderId="67" xfId="51" applyBorder="1" applyAlignment="1">
      <alignment horizontal="center"/>
    </xf>
    <xf numFmtId="0" fontId="50" fillId="0" borderId="0" xfId="51" applyFont="1" applyAlignment="1">
      <alignment horizontal="center"/>
    </xf>
    <xf numFmtId="0" fontId="21" fillId="0" borderId="93" xfId="51" applyFont="1" applyBorder="1" applyAlignment="1">
      <alignment horizontal="left" vertical="top" wrapText="1"/>
    </xf>
    <xf numFmtId="0" fontId="21" fillId="0" borderId="94" xfId="51" applyFont="1" applyBorder="1" applyAlignment="1">
      <alignment horizontal="left" vertical="top" wrapText="1"/>
    </xf>
    <xf numFmtId="0" fontId="21" fillId="0" borderId="95" xfId="51" applyFont="1" applyBorder="1" applyAlignment="1">
      <alignment horizontal="left" vertical="top" wrapText="1"/>
    </xf>
    <xf numFmtId="0" fontId="24" fillId="25" borderId="91" xfId="51" applyFont="1" applyFill="1" applyBorder="1" applyAlignment="1">
      <alignment horizontal="center"/>
    </xf>
    <xf numFmtId="0" fontId="24" fillId="25" borderId="91" xfId="53" applyFill="1" applyBorder="1" applyAlignment="1">
      <alignment horizontal="center"/>
    </xf>
    <xf numFmtId="0" fontId="4" fillId="0" borderId="93" xfId="0" applyFont="1" applyBorder="1" applyAlignment="1">
      <alignment horizontal="center"/>
    </xf>
    <xf numFmtId="0" fontId="0" fillId="0" borderId="94" xfId="0" applyBorder="1" applyAlignment="1">
      <alignment horizontal="center"/>
    </xf>
    <xf numFmtId="0" fontId="0" fillId="0" borderId="95" xfId="0" applyBorder="1" applyAlignment="1">
      <alignment horizontal="center"/>
    </xf>
    <xf numFmtId="0" fontId="66" fillId="35" borderId="0" xfId="77" applyFont="1" applyFill="1" applyAlignment="1">
      <alignment horizontal="center" vertical="center" wrapText="1"/>
    </xf>
    <xf numFmtId="0" fontId="37" fillId="25" borderId="16" xfId="0" applyFont="1" applyFill="1" applyBorder="1" applyAlignment="1">
      <alignment horizontal="center"/>
    </xf>
    <xf numFmtId="0" fontId="37" fillId="25" borderId="18" xfId="0" applyFont="1" applyFill="1" applyBorder="1" applyAlignment="1">
      <alignment horizontal="center"/>
    </xf>
    <xf numFmtId="0" fontId="37" fillId="25" borderId="77" xfId="0" applyFont="1" applyFill="1" applyBorder="1" applyAlignment="1">
      <alignment horizontal="center"/>
    </xf>
    <xf numFmtId="0" fontId="29" fillId="25" borderId="62" xfId="0" applyFont="1" applyFill="1" applyBorder="1" applyAlignment="1">
      <alignment horizontal="center" vertical="center"/>
    </xf>
    <xf numFmtId="0" fontId="29" fillId="25" borderId="19" xfId="0" applyFont="1" applyFill="1" applyBorder="1" applyAlignment="1">
      <alignment horizontal="center" vertical="center"/>
    </xf>
    <xf numFmtId="0" fontId="29" fillId="25" borderId="17" xfId="0" applyFont="1" applyFill="1" applyBorder="1" applyAlignment="1">
      <alignment horizontal="center" vertical="center"/>
    </xf>
    <xf numFmtId="0" fontId="29" fillId="25" borderId="99" xfId="0" applyFont="1" applyFill="1" applyBorder="1" applyAlignment="1">
      <alignment horizontal="center" vertical="center"/>
    </xf>
    <xf numFmtId="0" fontId="29" fillId="25" borderId="18" xfId="0" applyFont="1" applyFill="1" applyBorder="1" applyAlignment="1">
      <alignment horizontal="center" vertical="center"/>
    </xf>
    <xf numFmtId="0" fontId="29" fillId="25" borderId="41" xfId="0" applyFont="1" applyFill="1" applyBorder="1" applyAlignment="1">
      <alignment horizontal="center" vertical="center"/>
    </xf>
    <xf numFmtId="0" fontId="29" fillId="25" borderId="15" xfId="0" applyFont="1" applyFill="1" applyBorder="1" applyAlignment="1">
      <alignment horizontal="center" vertical="center"/>
    </xf>
    <xf numFmtId="0" fontId="29" fillId="25" borderId="58" xfId="0" applyFont="1" applyFill="1" applyBorder="1" applyAlignment="1">
      <alignment horizontal="center" vertical="center"/>
    </xf>
    <xf numFmtId="0" fontId="29" fillId="25" borderId="16" xfId="0" applyFont="1" applyFill="1" applyBorder="1" applyAlignment="1">
      <alignment horizontal="center"/>
    </xf>
    <xf numFmtId="0" fontId="29" fillId="25" borderId="77" xfId="0" applyFont="1" applyFill="1" applyBorder="1" applyAlignment="1">
      <alignment horizontal="center"/>
    </xf>
    <xf numFmtId="0" fontId="38" fillId="25" borderId="33" xfId="0" applyFont="1" applyFill="1" applyBorder="1" applyAlignment="1">
      <alignment horizontal="center" vertical="center" wrapText="1"/>
    </xf>
    <xf numFmtId="0" fontId="38" fillId="25" borderId="34" xfId="0" applyFont="1" applyFill="1" applyBorder="1" applyAlignment="1">
      <alignment horizontal="center" vertical="center" wrapText="1"/>
    </xf>
    <xf numFmtId="0" fontId="38" fillId="25" borderId="27" xfId="0" applyFont="1" applyFill="1" applyBorder="1" applyAlignment="1">
      <alignment horizontal="center" vertical="center" wrapText="1"/>
    </xf>
    <xf numFmtId="0" fontId="29" fillId="25" borderId="18" xfId="0" applyFont="1" applyFill="1" applyBorder="1" applyAlignment="1">
      <alignment horizontal="center"/>
    </xf>
    <xf numFmtId="0" fontId="29" fillId="25" borderId="78" xfId="0" applyFont="1" applyFill="1" applyBorder="1" applyAlignment="1">
      <alignment horizontal="center"/>
    </xf>
    <xf numFmtId="0" fontId="29" fillId="25" borderId="79" xfId="0" applyFont="1" applyFill="1" applyBorder="1" applyAlignment="1">
      <alignment horizontal="center"/>
    </xf>
    <xf numFmtId="0" fontId="29" fillId="25" borderId="44" xfId="0" applyFont="1" applyFill="1" applyBorder="1" applyAlignment="1">
      <alignment horizontal="center"/>
    </xf>
    <xf numFmtId="0" fontId="29" fillId="25" borderId="25" xfId="0" applyFont="1" applyFill="1" applyBorder="1" applyAlignment="1">
      <alignment horizontal="center" vertical="center" wrapText="1"/>
    </xf>
    <xf numFmtId="0" fontId="29" fillId="25" borderId="28" xfId="0" applyFont="1" applyFill="1" applyBorder="1" applyAlignment="1">
      <alignment horizontal="center" vertical="center" wrapText="1"/>
    </xf>
    <xf numFmtId="0" fontId="24" fillId="0" borderId="30" xfId="53" applyBorder="1" applyAlignment="1">
      <alignment horizontal="center" wrapText="1"/>
    </xf>
    <xf numFmtId="0" fontId="24" fillId="0" borderId="35" xfId="53" applyBorder="1" applyAlignment="1">
      <alignment horizontal="center" wrapText="1"/>
    </xf>
    <xf numFmtId="0" fontId="38" fillId="0" borderId="36" xfId="0" applyFont="1" applyBorder="1" applyAlignment="1">
      <alignment horizontal="center"/>
    </xf>
    <xf numFmtId="0" fontId="38" fillId="0" borderId="61" xfId="0" applyFont="1" applyBorder="1" applyAlignment="1">
      <alignment horizontal="center"/>
    </xf>
    <xf numFmtId="0" fontId="38" fillId="0" borderId="75" xfId="0" applyFont="1" applyBorder="1" applyAlignment="1">
      <alignment horizontal="center"/>
    </xf>
    <xf numFmtId="0" fontId="21" fillId="27" borderId="16" xfId="59" applyBorder="1">
      <alignment horizontal="left"/>
      <protection locked="0"/>
    </xf>
    <xf numFmtId="0" fontId="21" fillId="27" borderId="18" xfId="59" applyBorder="1">
      <alignment horizontal="left"/>
      <protection locked="0"/>
    </xf>
    <xf numFmtId="0" fontId="21" fillId="27" borderId="77" xfId="59" applyBorder="1">
      <alignment horizontal="left"/>
      <protection locked="0"/>
    </xf>
    <xf numFmtId="0" fontId="29" fillId="25" borderId="91" xfId="0" applyFont="1" applyFill="1" applyBorder="1" applyAlignment="1">
      <alignment horizontal="center" vertical="center"/>
    </xf>
    <xf numFmtId="0" fontId="29" fillId="25" borderId="93" xfId="0" applyFont="1" applyFill="1" applyBorder="1" applyAlignment="1">
      <alignment horizontal="center" vertical="center"/>
    </xf>
    <xf numFmtId="0" fontId="29" fillId="25" borderId="94" xfId="0" applyFont="1" applyFill="1" applyBorder="1" applyAlignment="1">
      <alignment horizontal="center" vertical="center"/>
    </xf>
    <xf numFmtId="0" fontId="29" fillId="25" borderId="95" xfId="0" applyFont="1" applyFill="1" applyBorder="1" applyAlignment="1">
      <alignment horizontal="center" vertical="center"/>
    </xf>
    <xf numFmtId="0" fontId="37" fillId="0" borderId="0" xfId="0" applyFont="1" applyAlignment="1">
      <alignment horizontal="center"/>
    </xf>
    <xf numFmtId="0" fontId="29" fillId="0" borderId="25"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6" xfId="0" applyFont="1" applyBorder="1" applyAlignment="1">
      <alignment horizontal="center" vertical="center"/>
    </xf>
    <xf numFmtId="0" fontId="29" fillId="0" borderId="74" xfId="0" applyFont="1" applyBorder="1" applyAlignment="1">
      <alignment horizontal="center" vertical="center"/>
    </xf>
    <xf numFmtId="0" fontId="29" fillId="0" borderId="61" xfId="0" applyFont="1" applyBorder="1" applyAlignment="1">
      <alignment horizontal="center" vertical="center"/>
    </xf>
    <xf numFmtId="0" fontId="29" fillId="0" borderId="26" xfId="0" applyFont="1" applyBorder="1" applyAlignment="1">
      <alignment horizontal="center" vertical="center" wrapText="1"/>
    </xf>
    <xf numFmtId="0" fontId="27" fillId="0" borderId="16" xfId="0" applyFont="1" applyBorder="1" applyAlignment="1">
      <alignment horizontal="center"/>
    </xf>
    <xf numFmtId="0" fontId="27" fillId="0" borderId="18" xfId="0" applyFont="1" applyBorder="1" applyAlignment="1">
      <alignment horizontal="center"/>
    </xf>
    <xf numFmtId="0" fontId="27" fillId="0" borderId="77" xfId="0" applyFont="1" applyBorder="1" applyAlignment="1">
      <alignment horizontal="center"/>
    </xf>
    <xf numFmtId="0" fontId="24" fillId="0" borderId="62" xfId="0" applyFont="1" applyBorder="1" applyAlignment="1">
      <alignment horizontal="center"/>
    </xf>
    <xf numFmtId="0" fontId="24" fillId="0" borderId="17" xfId="0" applyFont="1" applyBorder="1" applyAlignment="1">
      <alignment horizontal="center"/>
    </xf>
    <xf numFmtId="0" fontId="24" fillId="0" borderId="19" xfId="0" applyFont="1" applyBorder="1" applyAlignment="1">
      <alignment horizontal="center"/>
    </xf>
    <xf numFmtId="0" fontId="49" fillId="29" borderId="83" xfId="12" applyBorder="1">
      <alignment horizontal="center" vertical="center"/>
    </xf>
    <xf numFmtId="0" fontId="49" fillId="29" borderId="84" xfId="12" applyBorder="1">
      <alignment horizontal="center" vertical="center"/>
    </xf>
    <xf numFmtId="0" fontId="49" fillId="29" borderId="85" xfId="12" applyBorder="1">
      <alignment horizontal="center" vertical="center"/>
    </xf>
    <xf numFmtId="0" fontId="37" fillId="0" borderId="88" xfId="0" applyFont="1" applyBorder="1" applyAlignment="1">
      <alignment horizontal="center"/>
    </xf>
    <xf numFmtId="0" fontId="37" fillId="0" borderId="89" xfId="0" applyFont="1" applyBorder="1" applyAlignment="1">
      <alignment horizontal="center"/>
    </xf>
    <xf numFmtId="0" fontId="37" fillId="0" borderId="90" xfId="0" applyFont="1" applyBorder="1" applyAlignment="1">
      <alignment horizontal="center"/>
    </xf>
    <xf numFmtId="0" fontId="29" fillId="0" borderId="91" xfId="0" applyFont="1" applyBorder="1" applyAlignment="1">
      <alignment horizontal="center" vertical="center"/>
    </xf>
  </cellXfs>
  <cellStyles count="238">
    <cellStyle name="20% - Accent1" xfId="1" builtinId="30" hidden="1" customBuiltin="1"/>
    <cellStyle name="20% - Accent1" xfId="77" builtinId="30" customBuiltin="1"/>
    <cellStyle name="20% - Accent1 2" xfId="84" xr:uid="{00000000-0005-0000-0000-000002000000}"/>
    <cellStyle name="20% - Accent2" xfId="2" builtinId="34" hidden="1" customBuiltin="1"/>
    <cellStyle name="20% - Accent2" xfId="85" builtinId="34" customBuiltin="1"/>
    <cellStyle name="20% - Accent2 2" xfId="86" xr:uid="{00000000-0005-0000-0000-000005000000}"/>
    <cellStyle name="20% - Accent3" xfId="3" builtinId="38" hidden="1" customBuiltin="1"/>
    <cellStyle name="20% - Accent3" xfId="87" builtinId="38" customBuiltin="1"/>
    <cellStyle name="20% - Accent3 2" xfId="88" xr:uid="{00000000-0005-0000-0000-000008000000}"/>
    <cellStyle name="20% - Accent4" xfId="4" builtinId="42" hidden="1" customBuiltin="1"/>
    <cellStyle name="20% - Accent4" xfId="89" builtinId="42" customBuiltin="1"/>
    <cellStyle name="20% - Accent4 2" xfId="90" xr:uid="{00000000-0005-0000-0000-00000B000000}"/>
    <cellStyle name="20% - Accent5" xfId="5" builtinId="46" hidden="1" customBuiltin="1"/>
    <cellStyle name="20% - Accent5" xfId="91" builtinId="46" customBuiltin="1"/>
    <cellStyle name="20% - Accent5 2" xfId="92" xr:uid="{00000000-0005-0000-0000-00000E000000}"/>
    <cellStyle name="20% - Accent6" xfId="6" builtinId="50" hidden="1" customBuiltin="1"/>
    <cellStyle name="20% - Accent6" xfId="93" builtinId="50" customBuiltin="1"/>
    <cellStyle name="20% - Accent6 2" xfId="94" xr:uid="{00000000-0005-0000-0000-000011000000}"/>
    <cellStyle name="40% - Accent1" xfId="7" builtinId="31" hidden="1" customBuiltin="1"/>
    <cellStyle name="40% - Accent1" xfId="95" builtinId="31" customBuiltin="1"/>
    <cellStyle name="40% - Accent1 2" xfId="96" xr:uid="{00000000-0005-0000-0000-000014000000}"/>
    <cellStyle name="40% - Accent2" xfId="8" builtinId="35" hidden="1" customBuiltin="1"/>
    <cellStyle name="40% - Accent2" xfId="97" builtinId="35" customBuiltin="1"/>
    <cellStyle name="40% - Accent2 2" xfId="98" xr:uid="{00000000-0005-0000-0000-000017000000}"/>
    <cellStyle name="40% - Accent3" xfId="9" builtinId="39" hidden="1" customBuiltin="1"/>
    <cellStyle name="40% - Accent3" xfId="99" builtinId="39" customBuiltin="1"/>
    <cellStyle name="40% - Accent3 2" xfId="100" xr:uid="{00000000-0005-0000-0000-00001A000000}"/>
    <cellStyle name="40% - Accent4" xfId="10" builtinId="43" hidden="1" customBuiltin="1"/>
    <cellStyle name="40% - Accent4" xfId="101" builtinId="43" customBuiltin="1"/>
    <cellStyle name="40% - Accent4 2" xfId="102" xr:uid="{00000000-0005-0000-0000-00001D000000}"/>
    <cellStyle name="40% - Accent5" xfId="11" builtinId="47" hidden="1" customBuiltin="1"/>
    <cellStyle name="40% - Accent5" xfId="103" builtinId="47" customBuiltin="1"/>
    <cellStyle name="40% - Accent5 2" xfId="104" xr:uid="{00000000-0005-0000-0000-000020000000}"/>
    <cellStyle name="40% - Accent6" xfId="13" builtinId="51" hidden="1" customBuiltin="1"/>
    <cellStyle name="40% - Accent6" xfId="105" builtinId="51" customBuiltin="1"/>
    <cellStyle name="40% - Accent6 2" xfId="106" xr:uid="{00000000-0005-0000-0000-000023000000}"/>
    <cellStyle name="60% - Accent1" xfId="14" builtinId="32" hidden="1" customBuiltin="1"/>
    <cellStyle name="60% - Accent1" xfId="107" builtinId="32" customBuiltin="1"/>
    <cellStyle name="60% - Accent1 2" xfId="108" xr:uid="{00000000-0005-0000-0000-000026000000}"/>
    <cellStyle name="60% - Accent2" xfId="15" builtinId="36" hidden="1" customBuiltin="1"/>
    <cellStyle name="60% - Accent2" xfId="109" builtinId="36" customBuiltin="1"/>
    <cellStyle name="60% - Accent2 2" xfId="110" xr:uid="{00000000-0005-0000-0000-000029000000}"/>
    <cellStyle name="60% - Accent3" xfId="16" builtinId="40" hidden="1" customBuiltin="1"/>
    <cellStyle name="60% - Accent3" xfId="111" builtinId="40" customBuiltin="1"/>
    <cellStyle name="60% - Accent3 2" xfId="112" xr:uid="{00000000-0005-0000-0000-00002C000000}"/>
    <cellStyle name="60% - Accent4" xfId="17" builtinId="44" hidden="1" customBuiltin="1"/>
    <cellStyle name="60% - Accent4" xfId="113" builtinId="44" customBuiltin="1"/>
    <cellStyle name="60% - Accent4 2" xfId="114" xr:uid="{00000000-0005-0000-0000-00002F000000}"/>
    <cellStyle name="60% - Accent5" xfId="18" builtinId="48" hidden="1" customBuiltin="1"/>
    <cellStyle name="60% - Accent5" xfId="115" builtinId="48" customBuiltin="1"/>
    <cellStyle name="60% - Accent5 2" xfId="116" xr:uid="{00000000-0005-0000-0000-000032000000}"/>
    <cellStyle name="60% - Accent6" xfId="19" builtinId="52" hidden="1" customBuiltin="1"/>
    <cellStyle name="60% - Accent6" xfId="117" builtinId="52" customBuiltin="1"/>
    <cellStyle name="60% - Accent6 2" xfId="118" xr:uid="{00000000-0005-0000-0000-000035000000}"/>
    <cellStyle name="Accent1" xfId="20" builtinId="29" hidden="1" customBuiltin="1"/>
    <cellStyle name="Accent1" xfId="119" builtinId="29" customBuiltin="1"/>
    <cellStyle name="Accent1 2" xfId="120" xr:uid="{00000000-0005-0000-0000-000038000000}"/>
    <cellStyle name="Accent2" xfId="21" builtinId="33" hidden="1" customBuiltin="1"/>
    <cellStyle name="Accent2" xfId="121" builtinId="33" customBuiltin="1"/>
    <cellStyle name="Accent2 2" xfId="122" xr:uid="{00000000-0005-0000-0000-00003B000000}"/>
    <cellStyle name="Accent3" xfId="22" builtinId="37" hidden="1" customBuiltin="1"/>
    <cellStyle name="Accent3" xfId="123" builtinId="37" customBuiltin="1"/>
    <cellStyle name="Accent3 2" xfId="124" xr:uid="{00000000-0005-0000-0000-00003E000000}"/>
    <cellStyle name="Accent4" xfId="23" builtinId="41" hidden="1" customBuiltin="1"/>
    <cellStyle name="Accent4" xfId="125" builtinId="41" customBuiltin="1"/>
    <cellStyle name="Accent4 2" xfId="126" xr:uid="{00000000-0005-0000-0000-000041000000}"/>
    <cellStyle name="Accent5" xfId="24" builtinId="45" hidden="1" customBuiltin="1"/>
    <cellStyle name="Accent5" xfId="127" builtinId="45" customBuiltin="1"/>
    <cellStyle name="Accent5 2" xfId="128" xr:uid="{00000000-0005-0000-0000-000044000000}"/>
    <cellStyle name="Accent6" xfId="25" builtinId="49" hidden="1" customBuiltin="1"/>
    <cellStyle name="Accent6" xfId="129" builtinId="49" customBuiltin="1"/>
    <cellStyle name="Accent6 2" xfId="130" xr:uid="{00000000-0005-0000-0000-000047000000}"/>
    <cellStyle name="Bad" xfId="26" builtinId="27" customBuiltin="1"/>
    <cellStyle name="Bad 2" xfId="131" xr:uid="{00000000-0005-0000-0000-000049000000}"/>
    <cellStyle name="Border1" xfId="12" xr:uid="{00000000-0005-0000-0000-00004A000000}"/>
    <cellStyle name="Calculation" xfId="27" builtinId="22" customBuiltin="1"/>
    <cellStyle name="Calculation 2" xfId="28" xr:uid="{00000000-0005-0000-0000-00004C000000}"/>
    <cellStyle name="Check Cell" xfId="29" builtinId="23" customBuiltin="1"/>
    <cellStyle name="Check Cell 2" xfId="30" xr:uid="{00000000-0005-0000-0000-00004E000000}"/>
    <cellStyle name="Comma" xfId="237" builtinId="3"/>
    <cellStyle name="Comma [0]" xfId="31" builtinId="6"/>
    <cellStyle name="Comma [0] 2" xfId="133" xr:uid="{00000000-0005-0000-0000-000050000000}"/>
    <cellStyle name="Comma [0] 2 2" xfId="32" xr:uid="{00000000-0005-0000-0000-000051000000}"/>
    <cellStyle name="Comma [0] 2 2 2" xfId="134" xr:uid="{00000000-0005-0000-0000-000052000000}"/>
    <cellStyle name="Comma [0] 3" xfId="135" xr:uid="{00000000-0005-0000-0000-000053000000}"/>
    <cellStyle name="Comma [0] 4" xfId="33" xr:uid="{00000000-0005-0000-0000-000054000000}"/>
    <cellStyle name="Comma [0] 4 2" xfId="136" xr:uid="{00000000-0005-0000-0000-000055000000}"/>
    <cellStyle name="Comma [0] 5" xfId="34" xr:uid="{00000000-0005-0000-0000-000056000000}"/>
    <cellStyle name="Comma [0] 5 2" xfId="137" xr:uid="{00000000-0005-0000-0000-000057000000}"/>
    <cellStyle name="Comma [0] 6" xfId="138" xr:uid="{00000000-0005-0000-0000-000058000000}"/>
    <cellStyle name="Comma [0] 6 2" xfId="139" xr:uid="{00000000-0005-0000-0000-000059000000}"/>
    <cellStyle name="Comma [0] 7" xfId="140" xr:uid="{00000000-0005-0000-0000-00005A000000}"/>
    <cellStyle name="Comma [0] 7 2" xfId="224" xr:uid="{00000000-0005-0000-0000-00005B000000}"/>
    <cellStyle name="Comma [0] 8" xfId="132" xr:uid="{00000000-0005-0000-0000-00005C000000}"/>
    <cellStyle name="Comma 0" xfId="141" xr:uid="{00000000-0005-0000-0000-00005D000000}"/>
    <cellStyle name="Comma 1" xfId="36" xr:uid="{00000000-0005-0000-0000-00005E000000}"/>
    <cellStyle name="Comma 2" xfId="142" xr:uid="{00000000-0005-0000-0000-00005F000000}"/>
    <cellStyle name="Comma 2 2" xfId="225" xr:uid="{00000000-0005-0000-0000-000060000000}"/>
    <cellStyle name="Comma 3" xfId="143" xr:uid="{00000000-0005-0000-0000-000061000000}"/>
    <cellStyle name="Comma 3 2" xfId="37" xr:uid="{00000000-0005-0000-0000-000062000000}"/>
    <cellStyle name="Comma 3 2 2" xfId="144" xr:uid="{00000000-0005-0000-0000-000063000000}"/>
    <cellStyle name="Comma 4" xfId="235" xr:uid="{00000000-0005-0000-0000-000064000000}"/>
    <cellStyle name="Currency [0]" xfId="38" builtinId="7"/>
    <cellStyle name="Currency [0] 2" xfId="39" xr:uid="{00000000-0005-0000-0000-000067000000}"/>
    <cellStyle name="Currency [0] 2 2" xfId="40" xr:uid="{00000000-0005-0000-0000-000068000000}"/>
    <cellStyle name="Currency [0] 2 2 2" xfId="147" xr:uid="{00000000-0005-0000-0000-000069000000}"/>
    <cellStyle name="Currency [0] 2 3" xfId="146" xr:uid="{00000000-0005-0000-0000-00006A000000}"/>
    <cellStyle name="Currency [0] 3" xfId="41" xr:uid="{00000000-0005-0000-0000-00006B000000}"/>
    <cellStyle name="Currency [0] 3 2" xfId="148" xr:uid="{00000000-0005-0000-0000-00006C000000}"/>
    <cellStyle name="Currency [0] 4" xfId="42" xr:uid="{00000000-0005-0000-0000-00006D000000}"/>
    <cellStyle name="Currency [0] 4 2" xfId="149" xr:uid="{00000000-0005-0000-0000-00006E000000}"/>
    <cellStyle name="Currency [0] 5" xfId="43" xr:uid="{00000000-0005-0000-0000-00006F000000}"/>
    <cellStyle name="Currency [0] 5 2" xfId="150" xr:uid="{00000000-0005-0000-0000-000070000000}"/>
    <cellStyle name="Currency [0] 6" xfId="151" xr:uid="{00000000-0005-0000-0000-000071000000}"/>
    <cellStyle name="Currency [0] 6 2" xfId="152" xr:uid="{00000000-0005-0000-0000-000072000000}"/>
    <cellStyle name="Currency [0] 7" xfId="153" xr:uid="{00000000-0005-0000-0000-000073000000}"/>
    <cellStyle name="Currency [0] 7 2" xfId="226" xr:uid="{00000000-0005-0000-0000-000074000000}"/>
    <cellStyle name="Currency [0] 8" xfId="145" xr:uid="{00000000-0005-0000-0000-000075000000}"/>
    <cellStyle name="Currency 2" xfId="44" xr:uid="{00000000-0005-0000-0000-000076000000}"/>
    <cellStyle name="Currency 2 2" xfId="154" xr:uid="{00000000-0005-0000-0000-000077000000}"/>
    <cellStyle name="Currency 3" xfId="45" xr:uid="{00000000-0005-0000-0000-000078000000}"/>
    <cellStyle name="Currency 3 2" xfId="46" xr:uid="{00000000-0005-0000-0000-000079000000}"/>
    <cellStyle name="Currency 3 2 2" xfId="156" xr:uid="{00000000-0005-0000-0000-00007A000000}"/>
    <cellStyle name="Currency 3 3" xfId="155" xr:uid="{00000000-0005-0000-0000-00007B000000}"/>
    <cellStyle name="Currency 4" xfId="81" xr:uid="{00000000-0005-0000-0000-00007C000000}"/>
    <cellStyle name="Currency 5" xfId="83" xr:uid="{00000000-0005-0000-0000-00007D000000}"/>
    <cellStyle name="Explanatory Text" xfId="47" builtinId="53" customBuiltin="1"/>
    <cellStyle name="Explanatory Text 2" xfId="48" xr:uid="{00000000-0005-0000-0000-00007F000000}"/>
    <cellStyle name="Glossary" xfId="78" xr:uid="{00000000-0005-0000-0000-000080000000}"/>
    <cellStyle name="Good" xfId="49" builtinId="26" customBuiltin="1"/>
    <cellStyle name="Good 2" xfId="50" xr:uid="{00000000-0005-0000-0000-000082000000}"/>
    <cellStyle name="Heading 1" xfId="51" builtinId="16" customBuiltin="1"/>
    <cellStyle name="Heading 1 2" xfId="52" xr:uid="{00000000-0005-0000-0000-000084000000}"/>
    <cellStyle name="Heading 2" xfId="53" builtinId="17" customBuiltin="1"/>
    <cellStyle name="Heading 2 2" xfId="54" xr:uid="{00000000-0005-0000-0000-000086000000}"/>
    <cellStyle name="Heading 3" xfId="55" builtinId="18" customBuiltin="1"/>
    <cellStyle name="Heading 3 2" xfId="56" xr:uid="{00000000-0005-0000-0000-000088000000}"/>
    <cellStyle name="Heading 4" xfId="57" builtinId="19" customBuiltin="1"/>
    <cellStyle name="Heading 4 2" xfId="58" xr:uid="{00000000-0005-0000-0000-00008A000000}"/>
    <cellStyle name="Input" xfId="59" builtinId="20" customBuiltin="1"/>
    <cellStyle name="Input 2" xfId="60" xr:uid="{00000000-0005-0000-0000-00008C000000}"/>
    <cellStyle name="Input 2 2" xfId="158" xr:uid="{00000000-0005-0000-0000-00008D000000}"/>
    <cellStyle name="Input 3" xfId="157" xr:uid="{00000000-0005-0000-0000-00008E000000}"/>
    <cellStyle name="Linked Cell" xfId="61" builtinId="24" customBuiltin="1"/>
    <cellStyle name="Linked Cell 2" xfId="62" xr:uid="{00000000-0005-0000-0000-000090000000}"/>
    <cellStyle name="Neutral" xfId="63" builtinId="28" customBuiltin="1"/>
    <cellStyle name="Neutral 2" xfId="64" xr:uid="{00000000-0005-0000-0000-000092000000}"/>
    <cellStyle name="Normal" xfId="0" builtinId="0"/>
    <cellStyle name="Normal - Numbering" xfId="76" xr:uid="{00000000-0005-0000-0000-000094000000}"/>
    <cellStyle name="Normal 10" xfId="159" xr:uid="{00000000-0005-0000-0000-000095000000}"/>
    <cellStyle name="Normal 11" xfId="160" xr:uid="{00000000-0005-0000-0000-000096000000}"/>
    <cellStyle name="Normal 11 2" xfId="227" xr:uid="{00000000-0005-0000-0000-000097000000}"/>
    <cellStyle name="Normal 12" xfId="161" xr:uid="{00000000-0005-0000-0000-000098000000}"/>
    <cellStyle name="Normal 12 2" xfId="228" xr:uid="{00000000-0005-0000-0000-000099000000}"/>
    <cellStyle name="Normal 13" xfId="162" xr:uid="{00000000-0005-0000-0000-00009A000000}"/>
    <cellStyle name="Normal 14" xfId="163" xr:uid="{00000000-0005-0000-0000-00009B000000}"/>
    <cellStyle name="Normal 15" xfId="164" xr:uid="{00000000-0005-0000-0000-00009C000000}"/>
    <cellStyle name="Normal 16" xfId="165" xr:uid="{00000000-0005-0000-0000-00009D000000}"/>
    <cellStyle name="Normal 17" xfId="166" xr:uid="{00000000-0005-0000-0000-00009E000000}"/>
    <cellStyle name="Normal 18" xfId="167" xr:uid="{00000000-0005-0000-0000-00009F000000}"/>
    <cellStyle name="Normal 19" xfId="168" xr:uid="{00000000-0005-0000-0000-0000A0000000}"/>
    <cellStyle name="Normal 2" xfId="80" xr:uid="{00000000-0005-0000-0000-0000A1000000}"/>
    <cellStyle name="Normal 2 2" xfId="170" xr:uid="{00000000-0005-0000-0000-0000A2000000}"/>
    <cellStyle name="Normal 2 3" xfId="169" xr:uid="{00000000-0005-0000-0000-0000A3000000}"/>
    <cellStyle name="Normal 20" xfId="171" xr:uid="{00000000-0005-0000-0000-0000A4000000}"/>
    <cellStyle name="Normal 21" xfId="172" xr:uid="{00000000-0005-0000-0000-0000A5000000}"/>
    <cellStyle name="Normal 22" xfId="173" xr:uid="{00000000-0005-0000-0000-0000A6000000}"/>
    <cellStyle name="Normal 23" xfId="174" xr:uid="{00000000-0005-0000-0000-0000A7000000}"/>
    <cellStyle name="Normal 24" xfId="175" xr:uid="{00000000-0005-0000-0000-0000A8000000}"/>
    <cellStyle name="Normal 25" xfId="176" xr:uid="{00000000-0005-0000-0000-0000A9000000}"/>
    <cellStyle name="Normal 26" xfId="177" xr:uid="{00000000-0005-0000-0000-0000AA000000}"/>
    <cellStyle name="Normal 27" xfId="178" xr:uid="{00000000-0005-0000-0000-0000AB000000}"/>
    <cellStyle name="Normal 28" xfId="179" xr:uid="{00000000-0005-0000-0000-0000AC000000}"/>
    <cellStyle name="Normal 29" xfId="180" xr:uid="{00000000-0005-0000-0000-0000AD000000}"/>
    <cellStyle name="Normal 3" xfId="82" xr:uid="{00000000-0005-0000-0000-0000AE000000}"/>
    <cellStyle name="Normal 3 2" xfId="182" xr:uid="{00000000-0005-0000-0000-0000AF000000}"/>
    <cellStyle name="Normal 3 3" xfId="181" xr:uid="{00000000-0005-0000-0000-0000B0000000}"/>
    <cellStyle name="Normal 30" xfId="183" xr:uid="{00000000-0005-0000-0000-0000B1000000}"/>
    <cellStyle name="Normal 31" xfId="184" xr:uid="{00000000-0005-0000-0000-0000B2000000}"/>
    <cellStyle name="Normal 32" xfId="185" xr:uid="{00000000-0005-0000-0000-0000B3000000}"/>
    <cellStyle name="Normal 33" xfId="186" xr:uid="{00000000-0005-0000-0000-0000B4000000}"/>
    <cellStyle name="Normal 34" xfId="187" xr:uid="{00000000-0005-0000-0000-0000B5000000}"/>
    <cellStyle name="Normal 35" xfId="188" xr:uid="{00000000-0005-0000-0000-0000B6000000}"/>
    <cellStyle name="Normal 36" xfId="189" xr:uid="{00000000-0005-0000-0000-0000B7000000}"/>
    <cellStyle name="Normal 37" xfId="190" xr:uid="{00000000-0005-0000-0000-0000B8000000}"/>
    <cellStyle name="Normal 38" xfId="191" xr:uid="{00000000-0005-0000-0000-0000B9000000}"/>
    <cellStyle name="Normal 39" xfId="192" xr:uid="{00000000-0005-0000-0000-0000BA000000}"/>
    <cellStyle name="Normal 4" xfId="193" xr:uid="{00000000-0005-0000-0000-0000BB000000}"/>
    <cellStyle name="Normal 4 2" xfId="229" xr:uid="{00000000-0005-0000-0000-0000BC000000}"/>
    <cellStyle name="Normal 40" xfId="194" xr:uid="{00000000-0005-0000-0000-0000BD000000}"/>
    <cellStyle name="Normal 41" xfId="195" xr:uid="{00000000-0005-0000-0000-0000BE000000}"/>
    <cellStyle name="Normal 42" xfId="196" xr:uid="{00000000-0005-0000-0000-0000BF000000}"/>
    <cellStyle name="Normal 43" xfId="197" xr:uid="{00000000-0005-0000-0000-0000C0000000}"/>
    <cellStyle name="Normal 44" xfId="198" xr:uid="{00000000-0005-0000-0000-0000C1000000}"/>
    <cellStyle name="Normal 45" xfId="199" xr:uid="{00000000-0005-0000-0000-0000C2000000}"/>
    <cellStyle name="Normal 46" xfId="200" xr:uid="{00000000-0005-0000-0000-0000C3000000}"/>
    <cellStyle name="Normal 47" xfId="201" xr:uid="{00000000-0005-0000-0000-0000C4000000}"/>
    <cellStyle name="Normal 48" xfId="202" xr:uid="{00000000-0005-0000-0000-0000C5000000}"/>
    <cellStyle name="Normal 49" xfId="203" xr:uid="{00000000-0005-0000-0000-0000C6000000}"/>
    <cellStyle name="Normal 5" xfId="204" xr:uid="{00000000-0005-0000-0000-0000C7000000}"/>
    <cellStyle name="Normal 5 2" xfId="230" xr:uid="{00000000-0005-0000-0000-0000C8000000}"/>
    <cellStyle name="Normal 50" xfId="205" xr:uid="{00000000-0005-0000-0000-0000C9000000}"/>
    <cellStyle name="Normal 51" xfId="206" xr:uid="{00000000-0005-0000-0000-0000CA000000}"/>
    <cellStyle name="Normal 52" xfId="207" xr:uid="{00000000-0005-0000-0000-0000CB000000}"/>
    <cellStyle name="Normal 53" xfId="208" xr:uid="{00000000-0005-0000-0000-0000CC000000}"/>
    <cellStyle name="Normal 54" xfId="209" xr:uid="{00000000-0005-0000-0000-0000CD000000}"/>
    <cellStyle name="Normal 55" xfId="210" xr:uid="{00000000-0005-0000-0000-0000CE000000}"/>
    <cellStyle name="Normal 56" xfId="211" xr:uid="{00000000-0005-0000-0000-0000CF000000}"/>
    <cellStyle name="Normal 6" xfId="212" xr:uid="{00000000-0005-0000-0000-0000D0000000}"/>
    <cellStyle name="Normal 6 2" xfId="231" xr:uid="{00000000-0005-0000-0000-0000D1000000}"/>
    <cellStyle name="Normal 7" xfId="213" xr:uid="{00000000-0005-0000-0000-0000D2000000}"/>
    <cellStyle name="Normal 7 2" xfId="232" xr:uid="{00000000-0005-0000-0000-0000D3000000}"/>
    <cellStyle name="Normal 8" xfId="214" xr:uid="{00000000-0005-0000-0000-0000D4000000}"/>
    <cellStyle name="Normal 8 2" xfId="233" xr:uid="{00000000-0005-0000-0000-0000D5000000}"/>
    <cellStyle name="Normal 9" xfId="215" xr:uid="{00000000-0005-0000-0000-0000D6000000}"/>
    <cellStyle name="Normal_Sheet1" xfId="236" xr:uid="{00000000-0005-0000-0000-0000D7000000}"/>
    <cellStyle name="Note" xfId="65" builtinId="10" customBuiltin="1"/>
    <cellStyle name="Note 2" xfId="66" xr:uid="{00000000-0005-0000-0000-0000D9000000}"/>
    <cellStyle name="Number_#,###" xfId="35" xr:uid="{00000000-0005-0000-0000-0000DA000000}"/>
    <cellStyle name="Number_#,### 2" xfId="79" xr:uid="{00000000-0005-0000-0000-0000DB000000}"/>
    <cellStyle name="Output" xfId="67" builtinId="21" customBuiltin="1"/>
    <cellStyle name="Output 2" xfId="68" xr:uid="{00000000-0005-0000-0000-0000DD000000}"/>
    <cellStyle name="Percent" xfId="69" builtinId="5"/>
    <cellStyle name="Percent 2" xfId="217" xr:uid="{00000000-0005-0000-0000-0000DF000000}"/>
    <cellStyle name="Percent 3" xfId="218" xr:uid="{00000000-0005-0000-0000-0000E0000000}"/>
    <cellStyle name="Percent 3 2" xfId="219" xr:uid="{00000000-0005-0000-0000-0000E1000000}"/>
    <cellStyle name="Percent 4" xfId="220" xr:uid="{00000000-0005-0000-0000-0000E2000000}"/>
    <cellStyle name="Percent 5" xfId="221" xr:uid="{00000000-0005-0000-0000-0000E3000000}"/>
    <cellStyle name="Percent 5 2" xfId="222" xr:uid="{00000000-0005-0000-0000-0000E4000000}"/>
    <cellStyle name="Percent 6" xfId="223" xr:uid="{00000000-0005-0000-0000-0000E5000000}"/>
    <cellStyle name="Percent 6 2" xfId="234" xr:uid="{00000000-0005-0000-0000-0000E6000000}"/>
    <cellStyle name="Percent 7" xfId="216" xr:uid="{00000000-0005-0000-0000-0000E7000000}"/>
    <cellStyle name="Title" xfId="70" builtinId="15" customBuiltin="1"/>
    <cellStyle name="Title 2" xfId="71" xr:uid="{00000000-0005-0000-0000-0000E9000000}"/>
    <cellStyle name="Total" xfId="72" builtinId="25" customBuiltin="1"/>
    <cellStyle name="Total 2" xfId="73" xr:uid="{00000000-0005-0000-0000-0000EB000000}"/>
    <cellStyle name="Warning Text" xfId="74" builtinId="11" customBuiltin="1"/>
    <cellStyle name="Warning Text 2" xfId="75" xr:uid="{00000000-0005-0000-0000-0000ED000000}"/>
  </cellStyles>
  <dxfs count="125">
    <dxf>
      <font>
        <color rgb="FF00B050"/>
      </font>
    </dxf>
    <dxf>
      <fill>
        <patternFill patternType="gray125"/>
      </fill>
    </dxf>
    <dxf>
      <fill>
        <patternFill patternType="gray125"/>
      </fill>
    </dxf>
    <dxf>
      <fill>
        <patternFill patternType="gray125"/>
      </fill>
    </dxf>
    <dxf>
      <fill>
        <patternFill patternType="gray125"/>
      </fill>
    </dxf>
    <dxf>
      <fill>
        <patternFill>
          <bgColor theme="0"/>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border>
        <left style="thin">
          <color auto="1"/>
        </left>
        <right style="thin">
          <color auto="1"/>
        </right>
        <top style="thin">
          <color auto="1"/>
        </top>
        <bottom style="thin">
          <color auto="1"/>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9" formatCode="m/d/yy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rgb="FF000000"/>
        </top>
      </border>
    </dxf>
    <dxf>
      <border outline="0">
        <left style="thin">
          <color rgb="FF000000"/>
        </left>
        <right style="thin">
          <color rgb="FF000000"/>
        </right>
        <top style="thin">
          <color rgb="FF000000"/>
        </top>
        <bottom style="medium">
          <color rgb="FF000000"/>
        </bottom>
      </border>
    </dxf>
    <dxf>
      <border outline="0">
        <bottom style="thin">
          <color rgb="FF000000"/>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solid">
          <fgColor indexed="64"/>
          <bgColor indexed="22"/>
        </patternFill>
      </fill>
      <alignment horizontal="center" vertical="center" textRotation="0" wrapText="0" indent="0" justifyLastLine="0" shrinkToFit="0" readingOrder="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indexed="8"/>
        <name val="Calibri"/>
        <scheme val="none"/>
      </font>
      <fill>
        <patternFill patternType="none">
          <fgColor indexed="64"/>
          <bgColor indexed="65"/>
        </patternFill>
      </fill>
      <alignment horizontal="center" vertical="center" textRotation="0" wrapText="0"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dxf>
    <dxf>
      <numFmt numFmtId="168" formatCode="m/d/yy;@"/>
      <fill>
        <patternFill patternType="none">
          <fgColor indexed="64"/>
          <bgColor indexed="65"/>
        </patternFill>
      </fill>
      <alignment horizontal="center" vertical="center" textRotation="0" wrapText="0" indent="0" justifyLastLine="0" shrinkToFit="0" readingOrder="0"/>
      <protection locked="0" hidden="0"/>
    </dxf>
    <dxf>
      <numFmt numFmtId="5" formatCode="#,##0_);\(#,##0\)"/>
    </dxf>
    <dxf>
      <numFmt numFmtId="167" formatCode="##."/>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medium">
          <color indexed="64"/>
        </bottom>
      </border>
    </dxf>
    <dxf>
      <border outline="0">
        <bottom style="thin">
          <color indexed="64"/>
        </bottom>
      </border>
    </dxf>
    <dxf>
      <fill>
        <patternFill patternType="solid">
          <fgColor indexed="64"/>
          <bgColor indexed="22"/>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8" Type="http://schemas.openxmlformats.org/officeDocument/2006/relationships/customXml" Target="../customXml/item5.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F3D2-4C72-A30A-ABFBE42F309D}"/>
              </c:ext>
            </c:extLst>
          </c:dPt>
          <c:dPt>
            <c:idx val="1"/>
            <c:bubble3D val="0"/>
            <c:extLst>
              <c:ext xmlns:c16="http://schemas.microsoft.com/office/drawing/2014/chart" uri="{C3380CC4-5D6E-409C-BE32-E72D297353CC}">
                <c16:uniqueId val="{00000001-F3D2-4C72-A30A-ABFBE42F309D}"/>
              </c:ext>
            </c:extLst>
          </c:dPt>
          <c:dPt>
            <c:idx val="2"/>
            <c:bubble3D val="0"/>
            <c:extLst>
              <c:ext xmlns:c16="http://schemas.microsoft.com/office/drawing/2014/chart" uri="{C3380CC4-5D6E-409C-BE32-E72D297353CC}">
                <c16:uniqueId val="{00000002-F3D2-4C72-A30A-ABFBE42F309D}"/>
              </c:ext>
            </c:extLst>
          </c:dPt>
          <c:dPt>
            <c:idx val="3"/>
            <c:bubble3D val="0"/>
            <c:extLst>
              <c:ext xmlns:c16="http://schemas.microsoft.com/office/drawing/2014/chart" uri="{C3380CC4-5D6E-409C-BE32-E72D297353CC}">
                <c16:uniqueId val="{00000003-F3D2-4C72-A30A-ABFBE42F309D}"/>
              </c:ext>
            </c:extLst>
          </c:dPt>
          <c:dPt>
            <c:idx val="4"/>
            <c:bubble3D val="0"/>
            <c:extLst>
              <c:ext xmlns:c16="http://schemas.microsoft.com/office/drawing/2014/chart" uri="{C3380CC4-5D6E-409C-BE32-E72D297353CC}">
                <c16:uniqueId val="{00000004-F3D2-4C72-A30A-ABFBE42F309D}"/>
              </c:ext>
            </c:extLst>
          </c:dPt>
          <c:dPt>
            <c:idx val="5"/>
            <c:bubble3D val="0"/>
            <c:extLst>
              <c:ext xmlns:c16="http://schemas.microsoft.com/office/drawing/2014/chart" uri="{C3380CC4-5D6E-409C-BE32-E72D297353CC}">
                <c16:uniqueId val="{00000005-F3D2-4C72-A30A-ABFBE42F309D}"/>
              </c:ext>
            </c:extLst>
          </c:dPt>
          <c:dLbls>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f>'Table 3'!$B$9:$B$14</c:f>
              <c:strCache>
                <c:ptCount val="6"/>
                <c:pt idx="0">
                  <c:v>Planning / Design</c:v>
                </c:pt>
                <c:pt idx="1">
                  <c:v>Marketing &amp; Delivery</c:v>
                </c:pt>
                <c:pt idx="2">
                  <c:v>Incentives / Direct Install Costs</c:v>
                </c:pt>
                <c:pt idx="3">
                  <c:v>EM&amp;V</c:v>
                </c:pt>
                <c:pt idx="4">
                  <c:v>Administration</c:v>
                </c:pt>
                <c:pt idx="5">
                  <c:v>Regulatory</c:v>
                </c:pt>
              </c:strCache>
            </c:strRef>
          </c:cat>
          <c:val>
            <c:numRef>
              <c:f>'Table 3'!$F$9:$F$14</c:f>
              <c:numCache>
                <c:formatCode>_(* #,##0_);_(* \(#,##0\);_(* "-"_);_(@_)</c:formatCode>
                <c:ptCount val="6"/>
                <c:pt idx="0">
                  <c:v>17506.55</c:v>
                </c:pt>
                <c:pt idx="1">
                  <c:v>4737437.0599999996</c:v>
                </c:pt>
                <c:pt idx="2">
                  <c:v>7456409.4400000004</c:v>
                </c:pt>
                <c:pt idx="3">
                  <c:v>484690.9</c:v>
                </c:pt>
                <c:pt idx="4">
                  <c:v>434542.98</c:v>
                </c:pt>
                <c:pt idx="5">
                  <c:v>88843.87</c:v>
                </c:pt>
              </c:numCache>
            </c:numRef>
          </c:val>
          <c:extLst>
            <c:ext xmlns:c16="http://schemas.microsoft.com/office/drawing/2014/chart" uri="{C3380CC4-5D6E-409C-BE32-E72D297353CC}">
              <c16:uniqueId val="{00000006-F3D2-4C72-A30A-ABFBE42F309D}"/>
            </c:ext>
          </c:extLst>
        </c:ser>
        <c:dLbls>
          <c:showLegendKey val="0"/>
          <c:showVal val="0"/>
          <c:showCatName val="0"/>
          <c:showSerName val="0"/>
          <c:showPercent val="0"/>
          <c:showBubbleSize val="0"/>
          <c:showLeaderLines val="1"/>
        </c:dLbls>
        <c:firstSliceAng val="90"/>
      </c:pie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strRef>
              <c:f>'Table 4'!$M$8</c:f>
              <c:strCache>
                <c:ptCount val="1"/>
                <c:pt idx="0">
                  <c:v>Net Annual Savings
(f)</c:v>
                </c:pt>
              </c:strCache>
            </c:strRef>
          </c:tx>
          <c:invertIfNegative val="0"/>
          <c:val>
            <c:numRef>
              <c:f>'Table 4'!$M$10:$M$14</c:f>
              <c:numCache>
                <c:formatCode>_(* #,##0_);_(* \(#,##0\);_(* "-"_);_(@_)</c:formatCode>
                <c:ptCount val="5"/>
                <c:pt idx="0">
                  <c:v>37339.31</c:v>
                </c:pt>
                <c:pt idx="1">
                  <c:v>38163.632644999998</c:v>
                </c:pt>
                <c:pt idx="2">
                  <c:v>38666.748</c:v>
                </c:pt>
                <c:pt idx="3">
                  <c:v>41069</c:v>
                </c:pt>
                <c:pt idx="4">
                  <c:v>44577.760000000002</c:v>
                </c:pt>
              </c:numCache>
            </c:numRef>
          </c:val>
          <c:extLst>
            <c:ext xmlns:c16="http://schemas.microsoft.com/office/drawing/2014/chart" uri="{C3380CC4-5D6E-409C-BE32-E72D297353CC}">
              <c16:uniqueId val="{00000000-ED84-4E3F-91AB-A3F4330A7A66}"/>
            </c:ext>
          </c:extLst>
        </c:ser>
        <c:dLbls>
          <c:showLegendKey val="0"/>
          <c:showVal val="0"/>
          <c:showCatName val="0"/>
          <c:showSerName val="0"/>
          <c:showPercent val="0"/>
          <c:showBubbleSize val="0"/>
        </c:dLbls>
        <c:gapWidth val="150"/>
        <c:axId val="65227776"/>
        <c:axId val="99824384"/>
      </c:barChart>
      <c:lineChart>
        <c:grouping val="standard"/>
        <c:varyColors val="0"/>
        <c:ser>
          <c:idx val="0"/>
          <c:order val="0"/>
          <c:tx>
            <c:strRef>
              <c:f>'Table 4'!$G$8</c:f>
              <c:strCache>
                <c:ptCount val="1"/>
                <c:pt idx="0">
                  <c:v>Portfolio Spending
(c)</c:v>
                </c:pt>
              </c:strCache>
            </c:strRef>
          </c:tx>
          <c:marker>
            <c:symbol val="none"/>
          </c:marker>
          <c:cat>
            <c:numRef>
              <c:f>'Table 4'!$B$10:$B$14</c:f>
              <c:numCache>
                <c:formatCode>General</c:formatCode>
                <c:ptCount val="5"/>
                <c:pt idx="0">
                  <c:v>2021</c:v>
                </c:pt>
                <c:pt idx="1">
                  <c:v>2022</c:v>
                </c:pt>
                <c:pt idx="2">
                  <c:v>2023</c:v>
                </c:pt>
                <c:pt idx="3">
                  <c:v>2024</c:v>
                </c:pt>
                <c:pt idx="4">
                  <c:v>2025</c:v>
                </c:pt>
              </c:numCache>
            </c:numRef>
          </c:cat>
          <c:val>
            <c:numRef>
              <c:f>'Table 4'!$G$10:$G$14</c:f>
              <c:numCache>
                <c:formatCode>_("$"* #,##0_);_("$"* \(#,##0\);_("$"* "-"??_);_(@_)</c:formatCode>
                <c:ptCount val="5"/>
                <c:pt idx="0">
                  <c:v>9930.2885100000021</c:v>
                </c:pt>
                <c:pt idx="1">
                  <c:v>10157.434340000002</c:v>
                </c:pt>
                <c:pt idx="2">
                  <c:v>10221.097</c:v>
                </c:pt>
                <c:pt idx="3">
                  <c:v>12175.436</c:v>
                </c:pt>
                <c:pt idx="4">
                  <c:v>13219.4308</c:v>
                </c:pt>
              </c:numCache>
            </c:numRef>
          </c:val>
          <c:smooth val="0"/>
          <c:extLst>
            <c:ext xmlns:c16="http://schemas.microsoft.com/office/drawing/2014/chart" uri="{C3380CC4-5D6E-409C-BE32-E72D297353CC}">
              <c16:uniqueId val="{00000001-ED84-4E3F-91AB-A3F4330A7A66}"/>
            </c:ext>
          </c:extLst>
        </c:ser>
        <c:ser>
          <c:idx val="1"/>
          <c:order val="1"/>
          <c:tx>
            <c:strRef>
              <c:f>'Table 4'!$E$8</c:f>
              <c:strCache>
                <c:ptCount val="1"/>
                <c:pt idx="0">
                  <c:v>Portfolio Budget
(b)</c:v>
                </c:pt>
              </c:strCache>
            </c:strRef>
          </c:tx>
          <c:marker>
            <c:symbol val="none"/>
          </c:marker>
          <c:val>
            <c:numRef>
              <c:f>'Table 4'!$E$10:$E$14</c:f>
              <c:numCache>
                <c:formatCode>_("$"* #,##0_);_("$"* \(#,##0\);_("$"* "-"??_);_(@_)</c:formatCode>
                <c:ptCount val="5"/>
                <c:pt idx="0">
                  <c:v>11526.13638</c:v>
                </c:pt>
                <c:pt idx="1">
                  <c:v>11667.2</c:v>
                </c:pt>
                <c:pt idx="2">
                  <c:v>11667.2</c:v>
                </c:pt>
                <c:pt idx="3">
                  <c:v>13903.31</c:v>
                </c:pt>
                <c:pt idx="4">
                  <c:v>14305.564</c:v>
                </c:pt>
              </c:numCache>
            </c:numRef>
          </c:val>
          <c:smooth val="0"/>
          <c:extLst>
            <c:ext xmlns:c16="http://schemas.microsoft.com/office/drawing/2014/chart" uri="{C3380CC4-5D6E-409C-BE32-E72D297353CC}">
              <c16:uniqueId val="{00000002-ED84-4E3F-91AB-A3F4330A7A66}"/>
            </c:ext>
          </c:extLst>
        </c:ser>
        <c:dLbls>
          <c:showLegendKey val="0"/>
          <c:showVal val="0"/>
          <c:showCatName val="0"/>
          <c:showSerName val="0"/>
          <c:showPercent val="0"/>
          <c:showBubbleSize val="0"/>
        </c:dLbls>
        <c:marker val="1"/>
        <c:smooth val="0"/>
        <c:axId val="65224704"/>
        <c:axId val="65226240"/>
      </c:lineChart>
      <c:catAx>
        <c:axId val="652247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226240"/>
        <c:crosses val="autoZero"/>
        <c:auto val="1"/>
        <c:lblAlgn val="ctr"/>
        <c:lblOffset val="100"/>
        <c:noMultiLvlLbl val="0"/>
      </c:catAx>
      <c:valAx>
        <c:axId val="65226240"/>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224704"/>
        <c:crosses val="autoZero"/>
        <c:crossBetween val="between"/>
      </c:valAx>
      <c:catAx>
        <c:axId val="65227776"/>
        <c:scaling>
          <c:orientation val="minMax"/>
        </c:scaling>
        <c:delete val="1"/>
        <c:axPos val="b"/>
        <c:majorTickMark val="out"/>
        <c:minorTickMark val="none"/>
        <c:tickLblPos val="nextTo"/>
        <c:crossAx val="99824384"/>
        <c:crosses val="autoZero"/>
        <c:auto val="1"/>
        <c:lblAlgn val="ctr"/>
        <c:lblOffset val="100"/>
        <c:noMultiLvlLbl val="0"/>
      </c:catAx>
      <c:valAx>
        <c:axId val="99824384"/>
        <c:scaling>
          <c:orientation val="minMax"/>
        </c:scaling>
        <c:delete val="0"/>
        <c:axPos val="r"/>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227776"/>
        <c:crosses val="max"/>
        <c:crossBetween val="between"/>
      </c:valAx>
    </c:plotArea>
    <c:legend>
      <c:legendPos val="r"/>
      <c:legendEntry>
        <c:idx val="0"/>
        <c:txPr>
          <a:bodyPr/>
          <a:lstStyle/>
          <a:p>
            <a:pPr>
              <a:defRPr sz="700" b="0" i="0" u="none" strike="noStrike" baseline="0">
                <a:solidFill>
                  <a:srgbClr val="000000"/>
                </a:solidFill>
                <a:latin typeface="Calibri"/>
                <a:ea typeface="Calibri"/>
                <a:cs typeface="Calibri"/>
              </a:defRPr>
            </a:pPr>
            <a:endParaRPr lang="en-US"/>
          </a:p>
        </c:txPr>
      </c:legendEntry>
      <c:legendEntry>
        <c:idx val="1"/>
        <c:txPr>
          <a:bodyPr/>
          <a:lstStyle/>
          <a:p>
            <a:pPr>
              <a:defRPr sz="700" b="0" i="0" u="none" strike="noStrike" baseline="0">
                <a:solidFill>
                  <a:srgbClr val="000000"/>
                </a:solidFill>
                <a:latin typeface="Calibri"/>
                <a:ea typeface="Calibri"/>
                <a:cs typeface="Calibri"/>
              </a:defRPr>
            </a:pPr>
            <a:endParaRPr lang="en-US"/>
          </a:p>
        </c:txPr>
      </c:legendEntry>
      <c:layout>
        <c:manualLayout>
          <c:xMode val="edge"/>
          <c:yMode val="edge"/>
          <c:x val="0.8079896907216495"/>
          <c:y val="0.16216216216216217"/>
          <c:w val="0.18685567010309279"/>
          <c:h val="0.64864864864864868"/>
        </c:manualLayout>
      </c:layout>
      <c:overlay val="0"/>
      <c:txPr>
        <a:bodyPr/>
        <a:lstStyle/>
        <a:p>
          <a:pPr>
            <a:defRPr sz="7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98283250307997"/>
          <c:y val="6.5501591062179176E-2"/>
          <c:w val="0.77659555948363601"/>
          <c:h val="0.56494042227022512"/>
        </c:manualLayout>
      </c:layout>
      <c:barChart>
        <c:barDir val="col"/>
        <c:grouping val="clustered"/>
        <c:varyColors val="0"/>
        <c:ser>
          <c:idx val="0"/>
          <c:order val="0"/>
          <c:tx>
            <c:strRef>
              <c:f>'Table 5'!$F$8:$H$8</c:f>
              <c:strCache>
                <c:ptCount val="1"/>
                <c:pt idx="0">
                  <c:v>Energy Savings (kWh)</c:v>
                </c:pt>
              </c:strCache>
            </c:strRef>
          </c:tx>
          <c:invertIfNegative val="0"/>
          <c:cat>
            <c:strRef>
              <c:f>'Table 5'!$B$10:$B$12</c:f>
              <c:strCache>
                <c:ptCount val="3"/>
                <c:pt idx="0">
                  <c:v> Program Year 2023 </c:v>
                </c:pt>
                <c:pt idx="1">
                  <c:v> Program Year 2024 </c:v>
                </c:pt>
                <c:pt idx="2">
                  <c:v> Program Year 2025 </c:v>
                </c:pt>
              </c:strCache>
            </c:strRef>
          </c:cat>
          <c:val>
            <c:numRef>
              <c:f>'Table 5'!$G$10:$G$12</c:f>
              <c:numCache>
                <c:formatCode>#,##0_);\(#,##0\)</c:formatCode>
                <c:ptCount val="3"/>
                <c:pt idx="0">
                  <c:v>0</c:v>
                </c:pt>
                <c:pt idx="1">
                  <c:v>8555881</c:v>
                </c:pt>
                <c:pt idx="2">
                  <c:v>14670946</c:v>
                </c:pt>
              </c:numCache>
            </c:numRef>
          </c:val>
          <c:extLst>
            <c:ext xmlns:c16="http://schemas.microsoft.com/office/drawing/2014/chart" uri="{C3380CC4-5D6E-409C-BE32-E72D297353CC}">
              <c16:uniqueId val="{00000000-1972-4172-9EBD-BEC54D09DA1A}"/>
            </c:ext>
          </c:extLst>
        </c:ser>
        <c:dLbls>
          <c:showLegendKey val="0"/>
          <c:showVal val="0"/>
          <c:showCatName val="0"/>
          <c:showSerName val="0"/>
          <c:showPercent val="0"/>
          <c:showBubbleSize val="0"/>
        </c:dLbls>
        <c:gapWidth val="150"/>
        <c:axId val="65823488"/>
        <c:axId val="65825024"/>
      </c:barChart>
      <c:lineChart>
        <c:grouping val="standard"/>
        <c:varyColors val="0"/>
        <c:ser>
          <c:idx val="1"/>
          <c:order val="1"/>
          <c:tx>
            <c:strRef>
              <c:f>'Table 5'!$C$9</c:f>
              <c:strCache>
                <c:ptCount val="1"/>
                <c:pt idx="0">
                  <c:v>Budget</c:v>
                </c:pt>
              </c:strCache>
            </c:strRef>
          </c:tx>
          <c:marker>
            <c:symbol val="none"/>
          </c:marker>
          <c:cat>
            <c:strRef>
              <c:f>'Table 5'!$B$10:$B$12</c:f>
              <c:strCache>
                <c:ptCount val="3"/>
                <c:pt idx="0">
                  <c:v> Program Year 2023 </c:v>
                </c:pt>
                <c:pt idx="1">
                  <c:v> Program Year 2024 </c:v>
                </c:pt>
                <c:pt idx="2">
                  <c:v> Program Year 2025 </c:v>
                </c:pt>
              </c:strCache>
            </c:strRef>
          </c:cat>
          <c:val>
            <c:numRef>
              <c:f>'Table 5'!$C$10:$C$12</c:f>
              <c:numCache>
                <c:formatCode>_("$"* #,##0_);_("$"* \(#,##0\);_("$"* "-"_);_(@_)</c:formatCode>
                <c:ptCount val="3"/>
                <c:pt idx="0">
                  <c:v>0</c:v>
                </c:pt>
                <c:pt idx="1">
                  <c:v>491812</c:v>
                </c:pt>
                <c:pt idx="2">
                  <c:v>559109</c:v>
                </c:pt>
              </c:numCache>
            </c:numRef>
          </c:val>
          <c:smooth val="0"/>
          <c:extLst>
            <c:ext xmlns:c16="http://schemas.microsoft.com/office/drawing/2014/chart" uri="{C3380CC4-5D6E-409C-BE32-E72D297353CC}">
              <c16:uniqueId val="{00000001-1972-4172-9EBD-BEC54D09DA1A}"/>
            </c:ext>
          </c:extLst>
        </c:ser>
        <c:ser>
          <c:idx val="2"/>
          <c:order val="2"/>
          <c:tx>
            <c:strRef>
              <c:f>'Table 5'!$D$9</c:f>
              <c:strCache>
                <c:ptCount val="1"/>
                <c:pt idx="0">
                  <c:v>Actual</c:v>
                </c:pt>
              </c:strCache>
            </c:strRef>
          </c:tx>
          <c:marker>
            <c:symbol val="none"/>
          </c:marker>
          <c:val>
            <c:numRef>
              <c:f>'Table 5'!$D$10:$D$12</c:f>
              <c:numCache>
                <c:formatCode>_("$"* #,##0_);_("$"* \(#,##0\);_("$"* "-"_);_(@_)</c:formatCode>
                <c:ptCount val="3"/>
                <c:pt idx="0">
                  <c:v>0</c:v>
                </c:pt>
                <c:pt idx="1">
                  <c:v>510180</c:v>
                </c:pt>
                <c:pt idx="2">
                  <c:v>574855.58000000007</c:v>
                </c:pt>
              </c:numCache>
            </c:numRef>
          </c:val>
          <c:smooth val="0"/>
          <c:extLst>
            <c:ext xmlns:c16="http://schemas.microsoft.com/office/drawing/2014/chart" uri="{C3380CC4-5D6E-409C-BE32-E72D297353CC}">
              <c16:uniqueId val="{00000002-1972-4172-9EBD-BEC54D09DA1A}"/>
            </c:ext>
          </c:extLst>
        </c:ser>
        <c:dLbls>
          <c:showLegendKey val="0"/>
          <c:showVal val="0"/>
          <c:showCatName val="0"/>
          <c:showSerName val="0"/>
          <c:showPercent val="0"/>
          <c:showBubbleSize val="0"/>
        </c:dLbls>
        <c:marker val="1"/>
        <c:smooth val="0"/>
        <c:axId val="65816064"/>
        <c:axId val="65817600"/>
      </c:lineChart>
      <c:catAx>
        <c:axId val="6581606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817600"/>
        <c:crosses val="autoZero"/>
        <c:auto val="1"/>
        <c:lblAlgn val="ctr"/>
        <c:lblOffset val="100"/>
        <c:noMultiLvlLbl val="0"/>
      </c:catAx>
      <c:valAx>
        <c:axId val="65817600"/>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816064"/>
        <c:crosses val="autoZero"/>
        <c:crossBetween val="between"/>
      </c:valAx>
      <c:catAx>
        <c:axId val="65823488"/>
        <c:scaling>
          <c:orientation val="minMax"/>
        </c:scaling>
        <c:delete val="1"/>
        <c:axPos val="b"/>
        <c:numFmt formatCode="General" sourceLinked="1"/>
        <c:majorTickMark val="out"/>
        <c:minorTickMark val="none"/>
        <c:tickLblPos val="nextTo"/>
        <c:crossAx val="65825024"/>
        <c:crosses val="autoZero"/>
        <c:auto val="1"/>
        <c:lblAlgn val="ctr"/>
        <c:lblOffset val="100"/>
        <c:noMultiLvlLbl val="0"/>
      </c:catAx>
      <c:valAx>
        <c:axId val="65825024"/>
        <c:scaling>
          <c:orientation val="minMax"/>
        </c:scaling>
        <c:delete val="0"/>
        <c:axPos val="r"/>
        <c:numFmt formatCode="#,##0_);\(#,##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823488"/>
        <c:crosses val="max"/>
        <c:crossBetween val="between"/>
      </c:valAx>
    </c:plotArea>
    <c:legend>
      <c:legendPos val="r"/>
      <c:legendEntry>
        <c:idx val="0"/>
        <c:txPr>
          <a:bodyPr/>
          <a:lstStyle/>
          <a:p>
            <a:pPr>
              <a:defRPr sz="900" b="0" i="0" u="none" strike="noStrike" baseline="0">
                <a:solidFill>
                  <a:srgbClr val="000000"/>
                </a:solidFill>
                <a:latin typeface="Calibri"/>
                <a:ea typeface="Calibri"/>
                <a:cs typeface="Calibri"/>
              </a:defRPr>
            </a:pPr>
            <a:endParaRPr lang="en-US"/>
          </a:p>
        </c:txPr>
      </c:legendEntry>
      <c:legendEntry>
        <c:idx val="1"/>
        <c:txPr>
          <a:bodyPr/>
          <a:lstStyle/>
          <a:p>
            <a:pPr>
              <a:defRPr sz="800" b="0" i="0" u="none" strike="noStrike" baseline="0">
                <a:solidFill>
                  <a:srgbClr val="000000"/>
                </a:solidFill>
                <a:latin typeface="Calibri"/>
                <a:ea typeface="Calibri"/>
                <a:cs typeface="Calibri"/>
              </a:defRPr>
            </a:pPr>
            <a:endParaRPr lang="en-US"/>
          </a:p>
        </c:txPr>
      </c:legendEntry>
      <c:legendEntry>
        <c:idx val="2"/>
        <c:txPr>
          <a:bodyPr/>
          <a:lstStyle/>
          <a:p>
            <a:pPr>
              <a:defRPr sz="800" b="0" i="0" u="none" strike="noStrike" baseline="0">
                <a:solidFill>
                  <a:srgbClr val="000000"/>
                </a:solidFill>
                <a:latin typeface="Calibri"/>
                <a:ea typeface="Calibri"/>
                <a:cs typeface="Calibri"/>
              </a:defRPr>
            </a:pPr>
            <a:endParaRPr lang="en-US"/>
          </a:p>
        </c:txPr>
      </c:legendEntry>
      <c:layout>
        <c:manualLayout>
          <c:xMode val="edge"/>
          <c:yMode val="edge"/>
          <c:x val="0.17002518891687657"/>
          <c:y val="0.75663902631640068"/>
          <c:w val="0.68513853904282118"/>
          <c:h val="0.22123940259679931"/>
        </c:manualLayout>
      </c:layout>
      <c:overlay val="0"/>
      <c:txPr>
        <a:bodyPr/>
        <a:lstStyle/>
        <a:p>
          <a:pPr>
            <a:defRPr sz="5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1'!$D$6</c:f>
              <c:strCache>
                <c:ptCount val="1"/>
                <c:pt idx="0">
                  <c:v>Cost</c:v>
                </c:pt>
              </c:strCache>
            </c:strRef>
          </c:tx>
          <c:invertIfNegative val="0"/>
          <c:cat>
            <c:strRef>
              <c:f>Tables!$B$107:$B$126</c:f>
              <c:strCache>
                <c:ptCount val="20"/>
                <c:pt idx="0">
                  <c:v>Comm &amp; Industrial (CIEEP)</c:v>
                </c:pt>
                <c:pt idx="1">
                  <c:v>Res Energy Imprv (REIP)</c:v>
                </c:pt>
                <c:pt idx="2">
                  <c:v>Home Weatherization (HWP)</c:v>
                </c:pt>
                <c:pt idx="3">
                  <c:v>Small Business (SBP)</c:v>
                </c:pt>
                <c:pt idx="4">
                  <c:v>Income Qualified (IQW)</c:v>
                </c:pt>
                <c:pt idx="5">
                  <c:v>Load Mgt (LMP)</c:v>
                </c:pt>
                <c:pt idx="6">
                  <c:v>Efficient Products (EPP)</c:v>
                </c:pt>
                <c:pt idx="7">
                  <c:v>Strat Energy Mgmt (SEMP)</c:v>
                </c:pt>
                <c:pt idx="8">
                  <c:v>New Construction (NCP)</c:v>
                </c:pt>
                <c:pt idx="9">
                  <c:v>Bring Y/Otstat (BYOT)</c:v>
                </c:pt>
                <c:pt idx="10">
                  <c:v>Discont'd Ele Veh (EVE)</c:v>
                </c:pt>
                <c:pt idx="11">
                  <c:v>Discont'd Onlne Audt(OLA)</c:v>
                </c:pt>
                <c:pt idx="12">
                  <c:v>Discont'd R ES Appliance</c:v>
                </c:pt>
                <c:pt idx="13">
                  <c:v>Discont'd Res Appliance</c:v>
                </c:pt>
                <c:pt idx="14">
                  <c:v>Discont'd Res Solutions</c:v>
                </c:pt>
                <c:pt idx="15">
                  <c:v>Discont'd Comm Solutions</c:v>
                </c:pt>
                <c:pt idx="16">
                  <c:v>Discont'd ARWX (AWIP)</c:v>
                </c:pt>
                <c:pt idx="17">
                  <c:v>Discont'd EE AR (EEA)</c:v>
                </c:pt>
                <c:pt idx="18">
                  <c:v>*Hide*</c:v>
                </c:pt>
                <c:pt idx="19">
                  <c:v>*Hide*</c:v>
                </c:pt>
              </c:strCache>
            </c:strRef>
          </c:cat>
          <c:val>
            <c:numRef>
              <c:f>[0]!Graph_C2</c:f>
              <c:numCache>
                <c:formatCode>_("$"* #,##0_);_("$"* \(#,##0\);_("$"* "-"_);_(@_)</c:formatCode>
                <c:ptCount val="10"/>
                <c:pt idx="0">
                  <c:v>2928754.98</c:v>
                </c:pt>
                <c:pt idx="1">
                  <c:v>2841826.0799999996</c:v>
                </c:pt>
                <c:pt idx="2">
                  <c:v>2066144.0100000002</c:v>
                </c:pt>
                <c:pt idx="3">
                  <c:v>1545628.96</c:v>
                </c:pt>
                <c:pt idx="4">
                  <c:v>1111588.78</c:v>
                </c:pt>
                <c:pt idx="5">
                  <c:v>786371.33000000007</c:v>
                </c:pt>
                <c:pt idx="6">
                  <c:v>675653.44</c:v>
                </c:pt>
                <c:pt idx="7">
                  <c:v>574855.58000000007</c:v>
                </c:pt>
                <c:pt idx="8">
                  <c:v>410760.84</c:v>
                </c:pt>
                <c:pt idx="9">
                  <c:v>188987.53</c:v>
                </c:pt>
              </c:numCache>
            </c:numRef>
          </c:val>
          <c:extLst>
            <c:ext xmlns:c16="http://schemas.microsoft.com/office/drawing/2014/chart" uri="{C3380CC4-5D6E-409C-BE32-E72D297353CC}">
              <c16:uniqueId val="{00000000-9512-4288-84D8-E3B9ADF553E7}"/>
            </c:ext>
          </c:extLst>
        </c:ser>
        <c:dLbls>
          <c:showLegendKey val="0"/>
          <c:showVal val="0"/>
          <c:showCatName val="0"/>
          <c:showSerName val="0"/>
          <c:showPercent val="0"/>
          <c:showBubbleSize val="0"/>
        </c:dLbls>
        <c:gapWidth val="150"/>
        <c:axId val="65958272"/>
        <c:axId val="65959808"/>
      </c:barChart>
      <c:catAx>
        <c:axId val="65958272"/>
        <c:scaling>
          <c:orientation val="minMax"/>
        </c:scaling>
        <c:delete val="0"/>
        <c:axPos val="l"/>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59808"/>
        <c:crosses val="autoZero"/>
        <c:auto val="1"/>
        <c:lblAlgn val="ctr"/>
        <c:lblOffset val="100"/>
        <c:noMultiLvlLbl val="0"/>
      </c:catAx>
      <c:valAx>
        <c:axId val="65959808"/>
        <c:scaling>
          <c:orientation val="minMax"/>
        </c:scaling>
        <c:delete val="0"/>
        <c:axPos val="b"/>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5827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barChart>
        <c:barDir val="bar"/>
        <c:grouping val="clustered"/>
        <c:varyColors val="0"/>
        <c:ser>
          <c:idx val="0"/>
          <c:order val="0"/>
          <c:tx>
            <c:strRef>
              <c:f>'Report 1'!$G$6:$I$6</c:f>
              <c:strCache>
                <c:ptCount val="1"/>
                <c:pt idx="0">
                  <c:v>Savings (kWh)</c:v>
                </c:pt>
              </c:strCache>
            </c:strRef>
          </c:tx>
          <c:invertIfNegative val="0"/>
          <c:cat>
            <c:strRef>
              <c:f>Tables!$B$107:$B$126</c:f>
              <c:strCache>
                <c:ptCount val="20"/>
                <c:pt idx="0">
                  <c:v>Comm &amp; Industrial (CIEEP)</c:v>
                </c:pt>
                <c:pt idx="1">
                  <c:v>Res Energy Imprv (REIP)</c:v>
                </c:pt>
                <c:pt idx="2">
                  <c:v>Home Weatherization (HWP)</c:v>
                </c:pt>
                <c:pt idx="3">
                  <c:v>Small Business (SBP)</c:v>
                </c:pt>
                <c:pt idx="4">
                  <c:v>Income Qualified (IQW)</c:v>
                </c:pt>
                <c:pt idx="5">
                  <c:v>Load Mgt (LMP)</c:v>
                </c:pt>
                <c:pt idx="6">
                  <c:v>Efficient Products (EPP)</c:v>
                </c:pt>
                <c:pt idx="7">
                  <c:v>Strat Energy Mgmt (SEMP)</c:v>
                </c:pt>
                <c:pt idx="8">
                  <c:v>New Construction (NCP)</c:v>
                </c:pt>
                <c:pt idx="9">
                  <c:v>Bring Y/Otstat (BYOT)</c:v>
                </c:pt>
                <c:pt idx="10">
                  <c:v>Discont'd Ele Veh (EVE)</c:v>
                </c:pt>
                <c:pt idx="11">
                  <c:v>Discont'd Onlne Audt(OLA)</c:v>
                </c:pt>
                <c:pt idx="12">
                  <c:v>Discont'd R ES Appliance</c:v>
                </c:pt>
                <c:pt idx="13">
                  <c:v>Discont'd Res Appliance</c:v>
                </c:pt>
                <c:pt idx="14">
                  <c:v>Discont'd Res Solutions</c:v>
                </c:pt>
                <c:pt idx="15">
                  <c:v>Discont'd Comm Solutions</c:v>
                </c:pt>
                <c:pt idx="16">
                  <c:v>Discont'd ARWX (AWIP)</c:v>
                </c:pt>
                <c:pt idx="17">
                  <c:v>Discont'd EE AR (EEA)</c:v>
                </c:pt>
                <c:pt idx="18">
                  <c:v>*Hide*</c:v>
                </c:pt>
                <c:pt idx="19">
                  <c:v>*Hide*</c:v>
                </c:pt>
              </c:strCache>
            </c:strRef>
          </c:cat>
          <c:val>
            <c:numRef>
              <c:f>[0]!Graph_S2</c:f>
              <c:numCache>
                <c:formatCode>#,##0_);\(#,##0\)</c:formatCode>
                <c:ptCount val="11"/>
                <c:pt idx="0">
                  <c:v>8691274</c:v>
                </c:pt>
                <c:pt idx="1">
                  <c:v>7788226</c:v>
                </c:pt>
                <c:pt idx="2">
                  <c:v>3106874</c:v>
                </c:pt>
                <c:pt idx="3">
                  <c:v>4161317</c:v>
                </c:pt>
                <c:pt idx="4">
                  <c:v>1700442</c:v>
                </c:pt>
                <c:pt idx="5">
                  <c:v>166783</c:v>
                </c:pt>
                <c:pt idx="6">
                  <c:v>3792328</c:v>
                </c:pt>
                <c:pt idx="7">
                  <c:v>14670946</c:v>
                </c:pt>
                <c:pt idx="8">
                  <c:v>482893</c:v>
                </c:pt>
                <c:pt idx="9">
                  <c:v>16677</c:v>
                </c:pt>
                <c:pt idx="10">
                  <c:v>0</c:v>
                </c:pt>
              </c:numCache>
            </c:numRef>
          </c:val>
          <c:extLst>
            <c:ext xmlns:c16="http://schemas.microsoft.com/office/drawing/2014/chart" uri="{C3380CC4-5D6E-409C-BE32-E72D297353CC}">
              <c16:uniqueId val="{00000000-BD02-4BA6-B430-762D20ABE7A1}"/>
            </c:ext>
          </c:extLst>
        </c:ser>
        <c:dLbls>
          <c:showLegendKey val="0"/>
          <c:showVal val="0"/>
          <c:showCatName val="0"/>
          <c:showSerName val="0"/>
          <c:showPercent val="0"/>
          <c:showBubbleSize val="0"/>
        </c:dLbls>
        <c:gapWidth val="150"/>
        <c:axId val="65980288"/>
        <c:axId val="65981824"/>
      </c:barChart>
      <c:catAx>
        <c:axId val="65980288"/>
        <c:scaling>
          <c:orientation val="minMax"/>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81824"/>
        <c:crosses val="autoZero"/>
        <c:auto val="1"/>
        <c:lblAlgn val="ctr"/>
        <c:lblOffset val="100"/>
        <c:noMultiLvlLbl val="0"/>
      </c:catAx>
      <c:valAx>
        <c:axId val="65981824"/>
        <c:scaling>
          <c:orientation val="minMax"/>
        </c:scaling>
        <c:delete val="0"/>
        <c:axPos val="b"/>
        <c:majorGridlines/>
        <c:numFmt formatCode="#,##0_);\(#,##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59802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7.0396797979677657E-3"/>
          <c:y val="0"/>
        </c:manualLayout>
      </c:layout>
      <c:overlay val="0"/>
      <c:txPr>
        <a:bodyPr/>
        <a:lstStyle/>
        <a:p>
          <a:pPr>
            <a:defRPr sz="1800" b="1" i="0" u="none" strike="noStrike" baseline="0">
              <a:solidFill>
                <a:srgbClr val="000000"/>
              </a:solidFill>
              <a:latin typeface="Calibri"/>
              <a:ea typeface="Calibri"/>
              <a:cs typeface="Calibri"/>
            </a:defRPr>
          </a:pPr>
          <a:endParaRPr lang="en-US"/>
        </a:p>
      </c:txPr>
    </c:title>
    <c:autoTitleDeleted val="0"/>
    <c:view3D>
      <c:rotX val="75"/>
      <c:rotY val="0"/>
      <c:rAngAx val="0"/>
    </c:view3D>
    <c:floor>
      <c:thickness val="0"/>
    </c:floor>
    <c:sideWall>
      <c:thickness val="0"/>
    </c:sideWall>
    <c:backWall>
      <c:thickness val="0"/>
    </c:backWall>
    <c:plotArea>
      <c:layout>
        <c:manualLayout>
          <c:layoutTarget val="inner"/>
          <c:xMode val="edge"/>
          <c:yMode val="edge"/>
          <c:x val="8.2685820932767537E-2"/>
          <c:y val="0.26211315076275804"/>
          <c:w val="0.91133485517158508"/>
          <c:h val="0.71942319758843232"/>
        </c:manualLayout>
      </c:layout>
      <c:pie3DChart>
        <c:varyColors val="1"/>
        <c:ser>
          <c:idx val="0"/>
          <c:order val="0"/>
          <c:tx>
            <c:strRef>
              <c:f>'Report 2'!$B$24</c:f>
              <c:strCache>
                <c:ptCount val="1"/>
                <c:pt idx="0">
                  <c:v>Savings (kWh)</c:v>
                </c:pt>
              </c:strCache>
            </c:strRef>
          </c:tx>
          <c:dPt>
            <c:idx val="0"/>
            <c:bubble3D val="0"/>
            <c:extLst>
              <c:ext xmlns:c16="http://schemas.microsoft.com/office/drawing/2014/chart" uri="{C3380CC4-5D6E-409C-BE32-E72D297353CC}">
                <c16:uniqueId val="{00000000-A5F1-42D1-A869-A722DE18FED9}"/>
              </c:ext>
            </c:extLst>
          </c:dPt>
          <c:dPt>
            <c:idx val="1"/>
            <c:bubble3D val="0"/>
            <c:extLst>
              <c:ext xmlns:c16="http://schemas.microsoft.com/office/drawing/2014/chart" uri="{C3380CC4-5D6E-409C-BE32-E72D297353CC}">
                <c16:uniqueId val="{00000001-A5F1-42D1-A869-A722DE18FED9}"/>
              </c:ext>
            </c:extLst>
          </c:dPt>
          <c:dPt>
            <c:idx val="2"/>
            <c:bubble3D val="0"/>
            <c:extLst>
              <c:ext xmlns:c16="http://schemas.microsoft.com/office/drawing/2014/chart" uri="{C3380CC4-5D6E-409C-BE32-E72D297353CC}">
                <c16:uniqueId val="{00000002-A5F1-42D1-A869-A722DE18FED9}"/>
              </c:ext>
            </c:extLst>
          </c:dPt>
          <c:cat>
            <c:strRef>
              <c:f>Tables!$B$94:$B$103</c:f>
              <c:strCache>
                <c:ptCount val="10"/>
                <c:pt idx="0">
                  <c:v>Residential</c:v>
                </c:pt>
                <c:pt idx="1">
                  <c:v>Commercial &amp; Industrial</c:v>
                </c:pt>
                <c:pt idx="2">
                  <c:v>Small Business/C&amp;I</c:v>
                </c:pt>
                <c:pt idx="3">
                  <c:v>Res/Small Business</c:v>
                </c:pt>
                <c:pt idx="4">
                  <c:v>Res/C&amp;I</c:v>
                </c:pt>
                <c:pt idx="5">
                  <c:v>Small Business</c:v>
                </c:pt>
                <c:pt idx="6">
                  <c:v>Municipalities/Schools</c:v>
                </c:pt>
                <c:pt idx="7">
                  <c:v>Agriculture</c:v>
                </c:pt>
                <c:pt idx="8">
                  <c:v>Other</c:v>
                </c:pt>
                <c:pt idx="9">
                  <c:v>All Classes</c:v>
                </c:pt>
              </c:strCache>
            </c:strRef>
          </c:cat>
          <c:val>
            <c:numRef>
              <c:f>[0]!Graph_2</c:f>
              <c:numCache>
                <c:formatCode>General</c:formatCode>
                <c:ptCount val="5"/>
                <c:pt idx="0">
                  <c:v>15077793</c:v>
                </c:pt>
                <c:pt idx="1">
                  <c:v>10534008</c:v>
                </c:pt>
                <c:pt idx="2">
                  <c:v>6060578</c:v>
                </c:pt>
                <c:pt idx="3">
                  <c:v>5911929</c:v>
                </c:pt>
                <c:pt idx="4">
                  <c:v>727832</c:v>
                </c:pt>
              </c:numCache>
            </c:numRef>
          </c:val>
          <c:extLst>
            <c:ext xmlns:c16="http://schemas.microsoft.com/office/drawing/2014/chart" uri="{C3380CC4-5D6E-409C-BE32-E72D297353CC}">
              <c16:uniqueId val="{00000003-A5F1-42D1-A869-A722DE18FED9}"/>
            </c:ext>
          </c:extLst>
        </c:ser>
        <c:dLbls>
          <c:showLegendKey val="0"/>
          <c:showVal val="0"/>
          <c:showCatName val="0"/>
          <c:showSerName val="0"/>
          <c:showPercent val="0"/>
          <c:showBubbleSize val="0"/>
          <c:showLeaderLines val="1"/>
        </c:dLbls>
      </c:pie3DChart>
      <c:spPr>
        <a:noFill/>
        <a:ln w="25400">
          <a:no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Cost!A1"/><Relationship Id="rId2" Type="http://schemas.openxmlformats.org/officeDocument/2006/relationships/hyperlink" Target="#List!A1"/><Relationship Id="rId1" Type="http://schemas.openxmlformats.org/officeDocument/2006/relationships/hyperlink" Target="#'Main Menu'!A1"/></Relationships>
</file>

<file path=xl/drawings/_rels/drawing10.xml.rels><?xml version="1.0" encoding="UTF-8" standalone="yes"?>
<Relationships xmlns="http://schemas.openxmlformats.org/package/2006/relationships"><Relationship Id="rId1" Type="http://schemas.openxmlformats.org/officeDocument/2006/relationships/hyperlink" Target="#Training!A3"/></Relationships>
</file>

<file path=xl/drawings/_rels/drawing11.xml.rels><?xml version="1.0" encoding="UTF-8" standalone="yes"?>
<Relationships xmlns="http://schemas.openxmlformats.org/package/2006/relationships"><Relationship Id="rId1" Type="http://schemas.openxmlformats.org/officeDocument/2006/relationships/hyperlink" Target="#Training!A3"/></Relationships>
</file>

<file path=xl/drawings/_rels/drawing12.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Training!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Training!A3"/><Relationship Id="rId4" Type="http://schemas.openxmlformats.org/officeDocument/2006/relationships/hyperlink" Target="#'Savings &amp; Participants'!A6"/></Relationships>
</file>

<file path=xl/drawings/_rels/drawing13.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LCFC!A3"/><Relationship Id="rId7" Type="http://schemas.openxmlformats.org/officeDocument/2006/relationships/hyperlink" Target="#'Rec2'!A1"/><Relationship Id="rId2" Type="http://schemas.openxmlformats.org/officeDocument/2006/relationships/hyperlink" Target="#'Cost-Benefits'!A7"/><Relationship Id="rId1" Type="http://schemas.openxmlformats.org/officeDocument/2006/relationships/hyperlink" Target="#'Evaluated Savings'!A6"/><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14.xml.rels><?xml version="1.0" encoding="UTF-8" standalone="yes"?>
<Relationships xmlns="http://schemas.openxmlformats.org/package/2006/relationships"><Relationship Id="rId1" Type="http://schemas.openxmlformats.org/officeDocument/2006/relationships/hyperlink" Target="#'Actual Expenses'!A5"/></Relationships>
</file>

<file path=xl/drawings/_rels/drawing15.xml.rels><?xml version="1.0" encoding="UTF-8" standalone="yes"?>
<Relationships xmlns="http://schemas.openxmlformats.org/package/2006/relationships"><Relationship Id="rId8" Type="http://schemas.openxmlformats.org/officeDocument/2006/relationships/hyperlink" Target="#'Savings Methodology'!A1"/><Relationship Id="rId3" Type="http://schemas.openxmlformats.org/officeDocument/2006/relationships/hyperlink" Target="#'Cost-Benefits'!A7"/><Relationship Id="rId7" Type="http://schemas.openxmlformats.org/officeDocument/2006/relationships/hyperlink" Target="#'Main Menu'!A1"/><Relationship Id="rId2" Type="http://schemas.openxmlformats.org/officeDocument/2006/relationships/hyperlink" Target="#'Actual Expenses'!D5"/><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4" Type="http://schemas.openxmlformats.org/officeDocument/2006/relationships/hyperlink" Target="#LCFC!A3"/></Relationships>
</file>

<file path=xl/drawings/_rels/drawing16.xml.rels><?xml version="1.0" encoding="UTF-8" standalone="yes"?>
<Relationships xmlns="http://schemas.openxmlformats.org/package/2006/relationships"><Relationship Id="rId1" Type="http://schemas.openxmlformats.org/officeDocument/2006/relationships/hyperlink" Target="#'Evaluated Savings'!A6"/></Relationships>
</file>

<file path=xl/drawings/_rels/drawing17.xml.rels><?xml version="1.0" encoding="UTF-8" standalone="yes"?>
<Relationships xmlns="http://schemas.openxmlformats.org/package/2006/relationships"><Relationship Id="rId8" Type="http://schemas.openxmlformats.org/officeDocument/2006/relationships/hyperlink" Target="#'Other CB Test'!A1"/><Relationship Id="rId3" Type="http://schemas.openxmlformats.org/officeDocument/2006/relationships/hyperlink" Target="#'Evaluated Savings'!D6"/><Relationship Id="rId7" Type="http://schemas.openxmlformats.org/officeDocument/2006/relationships/hyperlink" Target="#'Main Menu'!A1"/><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Not Used2'!A3"/><Relationship Id="rId5" Type="http://schemas.openxmlformats.org/officeDocument/2006/relationships/hyperlink" Target="#Incentives!A3"/><Relationship Id="rId10" Type="http://schemas.openxmlformats.org/officeDocument/2006/relationships/hyperlink" Target="#NEBs!A4"/><Relationship Id="rId4" Type="http://schemas.openxmlformats.org/officeDocument/2006/relationships/hyperlink" Target="#LCFC!A3"/><Relationship Id="rId9" Type="http://schemas.openxmlformats.org/officeDocument/2006/relationships/hyperlink" Target="#'Key Assumptions'!A4"/></Relationships>
</file>

<file path=xl/drawings/_rels/drawing18.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19.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xml.rels><?xml version="1.0" encoding="UTF-8" standalone="yes"?>
<Relationships xmlns="http://schemas.openxmlformats.org/package/2006/relationships"><Relationship Id="rId8" Type="http://schemas.openxmlformats.org/officeDocument/2006/relationships/hyperlink" Target="#'PY Data'!A3"/><Relationship Id="rId13" Type="http://schemas.openxmlformats.org/officeDocument/2006/relationships/hyperlink" Target="#'Table 4'!A1"/><Relationship Id="rId3" Type="http://schemas.openxmlformats.org/officeDocument/2006/relationships/image" Target="../media/image1.jpeg"/><Relationship Id="rId7" Type="http://schemas.openxmlformats.org/officeDocument/2006/relationships/hyperlink" Target="#'Next Years'!A1"/><Relationship Id="rId12" Type="http://schemas.openxmlformats.org/officeDocument/2006/relationships/hyperlink" Target="#'Table 5'!A1"/><Relationship Id="rId2" Type="http://schemas.openxmlformats.org/officeDocument/2006/relationships/hyperlink" Target="#'Utility Information'!A3"/><Relationship Id="rId16" Type="http://schemas.openxmlformats.org/officeDocument/2006/relationships/hyperlink" Target="#'Table 2'!A1"/><Relationship Id="rId1" Type="http://schemas.openxmlformats.org/officeDocument/2006/relationships/hyperlink" Target="#'Actual Expenses'!A5"/><Relationship Id="rId6" Type="http://schemas.openxmlformats.org/officeDocument/2006/relationships/hyperlink" Target="#'Prior Year Progam'!A1"/><Relationship Id="rId11" Type="http://schemas.openxmlformats.org/officeDocument/2006/relationships/hyperlink" Target="#'Report 1'!A1"/><Relationship Id="rId5" Type="http://schemas.openxmlformats.org/officeDocument/2006/relationships/hyperlink" Target="#Glossary!A4"/><Relationship Id="rId15" Type="http://schemas.openxmlformats.org/officeDocument/2006/relationships/hyperlink" Target="#'Table 1'!A1"/><Relationship Id="rId10" Type="http://schemas.openxmlformats.org/officeDocument/2006/relationships/hyperlink" Target="#'Report 2'!A1"/><Relationship Id="rId4" Type="http://schemas.openxmlformats.org/officeDocument/2006/relationships/hyperlink" Target="#Instructions!A3"/><Relationship Id="rId9" Type="http://schemas.openxmlformats.org/officeDocument/2006/relationships/hyperlink" Target="#'Report 3'!A1"/><Relationship Id="rId14" Type="http://schemas.openxmlformats.org/officeDocument/2006/relationships/hyperlink" Target="#'Table 3'!A1"/></Relationships>
</file>

<file path=xl/drawings/_rels/drawing20.xml.rels><?xml version="1.0" encoding="UTF-8" standalone="yes"?>
<Relationships xmlns="http://schemas.openxmlformats.org/package/2006/relationships"><Relationship Id="rId1" Type="http://schemas.openxmlformats.org/officeDocument/2006/relationships/hyperlink" Target="#'Cost-Benefits'!A7"/></Relationships>
</file>

<file path=xl/drawings/_rels/drawing21.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Incentives!A3"/></Relationships>
</file>

<file path=xl/drawings/_rels/drawing22.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Not Used2'!A3"/><Relationship Id="rId4" Type="http://schemas.openxmlformats.org/officeDocument/2006/relationships/hyperlink" Target="#LCFC!A3"/></Relationships>
</file>

<file path=xl/drawings/_rels/drawing23.xml.rels><?xml version="1.0" encoding="UTF-8" standalone="yes"?>
<Relationships xmlns="http://schemas.openxmlformats.org/package/2006/relationships"><Relationship Id="rId3" Type="http://schemas.openxmlformats.org/officeDocument/2006/relationships/hyperlink" Target="#'Cost-Benefits'!A7"/><Relationship Id="rId2" Type="http://schemas.openxmlformats.org/officeDocument/2006/relationships/hyperlink" Target="#'Evaluated Savings'!A6"/><Relationship Id="rId1" Type="http://schemas.openxmlformats.org/officeDocument/2006/relationships/hyperlink" Target="#'Actual Expenses'!A5"/><Relationship Id="rId6" Type="http://schemas.openxmlformats.org/officeDocument/2006/relationships/hyperlink" Target="#'Main Menu'!A1"/><Relationship Id="rId5" Type="http://schemas.openxmlformats.org/officeDocument/2006/relationships/hyperlink" Target="#Incentives!A3"/><Relationship Id="rId4" Type="http://schemas.openxmlformats.org/officeDocument/2006/relationships/hyperlink" Target="#LCFC!A3"/></Relationships>
</file>

<file path=xl/drawings/_rels/drawing24.xml.rels><?xml version="1.0" encoding="UTF-8" standalone="yes"?>
<Relationships xmlns="http://schemas.openxmlformats.org/package/2006/relationships"><Relationship Id="rId2" Type="http://schemas.openxmlformats.org/officeDocument/2006/relationships/hyperlink" Target="#'Prior Year Portfolio'!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ior Year Progam'!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Program Descriptions'!A5"/></Relationships>
</file>

<file path=xl/drawings/_rels/drawing28.xml.rels><?xml version="1.0" encoding="UTF-8" standalone="yes"?>
<Relationships xmlns="http://schemas.openxmlformats.org/package/2006/relationships"><Relationship Id="rId1" Type="http://schemas.openxmlformats.org/officeDocument/2006/relationships/hyperlink" Target="#'Savings &amp; Participants'!A6"/></Relationships>
</file>

<file path=xl/drawings/_rels/drawing29.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xml.rels><?xml version="1.0" encoding="UTF-8" standalone="yes"?>
<Relationships xmlns="http://schemas.openxmlformats.org/package/2006/relationships"><Relationship Id="rId3" Type="http://schemas.openxmlformats.org/officeDocument/2006/relationships/hyperlink" Target="#'Savings &amp; Participants'!A6"/><Relationship Id="rId2" Type="http://schemas.openxmlformats.org/officeDocument/2006/relationships/hyperlink" Target="#Budgets!A5"/><Relationship Id="rId1" Type="http://schemas.openxmlformats.org/officeDocument/2006/relationships/hyperlink" Target="#'Program Descriptions'!A5"/><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30.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1.xml.rels><?xml version="1.0" encoding="UTF-8" standalone="yes"?>
<Relationships xmlns="http://schemas.openxmlformats.org/package/2006/relationships"><Relationship Id="rId1" Type="http://schemas.openxmlformats.org/officeDocument/2006/relationships/hyperlink" Target="#'Program Detail'!A5"/></Relationships>
</file>

<file path=xl/drawings/_rels/drawing32.xml.rels><?xml version="1.0" encoding="UTF-8" standalone="yes"?>
<Relationships xmlns="http://schemas.openxmlformats.org/package/2006/relationships"><Relationship Id="rId3" Type="http://schemas.openxmlformats.org/officeDocument/2006/relationships/hyperlink" Target="#'Actual Expenses'!A5"/><Relationship Id="rId2" Type="http://schemas.openxmlformats.org/officeDocument/2006/relationships/hyperlink" Target="#Budgets!A5"/><Relationship Id="rId1" Type="http://schemas.openxmlformats.org/officeDocument/2006/relationships/hyperlink" Target="#Instructions!A3"/></Relationships>
</file>

<file path=xl/drawings/_rels/drawing33.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4.xml.rels><?xml version="1.0" encoding="UTF-8" standalone="yes"?>
<Relationships xmlns="http://schemas.openxmlformats.org/package/2006/relationships"><Relationship Id="rId2" Type="http://schemas.openxmlformats.org/officeDocument/2006/relationships/hyperlink" Target="#'Table 2'!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3" Type="http://schemas.openxmlformats.org/officeDocument/2006/relationships/hyperlink" Target="#'Table 1'!A3"/><Relationship Id="rId2" Type="http://schemas.openxmlformats.org/officeDocument/2006/relationships/hyperlink" Target="#'Table 3'!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3" Type="http://schemas.openxmlformats.org/officeDocument/2006/relationships/hyperlink" Target="#'Table 4'!A1"/><Relationship Id="rId2" Type="http://schemas.openxmlformats.org/officeDocument/2006/relationships/chart" Target="../charts/chart1.xml"/><Relationship Id="rId1" Type="http://schemas.openxmlformats.org/officeDocument/2006/relationships/hyperlink" Target="#'Main Menu'!A1"/><Relationship Id="rId4" Type="http://schemas.openxmlformats.org/officeDocument/2006/relationships/hyperlink" Target="#'Table 2'!A3"/></Relationships>
</file>

<file path=xl/drawings/_rels/drawing37.xml.rels><?xml version="1.0" encoding="UTF-8" standalone="yes"?>
<Relationships xmlns="http://schemas.openxmlformats.org/package/2006/relationships"><Relationship Id="rId3" Type="http://schemas.openxmlformats.org/officeDocument/2006/relationships/hyperlink" Target="#'Table 5'!A1"/><Relationship Id="rId2" Type="http://schemas.openxmlformats.org/officeDocument/2006/relationships/chart" Target="../charts/chart2.xml"/><Relationship Id="rId1" Type="http://schemas.openxmlformats.org/officeDocument/2006/relationships/hyperlink" Target="#'Main Menu'!A1"/><Relationship Id="rId4" Type="http://schemas.openxmlformats.org/officeDocument/2006/relationships/hyperlink" Target="#'Table 3'!A3"/></Relationships>
</file>

<file path=xl/drawings/_rels/drawing38.xml.rels><?xml version="1.0" encoding="UTF-8" standalone="yes"?>
<Relationships xmlns="http://schemas.openxmlformats.org/package/2006/relationships"><Relationship Id="rId3" Type="http://schemas.openxmlformats.org/officeDocument/2006/relationships/hyperlink" Target="#'Table 4'!A3"/><Relationship Id="rId2" Type="http://schemas.openxmlformats.org/officeDocument/2006/relationships/chart" Target="../charts/chart3.xml"/><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Main Menu'!A1"/><Relationship Id="rId4" Type="http://schemas.openxmlformats.org/officeDocument/2006/relationships/hyperlink" Target="#'Report 2'!A1"/></Relationships>
</file>

<file path=xl/drawings/_rels/drawing4.xml.rels><?xml version="1.0" encoding="UTF-8" standalone="yes"?>
<Relationships xmlns="http://schemas.openxmlformats.org/package/2006/relationships"><Relationship Id="rId8" Type="http://schemas.openxmlformats.org/officeDocument/2006/relationships/hyperlink" Target="#'Definition-Program Type'!A4"/><Relationship Id="rId3" Type="http://schemas.openxmlformats.org/officeDocument/2006/relationships/hyperlink" Target="#'Savings &amp; Participants'!A6"/><Relationship Id="rId7" Type="http://schemas.openxmlformats.org/officeDocument/2006/relationships/hyperlink" Target="#'Program Detail'!A5"/><Relationship Id="rId2" Type="http://schemas.openxmlformats.org/officeDocument/2006/relationships/hyperlink" Target="#Budget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40.xml.rels><?xml version="1.0" encoding="UTF-8" standalone="yes"?>
<Relationships xmlns="http://schemas.openxmlformats.org/package/2006/relationships"><Relationship Id="rId3" Type="http://schemas.openxmlformats.org/officeDocument/2006/relationships/hyperlink" Target="#'Report 3'!A1"/><Relationship Id="rId2" Type="http://schemas.openxmlformats.org/officeDocument/2006/relationships/chart" Target="../charts/chart6.xml"/><Relationship Id="rId1" Type="http://schemas.openxmlformats.org/officeDocument/2006/relationships/hyperlink" Target="#'Main Menu'!A1"/><Relationship Id="rId4" Type="http://schemas.openxmlformats.org/officeDocument/2006/relationships/hyperlink" Target="#'Report 1'!A3"/></Relationships>
</file>

<file path=xl/drawings/_rels/drawing41.xml.rels><?xml version="1.0" encoding="UTF-8" standalone="yes"?>
<Relationships xmlns="http://schemas.openxmlformats.org/package/2006/relationships"><Relationship Id="rId2" Type="http://schemas.openxmlformats.org/officeDocument/2006/relationships/hyperlink" Target="#'Report 2'!A3"/><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3" Type="http://schemas.openxmlformats.org/officeDocument/2006/relationships/hyperlink" Target="#'Definition-C&amp;I'!A4"/><Relationship Id="rId2" Type="http://schemas.openxmlformats.org/officeDocument/2006/relationships/hyperlink" Target="#'Definition-Res'!A4"/><Relationship Id="rId1" Type="http://schemas.openxmlformats.org/officeDocument/2006/relationships/hyperlink" Target="#'Program Descriptions'!A5"/><Relationship Id="rId4" Type="http://schemas.openxmlformats.org/officeDocument/2006/relationships/hyperlink" Target="#'Definition-CS'!A4"/></Relationships>
</file>

<file path=xl/drawings/_rels/drawing6.xml.rels><?xml version="1.0" encoding="UTF-8" standalone="yes"?>
<Relationships xmlns="http://schemas.openxmlformats.org/package/2006/relationships"><Relationship Id="rId8" Type="http://schemas.openxmlformats.org/officeDocument/2006/relationships/hyperlink" Target="#Cost!A4"/><Relationship Id="rId3" Type="http://schemas.openxmlformats.org/officeDocument/2006/relationships/hyperlink" Target="#'Savings &amp; Participants'!A6"/><Relationship Id="rId7" Type="http://schemas.openxmlformats.org/officeDocument/2006/relationships/hyperlink" Target="#'Rec1'!A1"/><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7.xml.rels><?xml version="1.0" encoding="UTF-8" standalone="yes"?>
<Relationships xmlns="http://schemas.openxmlformats.org/package/2006/relationships"><Relationship Id="rId1" Type="http://schemas.openxmlformats.org/officeDocument/2006/relationships/hyperlink" Target="#Budgets!A5"/></Relationships>
</file>

<file path=xl/drawings/_rels/drawing8.xml.rels><?xml version="1.0" encoding="UTF-8" standalone="yes"?>
<Relationships xmlns="http://schemas.openxmlformats.org/package/2006/relationships"><Relationship Id="rId3" Type="http://schemas.openxmlformats.org/officeDocument/2006/relationships/hyperlink" Target="#Budgets!A5"/><Relationship Id="rId7" Type="http://schemas.openxmlformats.org/officeDocument/2006/relationships/hyperlink" Target="#'Definition-Participants'!A3"/><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Training!A3"/></Relationships>
</file>

<file path=xl/drawings/_rels/drawing9.xml.rels><?xml version="1.0" encoding="UTF-8" standalone="yes"?>
<Relationships xmlns="http://schemas.openxmlformats.org/package/2006/relationships"><Relationship Id="rId8" Type="http://schemas.openxmlformats.org/officeDocument/2006/relationships/hyperlink" Target="#Internal!A7"/><Relationship Id="rId3" Type="http://schemas.openxmlformats.org/officeDocument/2006/relationships/hyperlink" Target="#Budgets!A5"/><Relationship Id="rId7" Type="http://schemas.openxmlformats.org/officeDocument/2006/relationships/hyperlink" Target="#External!A7"/><Relationship Id="rId2" Type="http://schemas.openxmlformats.org/officeDocument/2006/relationships/hyperlink" Target="#'Program Descriptions'!A5"/><Relationship Id="rId1" Type="http://schemas.openxmlformats.org/officeDocument/2006/relationships/hyperlink" Target="#'Utility Information'!A3"/><Relationship Id="rId6" Type="http://schemas.openxmlformats.org/officeDocument/2006/relationships/hyperlink" Target="#'Main Menu'!A1"/><Relationship Id="rId5" Type="http://schemas.openxmlformats.org/officeDocument/2006/relationships/hyperlink" Target="#'Not Used1'!A3"/><Relationship Id="rId4" Type="http://schemas.openxmlformats.org/officeDocument/2006/relationships/hyperlink" Target="#'Savings &amp; Participants'!A6"/></Relationships>
</file>

<file path=xl/drawings/drawing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431717</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fPrintsWithSheet="0"/>
  </xdr:twoCellAnchor>
  <xdr:twoCellAnchor>
    <xdr:from>
      <xdr:col>4</xdr:col>
      <xdr:colOff>4563341</xdr:colOff>
      <xdr:row>53</xdr:row>
      <xdr:rowOff>0</xdr:rowOff>
    </xdr:from>
    <xdr:to>
      <xdr:col>4</xdr:col>
      <xdr:colOff>5565374</xdr:colOff>
      <xdr:row>54</xdr:row>
      <xdr:rowOff>0</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100-000006000000}"/>
            </a:ext>
          </a:extLst>
        </xdr:cNvPr>
        <xdr:cNvSpPr/>
      </xdr:nvSpPr>
      <xdr:spPr>
        <a:xfrm>
          <a:off x="5922818" y="10668000"/>
          <a:ext cx="1002033" cy="33770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List</a:t>
          </a:r>
        </a:p>
      </xdr:txBody>
    </xdr:sp>
    <xdr:clientData/>
  </xdr:twoCellAnchor>
  <xdr:twoCellAnchor>
    <xdr:from>
      <xdr:col>4</xdr:col>
      <xdr:colOff>5717945</xdr:colOff>
      <xdr:row>53</xdr:row>
      <xdr:rowOff>8659</xdr:rowOff>
    </xdr:from>
    <xdr:to>
      <xdr:col>4</xdr:col>
      <xdr:colOff>6719978</xdr:colOff>
      <xdr:row>54</xdr:row>
      <xdr:rowOff>8660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0100-000007000000}"/>
            </a:ext>
          </a:extLst>
        </xdr:cNvPr>
        <xdr:cNvSpPr/>
      </xdr:nvSpPr>
      <xdr:spPr>
        <a:xfrm>
          <a:off x="7042786" y="10676659"/>
          <a:ext cx="1002033" cy="225137"/>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Cost</a:t>
          </a:r>
        </a:p>
      </xdr:txBody>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76200</xdr:colOff>
      <xdr:row>1</xdr:row>
      <xdr:rowOff>96679</xdr:rowOff>
    </xdr:from>
    <xdr:to>
      <xdr:col>4</xdr:col>
      <xdr:colOff>210502</xdr:colOff>
      <xdr:row>1</xdr:row>
      <xdr:rowOff>325279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4" name="Rounded Rectangle 6">
          <a:extLst>
            <a:ext uri="{FF2B5EF4-FFF2-40B4-BE49-F238E27FC236}">
              <a16:creationId xmlns:a16="http://schemas.microsoft.com/office/drawing/2014/main" id="{00000000-0008-0000-0900-000004000000}"/>
            </a:ext>
          </a:extLst>
        </xdr:cNvPr>
        <xdr:cNvSpPr>
          <a:spLocks noChangeArrowheads="1"/>
        </xdr:cNvSpPr>
      </xdr:nvSpPr>
      <xdr:spPr bwMode="auto">
        <a:xfrm>
          <a:off x="95250" y="547688"/>
          <a:ext cx="11060906"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external training.  To add additional rows select the far right cell in the last numbered row and press  the 'tab' button.</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76200</xdr:colOff>
      <xdr:row>1</xdr:row>
      <xdr:rowOff>96679</xdr:rowOff>
    </xdr:from>
    <xdr:to>
      <xdr:col>4</xdr:col>
      <xdr:colOff>210502</xdr:colOff>
      <xdr:row>1</xdr:row>
      <xdr:rowOff>325279</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A00-000002000000}"/>
            </a:ext>
          </a:extLst>
        </xdr:cNvPr>
        <xdr:cNvSpPr/>
      </xdr:nvSpPr>
      <xdr:spPr>
        <a:xfrm>
          <a:off x="142875" y="150019"/>
          <a:ext cx="10048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23812</xdr:colOff>
      <xdr:row>2</xdr:row>
      <xdr:rowOff>0</xdr:rowOff>
    </xdr:from>
    <xdr:to>
      <xdr:col>14</xdr:col>
      <xdr:colOff>142875</xdr:colOff>
      <xdr:row>2</xdr:row>
      <xdr:rowOff>559593</xdr:rowOff>
    </xdr:to>
    <xdr:sp macro="" textlink="">
      <xdr:nvSpPr>
        <xdr:cNvPr id="3" name="Rounded Rectangle 6">
          <a:extLst>
            <a:ext uri="{FF2B5EF4-FFF2-40B4-BE49-F238E27FC236}">
              <a16:creationId xmlns:a16="http://schemas.microsoft.com/office/drawing/2014/main" id="{00000000-0008-0000-0A00-000003000000}"/>
            </a:ext>
          </a:extLst>
        </xdr:cNvPr>
        <xdr:cNvSpPr>
          <a:spLocks noChangeArrowheads="1"/>
        </xdr:cNvSpPr>
      </xdr:nvSpPr>
      <xdr:spPr bwMode="auto">
        <a:xfrm>
          <a:off x="90487" y="542925"/>
          <a:ext cx="11072813" cy="55959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100" b="1" i="0" u="none" strike="noStrike" baseline="0">
              <a:solidFill>
                <a:srgbClr val="000000"/>
              </a:solidFill>
              <a:latin typeface="Calibri"/>
              <a:cs typeface="Calibri"/>
            </a:rPr>
            <a:t>Instructions:  </a:t>
          </a:r>
          <a:r>
            <a:rPr lang="en-US" sz="1050" b="0" i="0" u="none" strike="noStrike" baseline="0">
              <a:solidFill>
                <a:srgbClr val="000000"/>
              </a:solidFill>
              <a:latin typeface="Calibri"/>
              <a:cs typeface="Calibri"/>
            </a:rPr>
            <a:t>Provide the required details for all internal training.  To add additional rows select the far right cell in the last numbered row and press  the 'tab' button.</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15</xdr:col>
      <xdr:colOff>0</xdr:colOff>
      <xdr:row>1</xdr:row>
      <xdr:rowOff>409575</xdr:rowOff>
    </xdr:to>
    <xdr:sp macro="" textlink="">
      <xdr:nvSpPr>
        <xdr:cNvPr id="1472681" name="Rectangle 365">
          <a:extLst>
            <a:ext uri="{FF2B5EF4-FFF2-40B4-BE49-F238E27FC236}">
              <a16:creationId xmlns:a16="http://schemas.microsoft.com/office/drawing/2014/main" id="{00000000-0008-0000-0B00-0000A97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479998</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B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B387605-01DA-4316-9625-9969F897CA6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483870</xdr:colOff>
      <xdr:row>0</xdr:row>
      <xdr:rowOff>66675</xdr:rowOff>
    </xdr:from>
    <xdr:to>
      <xdr:col>5</xdr:col>
      <xdr:colOff>518160</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B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F4CC15E-132F-416A-BAE4-EC25B1CD3B7B}"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5</xdr:col>
      <xdr:colOff>529590</xdr:colOff>
      <xdr:row>0</xdr:row>
      <xdr:rowOff>66675</xdr:rowOff>
    </xdr:from>
    <xdr:to>
      <xdr:col>7</xdr:col>
      <xdr:colOff>563880</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B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DEF0D8E-DCB5-47A6-A6ED-4DF4F0BC25BC}"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7</xdr:col>
      <xdr:colOff>588645</xdr:colOff>
      <xdr:row>0</xdr:row>
      <xdr:rowOff>66675</xdr:rowOff>
    </xdr:from>
    <xdr:to>
      <xdr:col>10</xdr:col>
      <xdr:colOff>15247</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B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32F82DC-1A74-4FB1-BB15-70219EB5FE69}"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10</xdr:col>
      <xdr:colOff>28575</xdr:colOff>
      <xdr:row>0</xdr:row>
      <xdr:rowOff>66675</xdr:rowOff>
    </xdr:from>
    <xdr:to>
      <xdr:col>12</xdr:col>
      <xdr:colOff>158140</xdr:colOff>
      <xdr:row>0</xdr:row>
      <xdr:rowOff>340995</xdr:rowOff>
    </xdr:to>
    <xdr:sp macro="" textlink="Titles!B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B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5481221-1105-4A53-B2EB-19751BEC6556}" type="TxLink">
            <a:rPr lang="en-US" sz="1000" b="1"/>
            <a:pPr algn="ctr"/>
            <a:t>Training</a:t>
          </a:fld>
          <a:endParaRPr lang="en-US" sz="1000" b="1"/>
        </a:p>
      </xdr:txBody>
    </xdr:sp>
    <xdr:clientData/>
  </xdr:twoCellAnchor>
  <xdr:twoCellAnchor editAs="absolute">
    <xdr:from>
      <xdr:col>12</xdr:col>
      <xdr:colOff>180974</xdr:colOff>
      <xdr:row>0</xdr:row>
      <xdr:rowOff>66675</xdr:rowOff>
    </xdr:from>
    <xdr:to>
      <xdr:col>15</xdr:col>
      <xdr:colOff>1924</xdr:colOff>
      <xdr:row>0</xdr:row>
      <xdr:rowOff>342900</xdr:rowOff>
    </xdr:to>
    <xdr:sp macro="" textlink="Titles!B7">
      <xdr:nvSpPr>
        <xdr:cNvPr id="8" name="Round Same Side Corner Rectangle 8">
          <a:extLst>
            <a:ext uri="{FF2B5EF4-FFF2-40B4-BE49-F238E27FC236}">
              <a16:creationId xmlns:a16="http://schemas.microsoft.com/office/drawing/2014/main" id="{00000000-0008-0000-0B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F6003520-FA2A-457C-AB35-6355C4BB7CF1}"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104775</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B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83820</xdr:colOff>
      <xdr:row>1</xdr:row>
      <xdr:rowOff>447674</xdr:rowOff>
    </xdr:from>
    <xdr:to>
      <xdr:col>14</xdr:col>
      <xdr:colOff>257180</xdr:colOff>
      <xdr:row>1</xdr:row>
      <xdr:rowOff>773472</xdr:rowOff>
    </xdr:to>
    <xdr:sp macro="" textlink="">
      <xdr:nvSpPr>
        <xdr:cNvPr id="10" name="Rounded Rectangle 6">
          <a:extLst>
            <a:ext uri="{FF2B5EF4-FFF2-40B4-BE49-F238E27FC236}">
              <a16:creationId xmlns:a16="http://schemas.microsoft.com/office/drawing/2014/main" id="{00000000-0008-0000-0B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sz="900"/>
        </a:p>
      </xdr:txBody>
    </xdr:sp>
    <xdr:clientData/>
  </xdr:twoCellAnchor>
  <xdr:twoCellAnchor editAs="absolute">
    <xdr:from>
      <xdr:col>3</xdr:col>
      <xdr:colOff>472440</xdr:colOff>
      <xdr:row>0</xdr:row>
      <xdr:rowOff>300021</xdr:rowOff>
    </xdr:from>
    <xdr:to>
      <xdr:col>12</xdr:col>
      <xdr:colOff>188597</xdr:colOff>
      <xdr:row>1</xdr:row>
      <xdr:rowOff>280857</xdr:rowOff>
    </xdr:to>
    <xdr:sp macro="" textlink="Titles!F5">
      <xdr:nvSpPr>
        <xdr:cNvPr id="11" name="TextBox 10">
          <a:extLst>
            <a:ext uri="{FF2B5EF4-FFF2-40B4-BE49-F238E27FC236}">
              <a16:creationId xmlns:a16="http://schemas.microsoft.com/office/drawing/2014/main" id="{00000000-0008-0000-0B00-00000B000000}"/>
            </a:ext>
          </a:extLst>
        </xdr:cNvPr>
        <xdr:cNvSpPr txBox="1"/>
      </xdr:nvSpPr>
      <xdr:spPr>
        <a:xfrm>
          <a:off x="1548765" y="300021"/>
          <a:ext cx="593598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296719BC-AF44-49B3-AE4C-637F0D5510CD}" type="TxLink">
            <a:rPr lang="en-US" sz="1600" b="1" i="1" u="none"/>
            <a:pPr algn="ctr"/>
            <a:t>SWEPCO - 2025 EE Portfolio Information</a:t>
          </a:fld>
          <a:endParaRPr lang="en-US" sz="1600" b="1" i="1" u="none"/>
        </a:p>
      </xdr:txBody>
    </xdr:sp>
    <xdr:clientData/>
  </xdr:twoCellAnchor>
  <xdr:twoCellAnchor editAs="absolute">
    <xdr:from>
      <xdr:col>4</xdr:col>
      <xdr:colOff>445770</xdr:colOff>
      <xdr:row>1</xdr:row>
      <xdr:rowOff>142875</xdr:rowOff>
    </xdr:from>
    <xdr:to>
      <xdr:col>11</xdr:col>
      <xdr:colOff>104778</xdr:colOff>
      <xdr:row>1</xdr:row>
      <xdr:rowOff>423080</xdr:rowOff>
    </xdr:to>
    <xdr:sp macro="" textlink="Titles!B7">
      <xdr:nvSpPr>
        <xdr:cNvPr id="12" name="TextBox 11">
          <a:extLst>
            <a:ext uri="{FF2B5EF4-FFF2-40B4-BE49-F238E27FC236}">
              <a16:creationId xmlns:a16="http://schemas.microsoft.com/office/drawing/2014/main" id="{00000000-0008-0000-0B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E496AC1-0A19-4F5D-A7F4-B760F3155650}" type="TxLink">
            <a:rPr lang="en-US" sz="1200" b="0"/>
            <a:pPr algn="ctr"/>
            <a:t>Not Used</a:t>
          </a:fld>
          <a:endParaRPr lang="en-US" sz="1200" b="0"/>
        </a:p>
      </xdr:txBody>
    </xdr:sp>
    <xdr:clientData/>
  </xdr:twoCellAnchor>
  <xdr:twoCellAnchor editAs="absolute">
    <xdr:from>
      <xdr:col>12</xdr:col>
      <xdr:colOff>247650</xdr:colOff>
      <xdr:row>1</xdr:row>
      <xdr:rowOff>95250</xdr:rowOff>
    </xdr:from>
    <xdr:to>
      <xdr:col>13</xdr:col>
      <xdr:colOff>173355</xdr:colOff>
      <xdr:row>1</xdr:row>
      <xdr:rowOff>316230</xdr:rowOff>
    </xdr:to>
    <xdr:sp macro="" textlink="">
      <xdr:nvSpPr>
        <xdr:cNvPr id="13" name="Rounded Rectangle 12">
          <a:hlinkClick xmlns:r="http://schemas.openxmlformats.org/officeDocument/2006/relationships" r:id="rId7" tooltip="Click"/>
          <a:extLst>
            <a:ext uri="{FF2B5EF4-FFF2-40B4-BE49-F238E27FC236}">
              <a16:creationId xmlns:a16="http://schemas.microsoft.com/office/drawing/2014/main" id="{00000000-0008-0000-0B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13</xdr:col>
      <xdr:colOff>219075</xdr:colOff>
      <xdr:row>1</xdr:row>
      <xdr:rowOff>95250</xdr:rowOff>
    </xdr:from>
    <xdr:to>
      <xdr:col>14</xdr:col>
      <xdr:colOff>249555</xdr:colOff>
      <xdr:row>1</xdr:row>
      <xdr:rowOff>316230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0B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11</xdr:col>
      <xdr:colOff>0</xdr:colOff>
      <xdr:row>1</xdr:row>
      <xdr:rowOff>401955</xdr:rowOff>
    </xdr:to>
    <xdr:sp macro="" textlink="">
      <xdr:nvSpPr>
        <xdr:cNvPr id="1474742" name="Rectangle 365">
          <a:extLst>
            <a:ext uri="{FF2B5EF4-FFF2-40B4-BE49-F238E27FC236}">
              <a16:creationId xmlns:a16="http://schemas.microsoft.com/office/drawing/2014/main" id="{00000000-0008-0000-0C00-0000B68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extLst>
            <a:ext uri="{FF2B5EF4-FFF2-40B4-BE49-F238E27FC236}">
              <a16:creationId xmlns:a16="http://schemas.microsoft.com/office/drawing/2014/main" id="{00000000-0008-0000-0C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D0194FD-9543-4CE5-8BAC-C22EE0B9A4FC}" type="TxLink">
            <a:rPr lang="en-US" sz="1000" b="1">
              <a:solidFill>
                <a:sysClr val="windowText" lastClr="000000"/>
              </a:solidFill>
              <a:latin typeface="+mn-lt"/>
              <a:ea typeface="+mn-ea"/>
              <a:cs typeface="+mn-cs"/>
            </a:rPr>
            <a:pPr marL="0" indent="0" algn="ctr"/>
            <a:t>Actual Expenses</a:t>
          </a:fld>
          <a:endParaRPr lang="en-US" sz="1000" b="1">
            <a:solidFill>
              <a:sysClr val="windowText" lastClr="000000"/>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285752</xdr:colOff>
      <xdr:row>0</xdr:row>
      <xdr:rowOff>340995</xdr:rowOff>
    </xdr:to>
    <xdr:sp macro="" textlink="Titles!B1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C00-000004000000}"/>
            </a:ext>
          </a:extLst>
        </xdr:cNvPr>
        <xdr:cNvSpPr/>
      </xdr:nvSpPr>
      <xdr:spPr>
        <a:xfrm>
          <a:off x="156210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BB903B8-6F91-4099-84B6-C71FA8B07AD1}" type="TxLink">
            <a:rPr lang="en-US" sz="1000" b="1" i="0" u="none" strike="noStrike">
              <a:solidFill>
                <a:schemeClr val="bg1"/>
              </a:solidFill>
              <a:latin typeface="Calibri"/>
              <a:ea typeface="+mn-ea"/>
              <a:cs typeface="Calibri"/>
            </a:rPr>
            <a:pPr marL="0" indent="0" algn="ctr"/>
            <a:t>Evaluated Savings</a:t>
          </a:fld>
          <a:endParaRPr lang="en-US" sz="1000" b="1">
            <a:solidFill>
              <a:schemeClr val="bg1"/>
            </a:solidFill>
            <a:latin typeface="+mn-lt"/>
            <a:ea typeface="+mn-ea"/>
            <a:cs typeface="+mn-cs"/>
          </a:endParaRPr>
        </a:p>
      </xdr:txBody>
    </xdr:sp>
    <xdr:clientData/>
  </xdr:twoCellAnchor>
  <xdr:twoCellAnchor editAs="absolute">
    <xdr:from>
      <xdr:col>3</xdr:col>
      <xdr:colOff>283845</xdr:colOff>
      <xdr:row>0</xdr:row>
      <xdr:rowOff>59055</xdr:rowOff>
    </xdr:from>
    <xdr:to>
      <xdr:col>5</xdr:col>
      <xdr:colOff>88265</xdr:colOff>
      <xdr:row>0</xdr:row>
      <xdr:rowOff>340995</xdr:rowOff>
    </xdr:to>
    <xdr:sp macro="" textlink="Titles!B1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C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C6CCE04-727A-4005-80B8-4FCA64A5BD2B}" type="TxLink">
            <a:rPr lang="en-US" sz="1000" b="1" i="0" u="none" strike="noStrike">
              <a:solidFill>
                <a:schemeClr val="bg1"/>
              </a:solidFill>
              <a:latin typeface="Calibri"/>
              <a:cs typeface="Calibri"/>
            </a:rPr>
            <a:pPr algn="ctr"/>
            <a:t>Cost-Benefits</a:t>
          </a:fld>
          <a:endParaRPr lang="en-US" sz="1000" b="1">
            <a:solidFill>
              <a:schemeClr val="bg1"/>
            </a:solidFill>
          </a:endParaRPr>
        </a:p>
      </xdr:txBody>
    </xdr:sp>
    <xdr:clientData/>
  </xdr:twoCellAnchor>
  <xdr:twoCellAnchor editAs="absolute">
    <xdr:from>
      <xdr:col>5</xdr:col>
      <xdr:colOff>88265</xdr:colOff>
      <xdr:row>0</xdr:row>
      <xdr:rowOff>59055</xdr:rowOff>
    </xdr:from>
    <xdr:to>
      <xdr:col>6</xdr:col>
      <xdr:colOff>706682</xdr:colOff>
      <xdr:row>0</xdr:row>
      <xdr:rowOff>340995</xdr:rowOff>
    </xdr:to>
    <xdr:sp macro="" textlink="Titles!B1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C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747E2B2B-6D87-43D4-B286-0E36277201F6}" type="TxLink">
            <a:rPr lang="en-US" sz="1000" b="1" i="0" u="none" strike="noStrike">
              <a:solidFill>
                <a:schemeClr val="bg1"/>
              </a:solidFill>
              <a:latin typeface="Calibri"/>
              <a:cs typeface="Calibri"/>
            </a:rPr>
            <a:pPr algn="ctr"/>
            <a:t>LCFC</a:t>
          </a:fld>
          <a:endParaRPr lang="en-US" sz="1000" b="1">
            <a:solidFill>
              <a:schemeClr val="bg1"/>
            </a:solidFill>
          </a:endParaRPr>
        </a:p>
      </xdr:txBody>
    </xdr:sp>
    <xdr:clientData/>
  </xdr:twoCellAnchor>
  <xdr:twoCellAnchor editAs="absolute">
    <xdr:from>
      <xdr:col>6</xdr:col>
      <xdr:colOff>706755</xdr:colOff>
      <xdr:row>0</xdr:row>
      <xdr:rowOff>59055</xdr:rowOff>
    </xdr:from>
    <xdr:to>
      <xdr:col>8</xdr:col>
      <xdr:colOff>476319</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C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5004EA2-CE7A-4867-99E5-522D34BDA2D9}" type="TxLink">
            <a:rPr lang="en-US" sz="1000" b="1" i="0" u="none" strike="noStrike">
              <a:solidFill>
                <a:schemeClr val="bg1"/>
              </a:solidFill>
              <a:latin typeface="Calibri"/>
              <a:cs typeface="Calibri"/>
            </a:rPr>
            <a:pPr algn="ctr"/>
            <a:t>Incentives</a:t>
          </a:fld>
          <a:endParaRPr lang="en-US" sz="1000" b="1">
            <a:solidFill>
              <a:schemeClr val="bg1"/>
            </a:solidFill>
          </a:endParaRPr>
        </a:p>
      </xdr:txBody>
    </xdr:sp>
    <xdr:clientData/>
  </xdr:twoCellAnchor>
  <xdr:twoCellAnchor editAs="absolute">
    <xdr:from>
      <xdr:col>8</xdr:col>
      <xdr:colOff>483234</xdr:colOff>
      <xdr:row>0</xdr:row>
      <xdr:rowOff>59055</xdr:rowOff>
    </xdr:from>
    <xdr:to>
      <xdr:col>11</xdr:col>
      <xdr:colOff>69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C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570BE6B6-A613-49BF-A244-95EA923D6AAD}"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C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10</xdr:col>
      <xdr:colOff>133350</xdr:colOff>
      <xdr:row>1</xdr:row>
      <xdr:rowOff>774107</xdr:rowOff>
    </xdr:to>
    <xdr:sp macro="" textlink="">
      <xdr:nvSpPr>
        <xdr:cNvPr id="10" name="Rounded Rectangle 6">
          <a:extLst>
            <a:ext uri="{FF2B5EF4-FFF2-40B4-BE49-F238E27FC236}">
              <a16:creationId xmlns:a16="http://schemas.microsoft.com/office/drawing/2014/main" id="{00000000-0008-0000-0C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actual PY expenses, including Regulatory at bottom.  Provide an EECR Cost Reconciliation by clicking the "EECR Reconciliation" button.</a:t>
          </a:r>
          <a:endParaRPr lang="en-US"/>
        </a:p>
      </xdr:txBody>
    </xdr:sp>
    <xdr:clientData/>
  </xdr:twoCellAnchor>
  <xdr:twoCellAnchor editAs="absolute">
    <xdr:from>
      <xdr:col>2</xdr:col>
      <xdr:colOff>1238250</xdr:colOff>
      <xdr:row>0</xdr:row>
      <xdr:rowOff>297077</xdr:rowOff>
    </xdr:from>
    <xdr:to>
      <xdr:col>8</xdr:col>
      <xdr:colOff>514378</xdr:colOff>
      <xdr:row>1</xdr:row>
      <xdr:rowOff>276181</xdr:rowOff>
    </xdr:to>
    <xdr:sp macro="" textlink="Titles!F6">
      <xdr:nvSpPr>
        <xdr:cNvPr id="11" name="TextBox 10">
          <a:extLst>
            <a:ext uri="{FF2B5EF4-FFF2-40B4-BE49-F238E27FC236}">
              <a16:creationId xmlns:a16="http://schemas.microsoft.com/office/drawing/2014/main" id="{00000000-0008-0000-0C00-00000B000000}"/>
            </a:ext>
          </a:extLst>
        </xdr:cNvPr>
        <xdr:cNvSpPr txBox="1"/>
      </xdr:nvSpPr>
      <xdr:spPr>
        <a:xfrm>
          <a:off x="1575955" y="297077"/>
          <a:ext cx="628133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94BD13E-8CED-4B91-8709-38F81125FD6E}" type="TxLink">
            <a:rPr lang="en-US" sz="1600" b="1" i="1" u="none" strike="noStrike">
              <a:solidFill>
                <a:srgbClr val="000000"/>
              </a:solidFill>
              <a:latin typeface="+mn-lt"/>
              <a:cs typeface="Arial"/>
            </a:rPr>
            <a:pPr algn="ctr"/>
            <a:t>SWEPCO - 2025 Program Year Evaluation</a:t>
          </a:fld>
          <a:endParaRPr lang="en-US" sz="1600" b="1" i="1" u="none">
            <a:latin typeface="+mn-lt"/>
          </a:endParaRPr>
        </a:p>
      </xdr:txBody>
    </xdr:sp>
    <xdr:clientData/>
  </xdr:twoCellAnchor>
  <xdr:twoCellAnchor editAs="absolute">
    <xdr:from>
      <xdr:col>2</xdr:col>
      <xdr:colOff>1924050</xdr:colOff>
      <xdr:row>1</xdr:row>
      <xdr:rowOff>135255</xdr:rowOff>
    </xdr:from>
    <xdr:to>
      <xdr:col>7</xdr:col>
      <xdr:colOff>666803</xdr:colOff>
      <xdr:row>1</xdr:row>
      <xdr:rowOff>415460</xdr:rowOff>
    </xdr:to>
    <xdr:sp macro="" textlink="Titles!B12">
      <xdr:nvSpPr>
        <xdr:cNvPr id="12" name="TextBox 11">
          <a:extLst>
            <a:ext uri="{FF2B5EF4-FFF2-40B4-BE49-F238E27FC236}">
              <a16:creationId xmlns:a16="http://schemas.microsoft.com/office/drawing/2014/main" id="{00000000-0008-0000-0C00-00000C000000}"/>
            </a:ext>
          </a:extLst>
        </xdr:cNvPr>
        <xdr:cNvSpPr txBox="1"/>
      </xdr:nvSpPr>
      <xdr:spPr>
        <a:xfrm>
          <a:off x="2258868" y="498937"/>
          <a:ext cx="486761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94D7F56-B7FD-4AF3-90C1-83EBEF9A6D18}" type="TxLink">
            <a:rPr lang="en-US" sz="1200" b="0" i="0" u="none" strike="noStrike">
              <a:solidFill>
                <a:srgbClr val="000000"/>
              </a:solidFill>
              <a:latin typeface="+mn-lt"/>
              <a:cs typeface="Calibri"/>
            </a:rPr>
            <a:pPr algn="ctr"/>
            <a:t>Actual Expenses</a:t>
          </a:fld>
          <a:endParaRPr lang="en-US" sz="1200" b="0">
            <a:latin typeface="+mn-lt"/>
          </a:endParaRPr>
        </a:p>
      </xdr:txBody>
    </xdr:sp>
    <xdr:clientData/>
  </xdr:twoCellAnchor>
  <xdr:twoCellAnchor editAs="absolute">
    <xdr:from>
      <xdr:col>8</xdr:col>
      <xdr:colOff>554355</xdr:colOff>
      <xdr:row>1</xdr:row>
      <xdr:rowOff>88265</xdr:rowOff>
    </xdr:from>
    <xdr:to>
      <xdr:col>9</xdr:col>
      <xdr:colOff>363883</xdr:colOff>
      <xdr:row>1</xdr:row>
      <xdr:rowOff>316865</xdr:rowOff>
    </xdr:to>
    <xdr:sp macro="" textlink="">
      <xdr:nvSpPr>
        <xdr:cNvPr id="13" name="Rounded Rectangle 12">
          <a:hlinkClick xmlns:r="http://schemas.openxmlformats.org/officeDocument/2006/relationships" r:id="rId6" tooltip="Click"/>
          <a:extLst>
            <a:ext uri="{FF2B5EF4-FFF2-40B4-BE49-F238E27FC236}">
              <a16:creationId xmlns:a16="http://schemas.microsoft.com/office/drawing/2014/main" id="{00000000-0008-0000-0C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401955</xdr:colOff>
      <xdr:row>1</xdr:row>
      <xdr:rowOff>88265</xdr:rowOff>
    </xdr:from>
    <xdr:to>
      <xdr:col>10</xdr:col>
      <xdr:colOff>116196</xdr:colOff>
      <xdr:row>1</xdr:row>
      <xdr:rowOff>316865</xdr:rowOff>
    </xdr:to>
    <xdr:sp macro="" textlink="">
      <xdr:nvSpPr>
        <xdr:cNvPr id="14" name="Rounded Rectangle 13">
          <a:hlinkClick xmlns:r="http://schemas.openxmlformats.org/officeDocument/2006/relationships" r:id="rId1" tooltip="Click"/>
          <a:extLst>
            <a:ext uri="{FF2B5EF4-FFF2-40B4-BE49-F238E27FC236}">
              <a16:creationId xmlns:a16="http://schemas.microsoft.com/office/drawing/2014/main" id="{00000000-0008-0000-0C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640715</xdr:colOff>
      <xdr:row>3</xdr:row>
      <xdr:rowOff>15933</xdr:rowOff>
    </xdr:from>
    <xdr:to>
      <xdr:col>10</xdr:col>
      <xdr:colOff>95288</xdr:colOff>
      <xdr:row>3</xdr:row>
      <xdr:rowOff>168333</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C00-00000F000000}"/>
            </a:ext>
          </a:extLst>
        </xdr:cNvPr>
        <xdr:cNvSpPr/>
      </xdr:nvSpPr>
      <xdr:spPr>
        <a:xfrm>
          <a:off x="7640435" y="1293668"/>
          <a:ext cx="1216987"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EECR Reconciliation</a:t>
          </a:r>
          <a:endParaRPr lang="en-US" sz="800" b="1">
            <a:solidFill>
              <a:sysClr val="windowText" lastClr="000000"/>
            </a:solidFill>
          </a:endParaRPr>
        </a:p>
      </xdr:txBody>
    </xdr:sp>
    <xdr:clientData/>
  </xdr:twoCellAnchor>
  <xdr:twoCellAnchor editAs="absolute">
    <xdr:from>
      <xdr:col>7</xdr:col>
      <xdr:colOff>0</xdr:colOff>
      <xdr:row>3</xdr:row>
      <xdr:rowOff>1</xdr:rowOff>
    </xdr:from>
    <xdr:to>
      <xdr:col>8</xdr:col>
      <xdr:colOff>12585</xdr:colOff>
      <xdr:row>3</xdr:row>
      <xdr:rowOff>174394</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C00-000012000000}"/>
            </a:ext>
          </a:extLst>
        </xdr:cNvPr>
        <xdr:cNvSpPr/>
      </xdr:nvSpPr>
      <xdr:spPr>
        <a:xfrm>
          <a:off x="6147955" y="1281546"/>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727639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47625</xdr:colOff>
      <xdr:row>2</xdr:row>
      <xdr:rowOff>9524</xdr:rowOff>
    </xdr:from>
    <xdr:to>
      <xdr:col>8</xdr:col>
      <xdr:colOff>152400</xdr:colOff>
      <xdr:row>2</xdr:row>
      <xdr:rowOff>400049</xdr:rowOff>
    </xdr:to>
    <xdr:sp macro="" textlink="">
      <xdr:nvSpPr>
        <xdr:cNvPr id="4" name="Rounded Rectangle 6">
          <a:extLst>
            <a:ext uri="{FF2B5EF4-FFF2-40B4-BE49-F238E27FC236}">
              <a16:creationId xmlns:a16="http://schemas.microsoft.com/office/drawing/2014/main" id="{00000000-0008-0000-0D00-000004000000}"/>
            </a:ext>
          </a:extLst>
        </xdr:cNvPr>
        <xdr:cNvSpPr>
          <a:spLocks noChangeArrowheads="1"/>
        </xdr:cNvSpPr>
      </xdr:nvSpPr>
      <xdr:spPr bwMode="auto">
        <a:xfrm>
          <a:off x="116898" y="555047"/>
          <a:ext cx="8781184" cy="3905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EECR Expenses is the expenses collected through the EECR for the Program Year being reported (the expense included in the PY True-up).  Provide an explanation if the Reported Expenses are different than the expenses collected via the EECR.</a:t>
          </a:r>
          <a:endParaRPr lang="en-US"/>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19050</xdr:colOff>
      <xdr:row>1</xdr:row>
      <xdr:rowOff>0</xdr:rowOff>
    </xdr:from>
    <xdr:to>
      <xdr:col>10</xdr:col>
      <xdr:colOff>935355</xdr:colOff>
      <xdr:row>1</xdr:row>
      <xdr:rowOff>401955</xdr:rowOff>
    </xdr:to>
    <xdr:sp macro="" textlink="">
      <xdr:nvSpPr>
        <xdr:cNvPr id="1476790" name="Rectangle 365">
          <a:extLst>
            <a:ext uri="{FF2B5EF4-FFF2-40B4-BE49-F238E27FC236}">
              <a16:creationId xmlns:a16="http://schemas.microsoft.com/office/drawing/2014/main" id="{00000000-0008-0000-0E00-0000B68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19050</xdr:colOff>
      <xdr:row>0</xdr:row>
      <xdr:rowOff>57149</xdr:rowOff>
    </xdr:from>
    <xdr:to>
      <xdr:col>2</xdr:col>
      <xdr:colOff>1240051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E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4D293E1-65BD-42D8-B764-E2C7383B69BA}"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59055</xdr:rowOff>
    </xdr:from>
    <xdr:to>
      <xdr:col>3</xdr:col>
      <xdr:colOff>285678</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E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EEAAF38-BD27-43FD-8A5F-472D8AA97576}" type="TxLink">
            <a:rPr lang="en-US" sz="1000" b="1">
              <a:solidFill>
                <a:sysClr val="windowText" lastClr="000000"/>
              </a:solidFill>
            </a:rPr>
            <a:pPr algn="ctr"/>
            <a:t>Evaluated Savings</a:t>
          </a:fld>
          <a:endParaRPr lang="en-US" sz="1000" b="1">
            <a:solidFill>
              <a:sysClr val="windowText" lastClr="000000"/>
            </a:solidFill>
          </a:endParaRPr>
        </a:p>
      </xdr:txBody>
    </xdr:sp>
    <xdr:clientData/>
  </xdr:twoCellAnchor>
  <xdr:twoCellAnchor editAs="absolute">
    <xdr:from>
      <xdr:col>3</xdr:col>
      <xdr:colOff>313690</xdr:colOff>
      <xdr:row>0</xdr:row>
      <xdr:rowOff>59055</xdr:rowOff>
    </xdr:from>
    <xdr:to>
      <xdr:col>4</xdr:col>
      <xdr:colOff>859131</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E00-000005000000}"/>
            </a:ext>
          </a:extLst>
        </xdr:cNvPr>
        <xdr:cNvSpPr/>
      </xdr:nvSpPr>
      <xdr:spPr>
        <a:xfrm>
          <a:off x="3118485" y="66675"/>
          <a:ext cx="1514475"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4793F1E-404D-41D5-A083-57B89C30C0CF}" type="TxLink">
            <a:rPr lang="en-US" sz="1000" b="1">
              <a:solidFill>
                <a:schemeClr val="bg1"/>
              </a:solidFill>
              <a:latin typeface="+mn-lt"/>
              <a:ea typeface="+mn-ea"/>
              <a:cs typeface="+mn-cs"/>
            </a:rPr>
            <a:pPr marL="0" indent="0" algn="ctr"/>
            <a:t>Cost-Benefits</a:t>
          </a:fld>
          <a:endParaRPr lang="en-US" sz="1000" b="1">
            <a:solidFill>
              <a:schemeClr val="bg1"/>
            </a:solidFill>
            <a:latin typeface="+mn-lt"/>
            <a:ea typeface="+mn-ea"/>
            <a:cs typeface="+mn-cs"/>
          </a:endParaRPr>
        </a:p>
      </xdr:txBody>
    </xdr:sp>
    <xdr:clientData/>
  </xdr:twoCellAnchor>
  <xdr:twoCellAnchor editAs="absolute">
    <xdr:from>
      <xdr:col>4</xdr:col>
      <xdr:colOff>857250</xdr:colOff>
      <xdr:row>0</xdr:row>
      <xdr:rowOff>59055</xdr:rowOff>
    </xdr:from>
    <xdr:to>
      <xdr:col>6</xdr:col>
      <xdr:colOff>781060</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E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5A5ADE0-2D38-4DF1-813D-0D40730E1E06}" type="TxLink">
            <a:rPr lang="en-US" sz="1000" b="1"/>
            <a:pPr algn="ctr"/>
            <a:t>LCFC</a:t>
          </a:fld>
          <a:endParaRPr lang="en-US" sz="1000" b="1"/>
        </a:p>
      </xdr:txBody>
    </xdr:sp>
    <xdr:clientData/>
  </xdr:twoCellAnchor>
  <xdr:twoCellAnchor editAs="absolute">
    <xdr:from>
      <xdr:col>6</xdr:col>
      <xdr:colOff>781050</xdr:colOff>
      <xdr:row>0</xdr:row>
      <xdr:rowOff>59055</xdr:rowOff>
    </xdr:from>
    <xdr:to>
      <xdr:col>9</xdr:col>
      <xdr:colOff>86337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0E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162D75-27A5-4356-AF78-A9B278CF5356}" type="TxLink">
            <a:rPr lang="en-US" sz="1000" b="1"/>
            <a:pPr algn="ctr"/>
            <a:t>Incentives</a:t>
          </a:fld>
          <a:endParaRPr lang="en-US" sz="1000" b="1"/>
        </a:p>
      </xdr:txBody>
    </xdr:sp>
    <xdr:clientData/>
  </xdr:twoCellAnchor>
  <xdr:twoCellAnchor editAs="absolute">
    <xdr:from>
      <xdr:col>9</xdr:col>
      <xdr:colOff>93344</xdr:colOff>
      <xdr:row>0</xdr:row>
      <xdr:rowOff>59055</xdr:rowOff>
    </xdr:from>
    <xdr:to>
      <xdr:col>11</xdr:col>
      <xdr:colOff>1077</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0E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1DC08FF-1CFC-428D-83CD-2BCD48E32E08}"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857367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0E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95250</xdr:colOff>
      <xdr:row>1</xdr:row>
      <xdr:rowOff>438149</xdr:rowOff>
    </xdr:from>
    <xdr:to>
      <xdr:col>10</xdr:col>
      <xdr:colOff>897249</xdr:colOff>
      <xdr:row>1</xdr:row>
      <xdr:rowOff>770932</xdr:rowOff>
    </xdr:to>
    <xdr:sp macro="" textlink="">
      <xdr:nvSpPr>
        <xdr:cNvPr id="10" name="Rounded Rectangle 6">
          <a:extLst>
            <a:ext uri="{FF2B5EF4-FFF2-40B4-BE49-F238E27FC236}">
              <a16:creationId xmlns:a16="http://schemas.microsoft.com/office/drawing/2014/main" id="{00000000-0008-0000-0E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evaluated net savings and participant results.  Provide the methodology for energy savings by clicking the "Methodology for Energy Savings" button.</a:t>
          </a:r>
          <a:endParaRPr lang="en-US"/>
        </a:p>
      </xdr:txBody>
    </xdr:sp>
    <xdr:clientData/>
  </xdr:twoCellAnchor>
  <xdr:twoCellAnchor editAs="absolute">
    <xdr:from>
      <xdr:col>2</xdr:col>
      <xdr:colOff>1238250</xdr:colOff>
      <xdr:row>0</xdr:row>
      <xdr:rowOff>292401</xdr:rowOff>
    </xdr:from>
    <xdr:to>
      <xdr:col>9</xdr:col>
      <xdr:colOff>97179</xdr:colOff>
      <xdr:row>1</xdr:row>
      <xdr:rowOff>282762</xdr:rowOff>
    </xdr:to>
    <xdr:sp macro="" textlink="Titles!F6">
      <xdr:nvSpPr>
        <xdr:cNvPr id="11" name="TextBox 10">
          <a:extLst>
            <a:ext uri="{FF2B5EF4-FFF2-40B4-BE49-F238E27FC236}">
              <a16:creationId xmlns:a16="http://schemas.microsoft.com/office/drawing/2014/main" id="{00000000-0008-0000-0E00-00000B000000}"/>
            </a:ext>
          </a:extLst>
        </xdr:cNvPr>
        <xdr:cNvSpPr txBox="1"/>
      </xdr:nvSpPr>
      <xdr:spPr>
        <a:xfrm>
          <a:off x="1562100" y="296211"/>
          <a:ext cx="592647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E184F71-AA4A-497D-BEB6-FDEA2B8253D5}" type="TxLink">
            <a:rPr lang="en-US" sz="1600" b="1" i="1" u="none"/>
            <a:pPr algn="ctr"/>
            <a:t>SWEPCO - 2025 Program Year Evaluation</a:t>
          </a:fld>
          <a:endParaRPr lang="en-US" sz="1600" b="1" i="1" u="none"/>
        </a:p>
      </xdr:txBody>
    </xdr:sp>
    <xdr:clientData/>
  </xdr:twoCellAnchor>
  <xdr:twoCellAnchor editAs="absolute">
    <xdr:from>
      <xdr:col>2</xdr:col>
      <xdr:colOff>1924050</xdr:colOff>
      <xdr:row>1</xdr:row>
      <xdr:rowOff>135255</xdr:rowOff>
    </xdr:from>
    <xdr:to>
      <xdr:col>8</xdr:col>
      <xdr:colOff>8937</xdr:colOff>
      <xdr:row>1</xdr:row>
      <xdr:rowOff>415460</xdr:rowOff>
    </xdr:to>
    <xdr:sp macro="" textlink="Titles!B13">
      <xdr:nvSpPr>
        <xdr:cNvPr id="12" name="TextBox 11">
          <a:extLst>
            <a:ext uri="{FF2B5EF4-FFF2-40B4-BE49-F238E27FC236}">
              <a16:creationId xmlns:a16="http://schemas.microsoft.com/office/drawing/2014/main" id="{00000000-0008-0000-0E00-00000C000000}"/>
            </a:ext>
          </a:extLst>
        </xdr:cNvPr>
        <xdr:cNvSpPr txBox="1"/>
      </xdr:nvSpPr>
      <xdr:spPr>
        <a:xfrm>
          <a:off x="2247900" y="497205"/>
          <a:ext cx="454283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3E01B8-0755-4FE9-B464-8711962D59FD}" type="TxLink">
            <a:rPr lang="en-US" sz="1200" b="0" i="0" u="none" strike="noStrike">
              <a:solidFill>
                <a:srgbClr val="000000"/>
              </a:solidFill>
              <a:latin typeface="+mn-lt"/>
              <a:cs typeface="Calibri"/>
            </a:rPr>
            <a:pPr algn="ctr"/>
            <a:t>Evaluated Savings</a:t>
          </a:fld>
          <a:endParaRPr lang="en-US" sz="1800" b="0">
            <a:latin typeface="+mn-lt"/>
          </a:endParaRPr>
        </a:p>
      </xdr:txBody>
    </xdr:sp>
    <xdr:clientData/>
  </xdr:twoCellAnchor>
  <xdr:twoCellAnchor editAs="absolute">
    <xdr:from>
      <xdr:col>9</xdr:col>
      <xdr:colOff>161290</xdr:colOff>
      <xdr:row>1</xdr:row>
      <xdr:rowOff>85090</xdr:rowOff>
    </xdr:from>
    <xdr:to>
      <xdr:col>10</xdr:col>
      <xdr:colOff>190500</xdr:colOff>
      <xdr:row>1</xdr:row>
      <xdr:rowOff>313690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E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237490</xdr:colOff>
      <xdr:row>1</xdr:row>
      <xdr:rowOff>85090</xdr:rowOff>
    </xdr:from>
    <xdr:to>
      <xdr:col>10</xdr:col>
      <xdr:colOff>893333</xdr:colOff>
      <xdr:row>1</xdr:row>
      <xdr:rowOff>313690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E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8</xdr:col>
      <xdr:colOff>400396</xdr:colOff>
      <xdr:row>2</xdr:row>
      <xdr:rowOff>116032</xdr:rowOff>
    </xdr:from>
    <xdr:to>
      <xdr:col>10</xdr:col>
      <xdr:colOff>885544</xdr:colOff>
      <xdr:row>3</xdr:row>
      <xdr:rowOff>170238</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0E00-00000F000000}"/>
            </a:ext>
          </a:extLst>
        </xdr:cNvPr>
        <xdr:cNvSpPr/>
      </xdr:nvSpPr>
      <xdr:spPr>
        <a:xfrm>
          <a:off x="7175615" y="1302327"/>
          <a:ext cx="1692341" cy="2311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Methodology</a:t>
          </a:r>
          <a:r>
            <a:rPr lang="en-US" sz="800" b="1" baseline="0">
              <a:solidFill>
                <a:sysClr val="windowText" lastClr="000000"/>
              </a:solidFill>
            </a:rPr>
            <a:t> for Energy Savings</a:t>
          </a:r>
        </a:p>
        <a:p>
          <a:pPr algn="ctr"/>
          <a:endParaRPr lang="en-US" sz="800" b="1">
            <a:solidFill>
              <a:sysClr val="windowText" lastClr="000000"/>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730814</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F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13</xdr:col>
      <xdr:colOff>1732</xdr:colOff>
      <xdr:row>1</xdr:row>
      <xdr:rowOff>409575</xdr:rowOff>
    </xdr:to>
    <xdr:sp macro="" textlink="">
      <xdr:nvSpPr>
        <xdr:cNvPr id="1478851" name="Rectangle 365">
          <a:extLst>
            <a:ext uri="{FF2B5EF4-FFF2-40B4-BE49-F238E27FC236}">
              <a16:creationId xmlns:a16="http://schemas.microsoft.com/office/drawing/2014/main" id="{00000000-0008-0000-1000-0000C39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0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218C69A-6659-40A4-A383-FC107167CB47}"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327785</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0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A0FB71B-05A6-47E7-83C2-6653FCB8E4E5}" type="TxLink">
            <a:rPr lang="en-US" sz="1000" b="1"/>
            <a:pPr algn="ctr"/>
            <a:t>Evaluated Savings</a:t>
          </a:fld>
          <a:endParaRPr lang="en-US" sz="1000" b="1"/>
        </a:p>
      </xdr:txBody>
    </xdr:sp>
    <xdr:clientData/>
  </xdr:twoCellAnchor>
  <xdr:twoCellAnchor editAs="absolute">
    <xdr:from>
      <xdr:col>3</xdr:col>
      <xdr:colOff>331470</xdr:colOff>
      <xdr:row>0</xdr:row>
      <xdr:rowOff>66675</xdr:rowOff>
    </xdr:from>
    <xdr:to>
      <xdr:col>5</xdr:col>
      <xdr:colOff>409575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000-000005000000}"/>
            </a:ext>
          </a:extLst>
        </xdr:cNvPr>
        <xdr:cNvSpPr/>
      </xdr:nvSpPr>
      <xdr:spPr>
        <a:xfrm>
          <a:off x="3122295" y="66675"/>
          <a:ext cx="1533525"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8B495C3-4F12-4699-8AB0-1546BEF8A415}" type="TxLink">
            <a:rPr lang="en-US" sz="1000" b="1">
              <a:solidFill>
                <a:sysClr val="windowText" lastClr="000000"/>
              </a:solidFill>
            </a:rPr>
            <a:pPr algn="ctr"/>
            <a:t>Cost-Benefits</a:t>
          </a:fld>
          <a:endParaRPr lang="en-US" sz="1000" b="1">
            <a:solidFill>
              <a:sysClr val="windowText" lastClr="000000"/>
            </a:solidFill>
          </a:endParaRPr>
        </a:p>
      </xdr:txBody>
    </xdr:sp>
    <xdr:clientData/>
  </xdr:twoCellAnchor>
  <xdr:twoCellAnchor editAs="absolute">
    <xdr:from>
      <xdr:col>5</xdr:col>
      <xdr:colOff>398145</xdr:colOff>
      <xdr:row>0</xdr:row>
      <xdr:rowOff>66675</xdr:rowOff>
    </xdr:from>
    <xdr:to>
      <xdr:col>7</xdr:col>
      <xdr:colOff>260985</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000-000006000000}"/>
            </a:ext>
          </a:extLst>
        </xdr:cNvPr>
        <xdr:cNvSpPr/>
      </xdr:nvSpPr>
      <xdr:spPr>
        <a:xfrm>
          <a:off x="4524375"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73AAB0-810E-4197-A276-1B3AA90F295F}" type="TxLink">
            <a:rPr lang="en-US" sz="1000" b="1">
              <a:solidFill>
                <a:schemeClr val="bg1"/>
              </a:solidFill>
              <a:latin typeface="+mn-lt"/>
              <a:ea typeface="+mn-ea"/>
              <a:cs typeface="+mn-cs"/>
            </a:rPr>
            <a:pPr marL="0" indent="0" algn="ctr"/>
            <a:t>LCFC</a:t>
          </a:fld>
          <a:endParaRPr lang="en-US" sz="1000" b="1">
            <a:solidFill>
              <a:schemeClr val="bg1"/>
            </a:solidFill>
            <a:latin typeface="+mn-lt"/>
            <a:ea typeface="+mn-ea"/>
            <a:cs typeface="+mn-cs"/>
          </a:endParaRPr>
        </a:p>
      </xdr:txBody>
    </xdr:sp>
    <xdr:clientData/>
  </xdr:twoCellAnchor>
  <xdr:twoCellAnchor editAs="absolute">
    <xdr:from>
      <xdr:col>7</xdr:col>
      <xdr:colOff>274320</xdr:colOff>
      <xdr:row>0</xdr:row>
      <xdr:rowOff>66675</xdr:rowOff>
    </xdr:from>
    <xdr:to>
      <xdr:col>9</xdr:col>
      <xdr:colOff>251460</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0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EE85EB-4F71-412A-A2BA-F3553DA45247}" type="TxLink">
            <a:rPr lang="en-US" sz="1000" b="1"/>
            <a:pPr algn="ctr"/>
            <a:t>Incentives</a:t>
          </a:fld>
          <a:endParaRPr lang="en-US" sz="1000" b="1"/>
        </a:p>
      </xdr:txBody>
    </xdr:sp>
    <xdr:clientData/>
  </xdr:twoCellAnchor>
  <xdr:twoCellAnchor editAs="absolute">
    <xdr:from>
      <xdr:col>9</xdr:col>
      <xdr:colOff>264794</xdr:colOff>
      <xdr:row>0</xdr:row>
      <xdr:rowOff>66675</xdr:rowOff>
    </xdr:from>
    <xdr:to>
      <xdr:col>12</xdr:col>
      <xdr:colOff>207644</xdr:colOff>
      <xdr:row>0</xdr:row>
      <xdr:rowOff>342900</xdr:rowOff>
    </xdr:to>
    <xdr:sp macro="" textlink="Titles!B17">
      <xdr:nvSpPr>
        <xdr:cNvPr id="8" name="Round Same Side Corner Rectangle 8">
          <a:hlinkClick xmlns:r="http://schemas.openxmlformats.org/officeDocument/2006/relationships" r:id="rId6" tooltip="Click"/>
          <a:extLst>
            <a:ext uri="{FF2B5EF4-FFF2-40B4-BE49-F238E27FC236}">
              <a16:creationId xmlns:a16="http://schemas.microsoft.com/office/drawing/2014/main" id="{00000000-0008-0000-10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5B15236-2B4E-4E81-88FF-64BCB4C27D4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7" tooltip="Click"/>
          <a:extLst>
            <a:ext uri="{FF2B5EF4-FFF2-40B4-BE49-F238E27FC236}">
              <a16:creationId xmlns:a16="http://schemas.microsoft.com/office/drawing/2014/main" id="{00000000-0008-0000-10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12</xdr:col>
      <xdr:colOff>150495</xdr:colOff>
      <xdr:row>1</xdr:row>
      <xdr:rowOff>773472</xdr:rowOff>
    </xdr:to>
    <xdr:sp macro="" textlink="">
      <xdr:nvSpPr>
        <xdr:cNvPr id="10" name="Rounded Rectangle 6">
          <a:extLst>
            <a:ext uri="{FF2B5EF4-FFF2-40B4-BE49-F238E27FC236}">
              <a16:creationId xmlns:a16="http://schemas.microsoft.com/office/drawing/2014/main" id="{00000000-0008-0000-10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required TRC components.  Provide "Key Assumptions" , "NEBs", and "Other Cost-Benefit Test" by clicking on the action buttons.</a:t>
          </a:r>
          <a:endParaRPr lang="en-US"/>
        </a:p>
      </xdr:txBody>
    </xdr:sp>
    <xdr:clientData/>
  </xdr:twoCellAnchor>
  <xdr:twoCellAnchor editAs="absolute">
    <xdr:from>
      <xdr:col>2</xdr:col>
      <xdr:colOff>1228725</xdr:colOff>
      <xdr:row>0</xdr:row>
      <xdr:rowOff>300021</xdr:rowOff>
    </xdr:from>
    <xdr:to>
      <xdr:col>9</xdr:col>
      <xdr:colOff>274311</xdr:colOff>
      <xdr:row>1</xdr:row>
      <xdr:rowOff>280857</xdr:rowOff>
    </xdr:to>
    <xdr:sp macro="" textlink="Titles!F6">
      <xdr:nvSpPr>
        <xdr:cNvPr id="11" name="TextBox 10">
          <a:extLst>
            <a:ext uri="{FF2B5EF4-FFF2-40B4-BE49-F238E27FC236}">
              <a16:creationId xmlns:a16="http://schemas.microsoft.com/office/drawing/2014/main" id="{00000000-0008-0000-10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4BDCE8DC-CBCD-4C00-A216-4B8954D26EF7}" type="TxLink">
            <a:rPr lang="en-US" sz="1600" b="1" i="1" u="none"/>
            <a:pPr algn="ctr"/>
            <a:t>SWEPCO - 2025 Program Year Evaluation</a:t>
          </a:fld>
          <a:endParaRPr lang="en-US" sz="1600" b="1" i="1" u="none"/>
        </a:p>
      </xdr:txBody>
    </xdr:sp>
    <xdr:clientData/>
  </xdr:twoCellAnchor>
  <xdr:twoCellAnchor editAs="absolute">
    <xdr:from>
      <xdr:col>2</xdr:col>
      <xdr:colOff>1920240</xdr:colOff>
      <xdr:row>1</xdr:row>
      <xdr:rowOff>142875</xdr:rowOff>
    </xdr:from>
    <xdr:to>
      <xdr:col>8</xdr:col>
      <xdr:colOff>331614</xdr:colOff>
      <xdr:row>1</xdr:row>
      <xdr:rowOff>423080</xdr:rowOff>
    </xdr:to>
    <xdr:sp macro="" textlink="Titles!B14">
      <xdr:nvSpPr>
        <xdr:cNvPr id="12" name="TextBox 11">
          <a:extLst>
            <a:ext uri="{FF2B5EF4-FFF2-40B4-BE49-F238E27FC236}">
              <a16:creationId xmlns:a16="http://schemas.microsoft.com/office/drawing/2014/main" id="{00000000-0008-0000-1000-00000C000000}"/>
            </a:ext>
          </a:extLst>
        </xdr:cNvPr>
        <xdr:cNvSpPr txBox="1"/>
      </xdr:nvSpPr>
      <xdr:spPr>
        <a:xfrm>
          <a:off x="2234565" y="504825"/>
          <a:ext cx="4564524"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E77CB7A2-9882-4BB1-BEB2-FBCD1D059766}" type="TxLink">
            <a:rPr lang="en-US" sz="1200" b="0" i="0" u="none" strike="noStrike">
              <a:solidFill>
                <a:srgbClr val="000000"/>
              </a:solidFill>
              <a:latin typeface="+mn-lt"/>
              <a:cs typeface="Calibri"/>
            </a:rPr>
            <a:pPr algn="ctr"/>
            <a:t>Cost-Benefits</a:t>
          </a:fld>
          <a:endParaRPr lang="en-US" sz="1800" b="0">
            <a:latin typeface="+mn-lt"/>
          </a:endParaRPr>
        </a:p>
      </xdr:txBody>
    </xdr:sp>
    <xdr:clientData/>
  </xdr:twoCellAnchor>
  <xdr:twoCellAnchor editAs="absolute">
    <xdr:from>
      <xdr:col>9</xdr:col>
      <xdr:colOff>331470</xdr:colOff>
      <xdr:row>1</xdr:row>
      <xdr:rowOff>95250</xdr:rowOff>
    </xdr:from>
    <xdr:to>
      <xdr:col>11</xdr:col>
      <xdr:colOff>371475</xdr:colOff>
      <xdr:row>1</xdr:row>
      <xdr:rowOff>316230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10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11</xdr:col>
      <xdr:colOff>417195</xdr:colOff>
      <xdr:row>1</xdr:row>
      <xdr:rowOff>95250</xdr:rowOff>
    </xdr:from>
    <xdr:to>
      <xdr:col>12</xdr:col>
      <xdr:colOff>142875</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0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xdr:from>
      <xdr:col>2</xdr:col>
      <xdr:colOff>1034761</xdr:colOff>
      <xdr:row>3</xdr:row>
      <xdr:rowOff>77932</xdr:rowOff>
    </xdr:from>
    <xdr:to>
      <xdr:col>2</xdr:col>
      <xdr:colOff>2286000</xdr:colOff>
      <xdr:row>4</xdr:row>
      <xdr:rowOff>277090</xdr:rowOff>
    </xdr:to>
    <xdr:sp macro="" textlink="">
      <xdr:nvSpPr>
        <xdr:cNvPr id="15" name="Rounded Rectangle 14">
          <a:hlinkClick xmlns:r="http://schemas.openxmlformats.org/officeDocument/2006/relationships" r:id="rId8" tooltip="Click"/>
          <a:extLst>
            <a:ext uri="{FF2B5EF4-FFF2-40B4-BE49-F238E27FC236}">
              <a16:creationId xmlns:a16="http://schemas.microsoft.com/office/drawing/2014/main" id="{00000000-0008-0000-1000-00000F000000}"/>
            </a:ext>
          </a:extLst>
        </xdr:cNvPr>
        <xdr:cNvSpPr/>
      </xdr:nvSpPr>
      <xdr:spPr>
        <a:xfrm>
          <a:off x="1355147" y="1454727"/>
          <a:ext cx="1251239" cy="46759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Other</a:t>
          </a:r>
          <a:r>
            <a:rPr lang="en-US" sz="1000" b="1" baseline="0">
              <a:solidFill>
                <a:sysClr val="windowText" lastClr="000000"/>
              </a:solidFill>
            </a:rPr>
            <a:t> Cost-Benefit Test</a:t>
          </a:r>
          <a:endParaRPr lang="en-US" sz="1000" b="1">
            <a:solidFill>
              <a:sysClr val="windowText" lastClr="000000"/>
            </a:solidFill>
          </a:endParaRPr>
        </a:p>
      </xdr:txBody>
    </xdr:sp>
    <xdr:clientData/>
  </xdr:twoCellAnchor>
  <xdr:twoCellAnchor>
    <xdr:from>
      <xdr:col>2</xdr:col>
      <xdr:colOff>1</xdr:colOff>
      <xdr:row>3</xdr:row>
      <xdr:rowOff>95250</xdr:rowOff>
    </xdr:from>
    <xdr:to>
      <xdr:col>2</xdr:col>
      <xdr:colOff>948779</xdr:colOff>
      <xdr:row>4</xdr:row>
      <xdr:rowOff>34637</xdr:rowOff>
    </xdr:to>
    <xdr:sp macro="" textlink="">
      <xdr:nvSpPr>
        <xdr:cNvPr id="16" name="Rounded Rectangle 15">
          <a:hlinkClick xmlns:r="http://schemas.openxmlformats.org/officeDocument/2006/relationships" r:id="rId9" tooltip="Click"/>
          <a:extLst>
            <a:ext uri="{FF2B5EF4-FFF2-40B4-BE49-F238E27FC236}">
              <a16:creationId xmlns:a16="http://schemas.microsoft.com/office/drawing/2014/main" id="{00000000-0008-0000-1000-000010000000}"/>
            </a:ext>
          </a:extLst>
        </xdr:cNvPr>
        <xdr:cNvSpPr/>
      </xdr:nvSpPr>
      <xdr:spPr>
        <a:xfrm>
          <a:off x="320387" y="1472045"/>
          <a:ext cx="948778" cy="2078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Key</a:t>
          </a:r>
          <a:r>
            <a:rPr lang="en-US" sz="800" b="1" baseline="0">
              <a:solidFill>
                <a:sysClr val="windowText" lastClr="000000"/>
              </a:solidFill>
            </a:rPr>
            <a:t> Assumptions</a:t>
          </a:r>
          <a:endParaRPr lang="en-US" sz="800" b="1">
            <a:solidFill>
              <a:sysClr val="windowText" lastClr="000000"/>
            </a:solidFill>
          </a:endParaRPr>
        </a:p>
      </xdr:txBody>
    </xdr:sp>
    <xdr:clientData/>
  </xdr:twoCellAnchor>
  <xdr:twoCellAnchor>
    <xdr:from>
      <xdr:col>2</xdr:col>
      <xdr:colOff>1</xdr:colOff>
      <xdr:row>4</xdr:row>
      <xdr:rowOff>77932</xdr:rowOff>
    </xdr:from>
    <xdr:to>
      <xdr:col>2</xdr:col>
      <xdr:colOff>952501</xdr:colOff>
      <xdr:row>4</xdr:row>
      <xdr:rowOff>268432</xdr:rowOff>
    </xdr:to>
    <xdr:sp macro="" textlink="">
      <xdr:nvSpPr>
        <xdr:cNvPr id="18" name="Rounded Rectangle 17">
          <a:hlinkClick xmlns:r="http://schemas.openxmlformats.org/officeDocument/2006/relationships" r:id="rId10" tooltip="Click"/>
          <a:extLst>
            <a:ext uri="{FF2B5EF4-FFF2-40B4-BE49-F238E27FC236}">
              <a16:creationId xmlns:a16="http://schemas.microsoft.com/office/drawing/2014/main" id="{00000000-0008-0000-1000-000012000000}"/>
            </a:ext>
          </a:extLst>
        </xdr:cNvPr>
        <xdr:cNvSpPr/>
      </xdr:nvSpPr>
      <xdr:spPr>
        <a:xfrm>
          <a:off x="320387" y="1723159"/>
          <a:ext cx="952500" cy="190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900" b="1">
              <a:solidFill>
                <a:sysClr val="windowText" lastClr="000000"/>
              </a:solidFill>
            </a:rPr>
            <a:t>NEBs</a:t>
          </a:r>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807056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1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1</xdr:col>
      <xdr:colOff>107156</xdr:colOff>
      <xdr:row>2</xdr:row>
      <xdr:rowOff>19051</xdr:rowOff>
    </xdr:from>
    <xdr:to>
      <xdr:col>11</xdr:col>
      <xdr:colOff>0</xdr:colOff>
      <xdr:row>2</xdr:row>
      <xdr:rowOff>457200</xdr:rowOff>
    </xdr:to>
    <xdr:sp macro="" textlink="">
      <xdr:nvSpPr>
        <xdr:cNvPr id="4" name="Rounded Rectangle 6">
          <a:extLst>
            <a:ext uri="{FF2B5EF4-FFF2-40B4-BE49-F238E27FC236}">
              <a16:creationId xmlns:a16="http://schemas.microsoft.com/office/drawing/2014/main" id="{00000000-0008-0000-1100-000004000000}"/>
            </a:ext>
          </a:extLst>
        </xdr:cNvPr>
        <xdr:cNvSpPr>
          <a:spLocks noChangeArrowheads="1"/>
        </xdr:cNvSpPr>
      </xdr:nvSpPr>
      <xdr:spPr bwMode="auto">
        <a:xfrm>
          <a:off x="173831" y="561976"/>
          <a:ext cx="11446669" cy="43814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200" b="1" i="0" u="none" strike="noStrike" baseline="0">
              <a:solidFill>
                <a:srgbClr val="000000"/>
              </a:solidFill>
              <a:latin typeface="Calibri"/>
              <a:cs typeface="Calibri"/>
            </a:rPr>
            <a:t>Instructions:  </a:t>
          </a:r>
          <a:r>
            <a:rPr lang="en-US" sz="1050" b="0" i="0" baseline="0">
              <a:effectLst/>
              <a:latin typeface="Calibri" panose="020F0502020204030204" pitchFamily="34" charset="0"/>
              <a:ea typeface="+mn-ea"/>
              <a:cs typeface="Calibri" panose="020F0502020204030204" pitchFamily="34" charset="0"/>
            </a:rPr>
            <a:t>Provide the Key Assumptions used in the Cost-Effectiveness Test.  If information is by class, provide the class levels.  For each assumption provide a reference to the source document., if applicable.</a:t>
          </a:r>
          <a:endParaRPr lang="en-US" sz="1050">
            <a:effectLst/>
            <a:latin typeface="Calibri" panose="020F0502020204030204" pitchFamily="34" charset="0"/>
            <a:cs typeface="Calibri" panose="020F0502020204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51954</xdr:colOff>
      <xdr:row>2</xdr:row>
      <xdr:rowOff>28575</xdr:rowOff>
    </xdr:from>
    <xdr:to>
      <xdr:col>14</xdr:col>
      <xdr:colOff>51954</xdr:colOff>
      <xdr:row>2</xdr:row>
      <xdr:rowOff>363682</xdr:rowOff>
    </xdr:to>
    <xdr:sp macro="" textlink="">
      <xdr:nvSpPr>
        <xdr:cNvPr id="2" name="Rounded Rectangle 6">
          <a:extLst>
            <a:ext uri="{FF2B5EF4-FFF2-40B4-BE49-F238E27FC236}">
              <a16:creationId xmlns:a16="http://schemas.microsoft.com/office/drawing/2014/main" id="{00000000-0008-0000-1200-000002000000}"/>
            </a:ext>
          </a:extLst>
        </xdr:cNvPr>
        <xdr:cNvSpPr>
          <a:spLocks noChangeArrowheads="1"/>
        </xdr:cNvSpPr>
      </xdr:nvSpPr>
      <xdr:spPr bwMode="auto">
        <a:xfrm>
          <a:off x="121227" y="574098"/>
          <a:ext cx="10261022" cy="33510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rtl="0"/>
          <a:r>
            <a:rPr lang="en-US" sz="1000" b="1" i="0" u="none" strike="noStrike" baseline="0">
              <a:solidFill>
                <a:srgbClr val="000000"/>
              </a:solidFill>
              <a:latin typeface="Calibri"/>
              <a:cs typeface="Calibri"/>
            </a:rPr>
            <a:t>Instructions:  </a:t>
          </a:r>
          <a:r>
            <a:rPr lang="en-US" sz="800" b="0" i="0" baseline="0">
              <a:effectLst/>
              <a:latin typeface="Calibri" panose="020F0502020204030204" pitchFamily="34" charset="0"/>
              <a:ea typeface="+mn-ea"/>
              <a:cs typeface="Calibri" panose="020F0502020204030204" pitchFamily="34" charset="0"/>
            </a:rPr>
            <a:t>Provide the TRC NEB units (kWh, Therms, Gallons) and monetized benefits at the porgram level for each program.   In the notes  section below provide the  annual report page reference for NEBs.  </a:t>
          </a:r>
          <a:endParaRPr lang="en-US" sz="8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55130</xdr:colOff>
      <xdr:row>1</xdr:row>
      <xdr:rowOff>112568</xdr:rowOff>
    </xdr:from>
    <xdr:to>
      <xdr:col>2</xdr:col>
      <xdr:colOff>778770</xdr:colOff>
      <xdr:row>1</xdr:row>
      <xdr:rowOff>341168</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200-000003000000}"/>
            </a:ext>
          </a:extLst>
        </xdr:cNvPr>
        <xdr:cNvSpPr/>
      </xdr:nvSpPr>
      <xdr:spPr>
        <a:xfrm>
          <a:off x="121228" y="173182"/>
          <a:ext cx="100390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0</xdr:colOff>
      <xdr:row>5</xdr:row>
      <xdr:rowOff>1</xdr:rowOff>
    </xdr:from>
    <xdr:to>
      <xdr:col>58</xdr:col>
      <xdr:colOff>0</xdr:colOff>
      <xdr:row>8</xdr:row>
      <xdr:rowOff>0</xdr:rowOff>
    </xdr:to>
    <xdr:sp macro="" textlink="Titles!F9">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0000-000002000000}"/>
            </a:ext>
          </a:extLst>
        </xdr:cNvPr>
        <xdr:cNvSpPr/>
      </xdr:nvSpPr>
      <xdr:spPr>
        <a:xfrm>
          <a:off x="4638675" y="1962151"/>
          <a:ext cx="1943100" cy="4857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0F0E34D-FEC5-4470-9659-AB2752CA1906}" type="TxLink">
            <a:rPr lang="en-US" sz="1000" b="1" i="0" u="none" strike="noStrike">
              <a:solidFill>
                <a:schemeClr val="bg1"/>
              </a:solidFill>
              <a:latin typeface="+mn-lt"/>
              <a:cs typeface="Arial"/>
            </a:rPr>
            <a:pPr algn="ctr"/>
            <a:t>2025 Program Year Evaluation</a:t>
          </a:fld>
          <a:endParaRPr lang="en-US" sz="1000" b="1">
            <a:solidFill>
              <a:schemeClr val="bg1"/>
            </a:solidFill>
            <a:latin typeface="+mn-lt"/>
          </a:endParaRPr>
        </a:p>
      </xdr:txBody>
    </xdr:sp>
    <xdr:clientData/>
  </xdr:twoCellAnchor>
  <xdr:twoCellAnchor>
    <xdr:from>
      <xdr:col>21</xdr:col>
      <xdr:colOff>0</xdr:colOff>
      <xdr:row>4</xdr:row>
      <xdr:rowOff>152400</xdr:rowOff>
    </xdr:from>
    <xdr:to>
      <xdr:col>38</xdr:col>
      <xdr:colOff>0</xdr:colOff>
      <xdr:row>8</xdr:row>
      <xdr:rowOff>0</xdr:rowOff>
    </xdr:to>
    <xdr:sp macro="" textlink="Titles!F8">
      <xdr:nvSpPr>
        <xdr:cNvPr id="3" name="Rounded Rectangle 2">
          <a:hlinkClick xmlns:r="http://schemas.openxmlformats.org/officeDocument/2006/relationships" r:id="rId2" tooltip="Click"/>
          <a:extLst>
            <a:ext uri="{FF2B5EF4-FFF2-40B4-BE49-F238E27FC236}">
              <a16:creationId xmlns:a16="http://schemas.microsoft.com/office/drawing/2014/main" id="{00000000-0008-0000-0000-000003000000}"/>
            </a:ext>
          </a:extLst>
        </xdr:cNvPr>
        <xdr:cNvSpPr/>
      </xdr:nvSpPr>
      <xdr:spPr>
        <a:xfrm>
          <a:off x="2352675" y="1952625"/>
          <a:ext cx="1943100" cy="4953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4F4B829-14F2-43F2-B4CB-6ED5C10E16B0}" type="TxLink">
            <a:rPr lang="en-US" sz="1000" b="1" i="0" u="none" strike="noStrike">
              <a:solidFill>
                <a:schemeClr val="bg1"/>
              </a:solidFill>
              <a:latin typeface="+mn-lt"/>
              <a:cs typeface="Arial"/>
            </a:rPr>
            <a:pPr algn="ctr"/>
            <a:t>2025 EE Portfolio Information</a:t>
          </a:fld>
          <a:endParaRPr lang="en-US" sz="1000" b="1">
            <a:solidFill>
              <a:schemeClr val="bg1"/>
            </a:solidFill>
            <a:latin typeface="+mn-lt"/>
          </a:endParaRPr>
        </a:p>
      </xdr:txBody>
    </xdr:sp>
    <xdr:clientData/>
  </xdr:twoCellAnchor>
  <xdr:twoCellAnchor editAs="oneCell">
    <xdr:from>
      <xdr:col>1</xdr:col>
      <xdr:colOff>19050</xdr:colOff>
      <xdr:row>0</xdr:row>
      <xdr:rowOff>57150</xdr:rowOff>
    </xdr:from>
    <xdr:to>
      <xdr:col>13</xdr:col>
      <xdr:colOff>19050</xdr:colOff>
      <xdr:row>2</xdr:row>
      <xdr:rowOff>0</xdr:rowOff>
    </xdr:to>
    <xdr:pic>
      <xdr:nvPicPr>
        <xdr:cNvPr id="1461445" name="Picture 4" descr="C:\Users\KWheatley\Desktop\Arkansas State Seal.jpg">
          <a:extLst>
            <a:ext uri="{FF2B5EF4-FFF2-40B4-BE49-F238E27FC236}">
              <a16:creationId xmlns:a16="http://schemas.microsoft.com/office/drawing/2014/main" id="{00000000-0008-0000-0000-0000C54C16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725" y="57150"/>
          <a:ext cx="137160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xdr:colOff>
      <xdr:row>4</xdr:row>
      <xdr:rowOff>152400</xdr:rowOff>
    </xdr:from>
    <xdr:to>
      <xdr:col>13</xdr:col>
      <xdr:colOff>1</xdr:colOff>
      <xdr:row>6</xdr:row>
      <xdr:rowOff>152399</xdr:rowOff>
    </xdr:to>
    <xdr:sp macro="" textlink="">
      <xdr:nvSpPr>
        <xdr:cNvPr id="5" name="Rounded Rectangle 4">
          <a:hlinkClick xmlns:r="http://schemas.openxmlformats.org/officeDocument/2006/relationships" r:id="rId4" tooltip="Click"/>
          <a:extLst>
            <a:ext uri="{FF2B5EF4-FFF2-40B4-BE49-F238E27FC236}">
              <a16:creationId xmlns:a16="http://schemas.microsoft.com/office/drawing/2014/main" id="{00000000-0008-0000-0000-000005000000}"/>
            </a:ext>
          </a:extLst>
        </xdr:cNvPr>
        <xdr:cNvSpPr/>
      </xdr:nvSpPr>
      <xdr:spPr>
        <a:xfrm>
          <a:off x="295276" y="1952625"/>
          <a:ext cx="1143000" cy="3238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Instructions</a:t>
          </a:r>
        </a:p>
      </xdr:txBody>
    </xdr:sp>
    <xdr:clientData/>
  </xdr:twoCellAnchor>
  <xdr:twoCellAnchor>
    <xdr:from>
      <xdr:col>3</xdr:col>
      <xdr:colOff>0</xdr:colOff>
      <xdr:row>7</xdr:row>
      <xdr:rowOff>152400</xdr:rowOff>
    </xdr:from>
    <xdr:to>
      <xdr:col>13</xdr:col>
      <xdr:colOff>3174</xdr:colOff>
      <xdr:row>9</xdr:row>
      <xdr:rowOff>152400</xdr:rowOff>
    </xdr:to>
    <xdr:sp macro="" textlink="">
      <xdr:nvSpPr>
        <xdr:cNvPr id="6" name="Rounded Rectangle 5">
          <a:hlinkClick xmlns:r="http://schemas.openxmlformats.org/officeDocument/2006/relationships" r:id="rId5" tooltip="Click"/>
          <a:extLst>
            <a:ext uri="{FF2B5EF4-FFF2-40B4-BE49-F238E27FC236}">
              <a16:creationId xmlns:a16="http://schemas.microsoft.com/office/drawing/2014/main" id="{00000000-0008-0000-0000-000006000000}"/>
            </a:ext>
          </a:extLst>
        </xdr:cNvPr>
        <xdr:cNvSpPr/>
      </xdr:nvSpPr>
      <xdr:spPr>
        <a:xfrm>
          <a:off x="295275" y="2438400"/>
          <a:ext cx="1142999" cy="3238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Glossary</a:t>
          </a:r>
        </a:p>
      </xdr:txBody>
    </xdr:sp>
    <xdr:clientData/>
  </xdr:twoCellAnchor>
  <xdr:twoCellAnchor>
    <xdr:from>
      <xdr:col>61</xdr:col>
      <xdr:colOff>0</xdr:colOff>
      <xdr:row>5</xdr:row>
      <xdr:rowOff>0</xdr:rowOff>
    </xdr:from>
    <xdr:to>
      <xdr:col>78</xdr:col>
      <xdr:colOff>3174</xdr:colOff>
      <xdr:row>8</xdr:row>
      <xdr:rowOff>0</xdr:rowOff>
    </xdr:to>
    <xdr:sp macro="" textlink="Titles!F10">
      <xdr:nvSpPr>
        <xdr:cNvPr id="7" name="Rounded Rectangle 6">
          <a:hlinkClick xmlns:r="http://schemas.openxmlformats.org/officeDocument/2006/relationships" r:id="rId6" tooltip="Click"/>
          <a:extLst>
            <a:ext uri="{FF2B5EF4-FFF2-40B4-BE49-F238E27FC236}">
              <a16:creationId xmlns:a16="http://schemas.microsoft.com/office/drawing/2014/main" id="{00000000-0008-0000-0000-000007000000}"/>
            </a:ext>
          </a:extLst>
        </xdr:cNvPr>
        <xdr:cNvSpPr/>
      </xdr:nvSpPr>
      <xdr:spPr>
        <a:xfrm>
          <a:off x="6924675" y="1962150"/>
          <a:ext cx="1943099" cy="4857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19FDF8-2859-43FD-B5B5-7FD47FB21A0C}" type="TxLink">
            <a:rPr lang="en-US" sz="1000" b="1">
              <a:solidFill>
                <a:schemeClr val="bg1"/>
              </a:solidFill>
              <a:latin typeface="+mn-lt"/>
            </a:rPr>
            <a:pPr algn="ctr"/>
            <a:t>Historical Information</a:t>
          </a:fld>
          <a:endParaRPr lang="en-US" sz="1000" b="1">
            <a:solidFill>
              <a:schemeClr val="bg1"/>
            </a:solidFill>
            <a:latin typeface="+mn-lt"/>
          </a:endParaRPr>
        </a:p>
      </xdr:txBody>
    </xdr:sp>
    <xdr:clientData/>
  </xdr:twoCellAnchor>
  <xdr:twoCellAnchor>
    <xdr:from>
      <xdr:col>74</xdr:col>
      <xdr:colOff>0</xdr:colOff>
      <xdr:row>17</xdr:row>
      <xdr:rowOff>1</xdr:rowOff>
    </xdr:from>
    <xdr:to>
      <xdr:col>80</xdr:col>
      <xdr:colOff>0</xdr:colOff>
      <xdr:row>18</xdr:row>
      <xdr:rowOff>0</xdr:rowOff>
    </xdr:to>
    <xdr:sp macro="" textlink="">
      <xdr:nvSpPr>
        <xdr:cNvPr id="14" name="Rounded Rectangle 13">
          <a:hlinkClick xmlns:r="http://schemas.openxmlformats.org/officeDocument/2006/relationships" r:id="rId7" tooltip="Click"/>
          <a:extLst>
            <a:ext uri="{FF2B5EF4-FFF2-40B4-BE49-F238E27FC236}">
              <a16:creationId xmlns:a16="http://schemas.microsoft.com/office/drawing/2014/main" id="{00000000-0008-0000-0000-00000E000000}"/>
            </a:ext>
          </a:extLst>
        </xdr:cNvPr>
        <xdr:cNvSpPr/>
      </xdr:nvSpPr>
      <xdr:spPr>
        <a:xfrm>
          <a:off x="8175625" y="4476751"/>
          <a:ext cx="666750"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editAs="oneCell">
    <xdr:from>
      <xdr:col>18</xdr:col>
      <xdr:colOff>0</xdr:colOff>
      <xdr:row>9</xdr:row>
      <xdr:rowOff>0</xdr:rowOff>
    </xdr:from>
    <xdr:to>
      <xdr:col>80</xdr:col>
      <xdr:colOff>0</xdr:colOff>
      <xdr:row>10</xdr:row>
      <xdr:rowOff>79374</xdr:rowOff>
    </xdr:to>
    <xdr:sp macro="" textlink="'Utility Information'!D5">
      <xdr:nvSpPr>
        <xdr:cNvPr id="4" name="TextBox 3">
          <a:extLst>
            <a:ext uri="{FF2B5EF4-FFF2-40B4-BE49-F238E27FC236}">
              <a16:creationId xmlns:a16="http://schemas.microsoft.com/office/drawing/2014/main" id="{00000000-0008-0000-0000-000004000000}"/>
            </a:ext>
          </a:extLst>
        </xdr:cNvPr>
        <xdr:cNvSpPr txBox="1"/>
      </xdr:nvSpPr>
      <xdr:spPr>
        <a:xfrm>
          <a:off x="1952625" y="2595563"/>
          <a:ext cx="6889750" cy="20637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2DC3AF3-0C29-4D6F-834C-41EC811455EF}" type="TxLink">
            <a:rPr lang="en-US" sz="1600" b="1" i="0" u="none" strike="noStrike">
              <a:solidFill>
                <a:srgbClr val="000000"/>
              </a:solidFill>
              <a:latin typeface="Calibri"/>
              <a:cs typeface="Calibri"/>
            </a:rPr>
            <a:pPr algn="ctr"/>
            <a:t>Southwestern Electric Power Company</a:t>
          </a:fld>
          <a:endParaRPr lang="en-US" sz="2000" b="1"/>
        </a:p>
      </xdr:txBody>
    </xdr:sp>
    <xdr:clientData/>
  </xdr:twoCellAnchor>
  <xdr:twoCellAnchor>
    <xdr:from>
      <xdr:col>66</xdr:col>
      <xdr:colOff>0</xdr:colOff>
      <xdr:row>17</xdr:row>
      <xdr:rowOff>1</xdr:rowOff>
    </xdr:from>
    <xdr:to>
      <xdr:col>71</xdr:col>
      <xdr:colOff>111124</xdr:colOff>
      <xdr:row>18</xdr:row>
      <xdr:rowOff>0</xdr:rowOff>
    </xdr:to>
    <xdr:sp macro="" textlink="">
      <xdr:nvSpPr>
        <xdr:cNvPr id="19" name="Rounded Rectangle 18">
          <a:hlinkClick xmlns:r="http://schemas.openxmlformats.org/officeDocument/2006/relationships" r:id="rId8" tooltip="Click"/>
          <a:extLst>
            <a:ext uri="{FF2B5EF4-FFF2-40B4-BE49-F238E27FC236}">
              <a16:creationId xmlns:a16="http://schemas.microsoft.com/office/drawing/2014/main" id="{00000000-0008-0000-0000-000013000000}"/>
            </a:ext>
          </a:extLst>
        </xdr:cNvPr>
        <xdr:cNvSpPr/>
      </xdr:nvSpPr>
      <xdr:spPr>
        <a:xfrm>
          <a:off x="7286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58</xdr:col>
      <xdr:colOff>0</xdr:colOff>
      <xdr:row>17</xdr:row>
      <xdr:rowOff>1</xdr:rowOff>
    </xdr:from>
    <xdr:to>
      <xdr:col>63</xdr:col>
      <xdr:colOff>111124</xdr:colOff>
      <xdr:row>18</xdr:row>
      <xdr:rowOff>0</xdr:rowOff>
    </xdr:to>
    <xdr:sp macro="" textlink="">
      <xdr:nvSpPr>
        <xdr:cNvPr id="20" name="Rounded Rectangle 19">
          <a:hlinkClick xmlns:r="http://schemas.openxmlformats.org/officeDocument/2006/relationships" r:id="rId9" tooltip="Click"/>
          <a:extLst>
            <a:ext uri="{FF2B5EF4-FFF2-40B4-BE49-F238E27FC236}">
              <a16:creationId xmlns:a16="http://schemas.microsoft.com/office/drawing/2014/main" id="{00000000-0008-0000-0000-000014000000}"/>
            </a:ext>
          </a:extLst>
        </xdr:cNvPr>
        <xdr:cNvSpPr/>
      </xdr:nvSpPr>
      <xdr:spPr>
        <a:xfrm>
          <a:off x="6397625" y="4476751"/>
          <a:ext cx="666749" cy="412749"/>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50</xdr:col>
      <xdr:colOff>0</xdr:colOff>
      <xdr:row>17</xdr:row>
      <xdr:rowOff>0</xdr:rowOff>
    </xdr:from>
    <xdr:to>
      <xdr:col>55</xdr:col>
      <xdr:colOff>114299</xdr:colOff>
      <xdr:row>18</xdr:row>
      <xdr:rowOff>0</xdr:rowOff>
    </xdr:to>
    <xdr:sp macro="" textlink="">
      <xdr:nvSpPr>
        <xdr:cNvPr id="21" name="Rounded Rectangle 20">
          <a:hlinkClick xmlns:r="http://schemas.openxmlformats.org/officeDocument/2006/relationships" r:id="rId10" tooltip="Click"/>
          <a:extLst>
            <a:ext uri="{FF2B5EF4-FFF2-40B4-BE49-F238E27FC236}">
              <a16:creationId xmlns:a16="http://schemas.microsoft.com/office/drawing/2014/main" id="{00000000-0008-0000-0000-000015000000}"/>
            </a:ext>
          </a:extLst>
        </xdr:cNvPr>
        <xdr:cNvSpPr/>
      </xdr:nvSpPr>
      <xdr:spPr>
        <a:xfrm>
          <a:off x="5667375" y="4495800"/>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42</xdr:col>
      <xdr:colOff>0</xdr:colOff>
      <xdr:row>17</xdr:row>
      <xdr:rowOff>1</xdr:rowOff>
    </xdr:from>
    <xdr:to>
      <xdr:col>47</xdr:col>
      <xdr:colOff>114299</xdr:colOff>
      <xdr:row>18</xdr:row>
      <xdr:rowOff>0</xdr:rowOff>
    </xdr:to>
    <xdr:sp macro="" textlink="">
      <xdr:nvSpPr>
        <xdr:cNvPr id="22" name="Rounded Rectangle 21">
          <a:hlinkClick xmlns:r="http://schemas.openxmlformats.org/officeDocument/2006/relationships" r:id="rId11" tooltip="Click"/>
          <a:extLst>
            <a:ext uri="{FF2B5EF4-FFF2-40B4-BE49-F238E27FC236}">
              <a16:creationId xmlns:a16="http://schemas.microsoft.com/office/drawing/2014/main" id="{00000000-0008-0000-0000-000016000000}"/>
            </a:ext>
          </a:extLst>
        </xdr:cNvPr>
        <xdr:cNvSpPr/>
      </xdr:nvSpPr>
      <xdr:spPr>
        <a:xfrm>
          <a:off x="4752975" y="4495801"/>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34</xdr:col>
      <xdr:colOff>0</xdr:colOff>
      <xdr:row>16</xdr:row>
      <xdr:rowOff>161924</xdr:rowOff>
    </xdr:from>
    <xdr:to>
      <xdr:col>40</xdr:col>
      <xdr:colOff>0</xdr:colOff>
      <xdr:row>17</xdr:row>
      <xdr:rowOff>409574</xdr:rowOff>
    </xdr:to>
    <xdr:sp macro="" textlink="">
      <xdr:nvSpPr>
        <xdr:cNvPr id="23" name="Rounded Rectangle 22">
          <a:hlinkClick xmlns:r="http://schemas.openxmlformats.org/officeDocument/2006/relationships" r:id="rId12" tooltip="Click"/>
          <a:extLst>
            <a:ext uri="{FF2B5EF4-FFF2-40B4-BE49-F238E27FC236}">
              <a16:creationId xmlns:a16="http://schemas.microsoft.com/office/drawing/2014/main" id="{00000000-0008-0000-0000-000017000000}"/>
            </a:ext>
          </a:extLst>
        </xdr:cNvPr>
        <xdr:cNvSpPr/>
      </xdr:nvSpPr>
      <xdr:spPr>
        <a:xfrm>
          <a:off x="3838575" y="4495799"/>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26</xdr:col>
      <xdr:colOff>0</xdr:colOff>
      <xdr:row>16</xdr:row>
      <xdr:rowOff>161924</xdr:rowOff>
    </xdr:from>
    <xdr:to>
      <xdr:col>31</xdr:col>
      <xdr:colOff>114299</xdr:colOff>
      <xdr:row>17</xdr:row>
      <xdr:rowOff>409574</xdr:rowOff>
    </xdr:to>
    <xdr:sp macro="" textlink="">
      <xdr:nvSpPr>
        <xdr:cNvPr id="24" name="Rounded Rectangle 23">
          <a:hlinkClick xmlns:r="http://schemas.openxmlformats.org/officeDocument/2006/relationships" r:id="rId13" tooltip="Click"/>
          <a:extLst>
            <a:ext uri="{FF2B5EF4-FFF2-40B4-BE49-F238E27FC236}">
              <a16:creationId xmlns:a16="http://schemas.microsoft.com/office/drawing/2014/main" id="{00000000-0008-0000-0000-000018000000}"/>
            </a:ext>
          </a:extLst>
        </xdr:cNvPr>
        <xdr:cNvSpPr/>
      </xdr:nvSpPr>
      <xdr:spPr>
        <a:xfrm>
          <a:off x="2924175" y="4495799"/>
          <a:ext cx="685799"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18</xdr:col>
      <xdr:colOff>0</xdr:colOff>
      <xdr:row>17</xdr:row>
      <xdr:rowOff>0</xdr:rowOff>
    </xdr:from>
    <xdr:to>
      <xdr:col>24</xdr:col>
      <xdr:colOff>0</xdr:colOff>
      <xdr:row>18</xdr:row>
      <xdr:rowOff>0</xdr:rowOff>
    </xdr:to>
    <xdr:sp macro="" textlink="">
      <xdr:nvSpPr>
        <xdr:cNvPr id="25" name="Rounded Rectangle 24">
          <a:hlinkClick xmlns:r="http://schemas.openxmlformats.org/officeDocument/2006/relationships" r:id="rId14" tooltip="Click"/>
          <a:extLst>
            <a:ext uri="{FF2B5EF4-FFF2-40B4-BE49-F238E27FC236}">
              <a16:creationId xmlns:a16="http://schemas.microsoft.com/office/drawing/2014/main" id="{00000000-0008-0000-0000-000019000000}"/>
            </a:ext>
          </a:extLst>
        </xdr:cNvPr>
        <xdr:cNvSpPr/>
      </xdr:nvSpPr>
      <xdr:spPr>
        <a:xfrm>
          <a:off x="2009775" y="4333875"/>
          <a:ext cx="685800" cy="409575"/>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2</xdr:col>
      <xdr:colOff>0</xdr:colOff>
      <xdr:row>17</xdr:row>
      <xdr:rowOff>0</xdr:rowOff>
    </xdr:from>
    <xdr:to>
      <xdr:col>8</xdr:col>
      <xdr:colOff>0</xdr:colOff>
      <xdr:row>18</xdr:row>
      <xdr:rowOff>0</xdr:rowOff>
    </xdr:to>
    <xdr:sp macro="" textlink="">
      <xdr:nvSpPr>
        <xdr:cNvPr id="26" name="Rounded Rectangle 25">
          <a:hlinkClick xmlns:r="http://schemas.openxmlformats.org/officeDocument/2006/relationships" r:id="rId15" tooltip="Click"/>
          <a:extLst>
            <a:ext uri="{FF2B5EF4-FFF2-40B4-BE49-F238E27FC236}">
              <a16:creationId xmlns:a16="http://schemas.microsoft.com/office/drawing/2014/main" id="{00000000-0008-0000-0000-00001A000000}"/>
            </a:ext>
          </a:extLst>
        </xdr:cNvPr>
        <xdr:cNvSpPr/>
      </xdr:nvSpPr>
      <xdr:spPr>
        <a:xfrm>
          <a:off x="180975" y="4333875"/>
          <a:ext cx="685800" cy="47625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twoCellAnchor>
    <xdr:from>
      <xdr:col>10</xdr:col>
      <xdr:colOff>0</xdr:colOff>
      <xdr:row>17</xdr:row>
      <xdr:rowOff>1</xdr:rowOff>
    </xdr:from>
    <xdr:to>
      <xdr:col>15</xdr:col>
      <xdr:colOff>114299</xdr:colOff>
      <xdr:row>18</xdr:row>
      <xdr:rowOff>0</xdr:rowOff>
    </xdr:to>
    <xdr:sp macro="" textlink="">
      <xdr:nvSpPr>
        <xdr:cNvPr id="27" name="Rounded Rectangle 26">
          <a:hlinkClick xmlns:r="http://schemas.openxmlformats.org/officeDocument/2006/relationships" r:id="rId16" tooltip="Click"/>
          <a:extLst>
            <a:ext uri="{FF2B5EF4-FFF2-40B4-BE49-F238E27FC236}">
              <a16:creationId xmlns:a16="http://schemas.microsoft.com/office/drawing/2014/main" id="{00000000-0008-0000-0000-00001B000000}"/>
            </a:ext>
          </a:extLst>
        </xdr:cNvPr>
        <xdr:cNvSpPr/>
      </xdr:nvSpPr>
      <xdr:spPr>
        <a:xfrm>
          <a:off x="1095375" y="4333876"/>
          <a:ext cx="685799" cy="409574"/>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chemeClr val="bg1"/>
              </a:solidFill>
              <a:latin typeface="+mn-lt"/>
            </a:rPr>
            <a:t>View</a:t>
          </a: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3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1</xdr:col>
      <xdr:colOff>6350</xdr:colOff>
      <xdr:row>1</xdr:row>
      <xdr:rowOff>0</xdr:rowOff>
    </xdr:from>
    <xdr:to>
      <xdr:col>11</xdr:col>
      <xdr:colOff>583334</xdr:colOff>
      <xdr:row>1</xdr:row>
      <xdr:rowOff>406400</xdr:rowOff>
    </xdr:to>
    <xdr:sp macro="" textlink="">
      <xdr:nvSpPr>
        <xdr:cNvPr id="1481897" name="Rectangle 365">
          <a:extLst>
            <a:ext uri="{FF2B5EF4-FFF2-40B4-BE49-F238E27FC236}">
              <a16:creationId xmlns:a16="http://schemas.microsoft.com/office/drawing/2014/main" id="{00000000-0008-0000-1400-0000A99C1600}"/>
            </a:ext>
          </a:extLst>
        </xdr:cNvPr>
        <xdr:cNvSpPr>
          <a:spLocks noChangeArrowheads="1"/>
        </xdr:cNvSpPr>
      </xdr:nvSpPr>
      <xdr:spPr bwMode="auto">
        <a:xfrm>
          <a:off x="78798" y="363682"/>
          <a:ext cx="8874702"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6350</xdr:colOff>
      <xdr:row>0</xdr:row>
      <xdr:rowOff>69849</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4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0A74888-D21B-4C9D-B9E1-2CF00989E305}"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1246505</xdr:colOff>
      <xdr:row>0</xdr:row>
      <xdr:rowOff>63500</xdr:rowOff>
    </xdr:from>
    <xdr:to>
      <xdr:col>3</xdr:col>
      <xdr:colOff>330960</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4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CEECC451-2F39-478D-8F57-1A9F7FA7A507}" type="TxLink">
            <a:rPr lang="en-US" sz="1000" b="1"/>
            <a:pPr algn="ctr"/>
            <a:t>Evaluated Savings</a:t>
          </a:fld>
          <a:endParaRPr lang="en-US" sz="1000" b="1"/>
        </a:p>
      </xdr:txBody>
    </xdr:sp>
    <xdr:clientData/>
  </xdr:twoCellAnchor>
  <xdr:twoCellAnchor editAs="absolute">
    <xdr:from>
      <xdr:col>3</xdr:col>
      <xdr:colOff>334645</xdr:colOff>
      <xdr:row>0</xdr:row>
      <xdr:rowOff>63500</xdr:rowOff>
    </xdr:from>
    <xdr:to>
      <xdr:col>5</xdr:col>
      <xdr:colOff>188595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400-000005000000}"/>
            </a:ext>
          </a:extLst>
        </xdr:cNvPr>
        <xdr:cNvSpPr/>
      </xdr:nvSpPr>
      <xdr:spPr>
        <a:xfrm>
          <a:off x="3122295" y="66675"/>
          <a:ext cx="151828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A811221-A2EF-4161-9D5A-99E710140451}" type="TxLink">
            <a:rPr lang="en-US" sz="1000" b="1"/>
            <a:pPr algn="ctr"/>
            <a:t>Cost-Benefits</a:t>
          </a:fld>
          <a:endParaRPr lang="en-US" sz="1000" b="1"/>
        </a:p>
      </xdr:txBody>
    </xdr:sp>
    <xdr:clientData/>
  </xdr:twoCellAnchor>
  <xdr:twoCellAnchor editAs="absolute">
    <xdr:from>
      <xdr:col>5</xdr:col>
      <xdr:colOff>201295</xdr:colOff>
      <xdr:row>0</xdr:row>
      <xdr:rowOff>63500</xdr:rowOff>
    </xdr:from>
    <xdr:to>
      <xdr:col>7</xdr:col>
      <xdr:colOff>181610</xdr:colOff>
      <xdr:row>0</xdr:row>
      <xdr:rowOff>340995</xdr:rowOff>
    </xdr:to>
    <xdr:sp macro="" textlink="Titles!B15">
      <xdr:nvSpPr>
        <xdr:cNvPr id="6" name="Round Same Side Corner Rectangle 5">
          <a:extLst>
            <a:ext uri="{FF2B5EF4-FFF2-40B4-BE49-F238E27FC236}">
              <a16:creationId xmlns:a16="http://schemas.microsoft.com/office/drawing/2014/main" id="{00000000-0008-0000-14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8E648A2B-0E64-4D2C-8F11-C9B2773E14B4}" type="TxLink">
            <a:rPr lang="en-US" sz="1000" b="1">
              <a:solidFill>
                <a:sysClr val="windowText" lastClr="000000"/>
              </a:solidFill>
            </a:rPr>
            <a:pPr algn="ctr"/>
            <a:t>LCFC</a:t>
          </a:fld>
          <a:endParaRPr lang="en-US" sz="1000" b="1">
            <a:solidFill>
              <a:sysClr val="windowText" lastClr="000000"/>
            </a:solidFill>
          </a:endParaRPr>
        </a:p>
      </xdr:txBody>
    </xdr:sp>
    <xdr:clientData/>
  </xdr:twoCellAnchor>
  <xdr:twoCellAnchor editAs="absolute">
    <xdr:from>
      <xdr:col>7</xdr:col>
      <xdr:colOff>201295</xdr:colOff>
      <xdr:row>0</xdr:row>
      <xdr:rowOff>63500</xdr:rowOff>
    </xdr:from>
    <xdr:to>
      <xdr:col>9</xdr:col>
      <xdr:colOff>46997</xdr:colOff>
      <xdr:row>0</xdr:row>
      <xdr:rowOff>340995</xdr:rowOff>
    </xdr:to>
    <xdr:sp macro="" textlink="Titles!B1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1400-000007000000}"/>
            </a:ext>
          </a:extLst>
        </xdr:cNvPr>
        <xdr:cNvSpPr/>
      </xdr:nvSpPr>
      <xdr:spPr>
        <a:xfrm>
          <a:off x="6000750" y="66675"/>
          <a:ext cx="146304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ED848C8B-03E4-4AF8-918D-E99E9AB74831}" type="TxLink">
            <a:rPr lang="en-US" sz="1000" b="1">
              <a:solidFill>
                <a:schemeClr val="bg1"/>
              </a:solidFill>
              <a:latin typeface="+mn-lt"/>
              <a:ea typeface="+mn-ea"/>
              <a:cs typeface="+mn-cs"/>
            </a:rPr>
            <a:pPr marL="0" indent="0" algn="ctr"/>
            <a:t>Incentives</a:t>
          </a:fld>
          <a:endParaRPr lang="en-US" sz="1000" b="1">
            <a:solidFill>
              <a:schemeClr val="bg1"/>
            </a:solidFill>
            <a:latin typeface="+mn-lt"/>
            <a:ea typeface="+mn-ea"/>
            <a:cs typeface="+mn-cs"/>
          </a:endParaRPr>
        </a:p>
      </xdr:txBody>
    </xdr:sp>
    <xdr:clientData/>
  </xdr:twoCellAnchor>
  <xdr:twoCellAnchor editAs="absolute">
    <xdr:from>
      <xdr:col>9</xdr:col>
      <xdr:colOff>50799</xdr:colOff>
      <xdr:row>0</xdr:row>
      <xdr:rowOff>63500</xdr:rowOff>
    </xdr:from>
    <xdr:to>
      <xdr:col>11</xdr:col>
      <xdr:colOff>580389</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4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7CF8B830-5202-4A05-969A-C3CC86E470C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864352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4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82550</xdr:colOff>
      <xdr:row>1</xdr:row>
      <xdr:rowOff>450849</xdr:rowOff>
    </xdr:from>
    <xdr:to>
      <xdr:col>11</xdr:col>
      <xdr:colOff>526420</xdr:colOff>
      <xdr:row>1</xdr:row>
      <xdr:rowOff>1079211</xdr:rowOff>
    </xdr:to>
    <xdr:sp macro="" textlink="">
      <xdr:nvSpPr>
        <xdr:cNvPr id="10" name="Rounded Rectangle 6">
          <a:extLst>
            <a:ext uri="{FF2B5EF4-FFF2-40B4-BE49-F238E27FC236}">
              <a16:creationId xmlns:a16="http://schemas.microsoft.com/office/drawing/2014/main" id="{00000000-0008-0000-1400-00000A000000}"/>
            </a:ext>
          </a:extLst>
        </xdr:cNvPr>
        <xdr:cNvSpPr>
          <a:spLocks noChangeArrowheads="1"/>
        </xdr:cNvSpPr>
      </xdr:nvSpPr>
      <xdr:spPr bwMode="auto">
        <a:xfrm>
          <a:off x="154998" y="811356"/>
          <a:ext cx="8747938" cy="63471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LCFC Energy Savings and Cost Recovery for the PY's .  The LCFC Cost Recovery should be directly related to the LCFC Energy Savings.  The LCFC Cost Recovery ($) should reflect the LCFC $'s  based on the actual evaluated energy savings for the reporting year.   Total LCFC $ should directly tie to the actual LCFC claimed in the EECR True-up for the reporting year (Schedule 6).</a:t>
          </a:r>
          <a:endParaRPr lang="en-US"/>
        </a:p>
      </xdr:txBody>
    </xdr:sp>
    <xdr:clientData/>
  </xdr:twoCellAnchor>
  <xdr:twoCellAnchor editAs="absolute">
    <xdr:from>
      <xdr:col>2</xdr:col>
      <xdr:colOff>1225550</xdr:colOff>
      <xdr:row>0</xdr:row>
      <xdr:rowOff>296846</xdr:rowOff>
    </xdr:from>
    <xdr:to>
      <xdr:col>9</xdr:col>
      <xdr:colOff>63524</xdr:colOff>
      <xdr:row>1</xdr:row>
      <xdr:rowOff>277682</xdr:rowOff>
    </xdr:to>
    <xdr:sp macro="" textlink="Titles!F6">
      <xdr:nvSpPr>
        <xdr:cNvPr id="11" name="TextBox 10">
          <a:extLst>
            <a:ext uri="{FF2B5EF4-FFF2-40B4-BE49-F238E27FC236}">
              <a16:creationId xmlns:a16="http://schemas.microsoft.com/office/drawing/2014/main" id="{00000000-0008-0000-14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6270AF41-1584-43CE-8DD7-7CEFD5D4B0A7}" type="TxLink">
            <a:rPr lang="en-US" sz="1600" b="1" i="1" u="none"/>
            <a:pPr algn="ctr"/>
            <a:t>SWEPCO - 2025 Program Year Evaluation</a:t>
          </a:fld>
          <a:endParaRPr lang="en-US" sz="1600" b="1" i="1" u="none"/>
        </a:p>
      </xdr:txBody>
    </xdr:sp>
    <xdr:clientData/>
  </xdr:twoCellAnchor>
  <xdr:twoCellAnchor editAs="absolute">
    <xdr:from>
      <xdr:col>2</xdr:col>
      <xdr:colOff>1917065</xdr:colOff>
      <xdr:row>1</xdr:row>
      <xdr:rowOff>139700</xdr:rowOff>
    </xdr:from>
    <xdr:to>
      <xdr:col>8</xdr:col>
      <xdr:colOff>177826</xdr:colOff>
      <xdr:row>1</xdr:row>
      <xdr:rowOff>426255</xdr:rowOff>
    </xdr:to>
    <xdr:sp macro="" textlink="Titles!C15">
      <xdr:nvSpPr>
        <xdr:cNvPr id="12" name="TextBox 11">
          <a:extLst>
            <a:ext uri="{FF2B5EF4-FFF2-40B4-BE49-F238E27FC236}">
              <a16:creationId xmlns:a16="http://schemas.microsoft.com/office/drawing/2014/main" id="{00000000-0008-0000-1400-00000C000000}"/>
            </a:ext>
          </a:extLst>
        </xdr:cNvPr>
        <xdr:cNvSpPr txBox="1"/>
      </xdr:nvSpPr>
      <xdr:spPr>
        <a:xfrm>
          <a:off x="2234565" y="504825"/>
          <a:ext cx="4556786"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897DEFC6-DC36-478C-A0E9-B788EA3675D3}" type="TxLink">
            <a:rPr lang="en-US" sz="1200" b="0" i="0" u="none" strike="noStrike">
              <a:solidFill>
                <a:srgbClr val="000000"/>
              </a:solidFill>
              <a:latin typeface="+mn-lt"/>
              <a:cs typeface="Arial"/>
            </a:rPr>
            <a:pPr algn="ctr"/>
            <a:t>Lost Contributions to Fixed Cost</a:t>
          </a:fld>
          <a:endParaRPr lang="en-US" sz="1200" b="0">
            <a:latin typeface="+mn-lt"/>
          </a:endParaRPr>
        </a:p>
      </xdr:txBody>
    </xdr:sp>
    <xdr:clientData/>
  </xdr:twoCellAnchor>
  <xdr:twoCellAnchor editAs="absolute">
    <xdr:from>
      <xdr:col>9</xdr:col>
      <xdr:colOff>125095</xdr:colOff>
      <xdr:row>1</xdr:row>
      <xdr:rowOff>95250</xdr:rowOff>
    </xdr:from>
    <xdr:to>
      <xdr:col>9</xdr:col>
      <xdr:colOff>770778</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14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11</xdr:col>
      <xdr:colOff>525200</xdr:colOff>
      <xdr:row>1</xdr:row>
      <xdr:rowOff>313055</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14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66675</xdr:colOff>
      <xdr:row>1</xdr:row>
      <xdr:rowOff>409575</xdr:rowOff>
    </xdr:to>
    <xdr:sp macro="" textlink="">
      <xdr:nvSpPr>
        <xdr:cNvPr id="1482928" name="Rectangle 365">
          <a:extLst>
            <a:ext uri="{FF2B5EF4-FFF2-40B4-BE49-F238E27FC236}">
              <a16:creationId xmlns:a16="http://schemas.microsoft.com/office/drawing/2014/main" id="{00000000-0008-0000-1500-0000B0A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32693CA-466B-4786-AAA4-7E065E8001C8}" type="TxLink">
            <a:rPr lang="en-US" sz="1000" b="1">
              <a:solidFill>
                <a:schemeClr val="lt1"/>
              </a:solidFill>
              <a:latin typeface="+mn-lt"/>
              <a:ea typeface="+mn-ea"/>
              <a:cs typeface="+mn-cs"/>
            </a:rPr>
            <a:pPr marL="0" indent="0" algn="ctr"/>
            <a:t>Actual Expenses</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809587</xdr:colOff>
      <xdr:row>0</xdr:row>
      <xdr:rowOff>340995</xdr:rowOff>
    </xdr:to>
    <xdr:sp macro="" textlink="Titles!B1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1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DA2575A9-AE56-492A-81BB-BD5D86944E7A}" type="TxLink">
            <a:rPr lang="en-US" sz="1000" b="1"/>
            <a:pPr algn="ctr"/>
            <a:t>Evaluated Savings</a:t>
          </a:fld>
          <a:endParaRPr lang="en-US" sz="1000" b="1"/>
        </a:p>
      </xdr:txBody>
    </xdr:sp>
    <xdr:clientData/>
  </xdr:twoCellAnchor>
  <xdr:twoCellAnchor editAs="absolute">
    <xdr:from>
      <xdr:col>4</xdr:col>
      <xdr:colOff>7620</xdr:colOff>
      <xdr:row>0</xdr:row>
      <xdr:rowOff>66675</xdr:rowOff>
    </xdr:from>
    <xdr:to>
      <xdr:col>5</xdr:col>
      <xdr:colOff>666725</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500-000005000000}"/>
            </a:ext>
          </a:extLst>
        </xdr:cNvPr>
        <xdr:cNvSpPr/>
      </xdr:nvSpPr>
      <xdr:spPr>
        <a:xfrm>
          <a:off x="3116580" y="66675"/>
          <a:ext cx="1508759"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36282E7D-3581-4450-A7F7-7EAD9F53AB94}" type="TxLink">
            <a:rPr lang="en-US" sz="1000" b="1"/>
            <a:pPr algn="ctr"/>
            <a:t>Cost-Benefits</a:t>
          </a:fld>
          <a:endParaRPr lang="en-US" sz="1000" b="1"/>
        </a:p>
      </xdr:txBody>
    </xdr:sp>
    <xdr:clientData/>
  </xdr:twoCellAnchor>
  <xdr:twoCellAnchor editAs="absolute">
    <xdr:from>
      <xdr:col>5</xdr:col>
      <xdr:colOff>675640</xdr:colOff>
      <xdr:row>0</xdr:row>
      <xdr:rowOff>66675</xdr:rowOff>
    </xdr:from>
    <xdr:to>
      <xdr:col>7</xdr:col>
      <xdr:colOff>1083856</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3D3029-A510-490C-A90F-BA8A935CD503}" type="TxLink">
            <a:rPr lang="en-US" sz="1000" b="1"/>
            <a:pPr algn="ctr"/>
            <a:t>LCFC</a:t>
          </a:fld>
          <a:endParaRPr lang="en-US" sz="1000" b="1"/>
        </a:p>
      </xdr:txBody>
    </xdr:sp>
    <xdr:clientData/>
  </xdr:twoCellAnchor>
  <xdr:twoCellAnchor editAs="absolute">
    <xdr:from>
      <xdr:col>7</xdr:col>
      <xdr:colOff>1097280</xdr:colOff>
      <xdr:row>0</xdr:row>
      <xdr:rowOff>66675</xdr:rowOff>
    </xdr:from>
    <xdr:to>
      <xdr:col>9</xdr:col>
      <xdr:colOff>221769</xdr:colOff>
      <xdr:row>0</xdr:row>
      <xdr:rowOff>340995</xdr:rowOff>
    </xdr:to>
    <xdr:sp macro="" textlink="Titles!B16">
      <xdr:nvSpPr>
        <xdr:cNvPr id="7" name="Round Same Side Corner Rectangle 6">
          <a:extLst>
            <a:ext uri="{FF2B5EF4-FFF2-40B4-BE49-F238E27FC236}">
              <a16:creationId xmlns:a16="http://schemas.microsoft.com/office/drawing/2014/main" id="{00000000-0008-0000-15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B855DBE-2131-4B46-B850-9E398764B517}" type="TxLink">
            <a:rPr lang="en-US" sz="1000" b="1">
              <a:solidFill>
                <a:sysClr val="windowText" lastClr="000000"/>
              </a:solidFill>
            </a:rPr>
            <a:pPr algn="ctr"/>
            <a:t>Incentives</a:t>
          </a:fld>
          <a:endParaRPr lang="en-US" sz="1000" b="1">
            <a:solidFill>
              <a:sysClr val="windowText" lastClr="000000"/>
            </a:solidFill>
          </a:endParaRPr>
        </a:p>
      </xdr:txBody>
    </xdr:sp>
    <xdr:clientData/>
  </xdr:twoCellAnchor>
  <xdr:twoCellAnchor editAs="absolute">
    <xdr:from>
      <xdr:col>9</xdr:col>
      <xdr:colOff>226694</xdr:colOff>
      <xdr:row>0</xdr:row>
      <xdr:rowOff>66675</xdr:rowOff>
    </xdr:from>
    <xdr:to>
      <xdr:col>11</xdr:col>
      <xdr:colOff>66697</xdr:colOff>
      <xdr:row>0</xdr:row>
      <xdr:rowOff>342900</xdr:rowOff>
    </xdr:to>
    <xdr:sp macro="" textlink="Titles!B1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1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DBCDA040-4234-464B-BA0A-47E89459FB6F}" type="TxLink">
            <a:rPr lang="en-US" sz="1000" b="1">
              <a:solidFill>
                <a:schemeClr val="bg1"/>
              </a:solidFill>
              <a:latin typeface="+mn-lt"/>
              <a:ea typeface="+mn-ea"/>
              <a:cs typeface="+mn-cs"/>
            </a:rPr>
            <a:pPr marL="0" indent="0" algn="ctr" rtl="0">
              <a:defRPr sz="1000"/>
            </a:pPr>
            <a:t>Not Used</a:t>
          </a:fld>
          <a:endParaRPr lang="en-US" sz="1000" b="1">
            <a:solidFill>
              <a:schemeClr val="bg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11</xdr:col>
      <xdr:colOff>9525</xdr:colOff>
      <xdr:row>1</xdr:row>
      <xdr:rowOff>773472</xdr:rowOff>
    </xdr:to>
    <xdr:sp macro="" textlink="">
      <xdr:nvSpPr>
        <xdr:cNvPr id="10" name="Rounded Rectangle 6">
          <a:extLst>
            <a:ext uri="{FF2B5EF4-FFF2-40B4-BE49-F238E27FC236}">
              <a16:creationId xmlns:a16="http://schemas.microsoft.com/office/drawing/2014/main" id="{00000000-0008-0000-15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Energy Sales Baseline information and Portfolio Level Summary detail.</a:t>
          </a:r>
          <a:endParaRPr lang="en-US"/>
        </a:p>
      </xdr:txBody>
    </xdr:sp>
    <xdr:clientData/>
  </xdr:twoCellAnchor>
  <xdr:twoCellAnchor editAs="absolute">
    <xdr:from>
      <xdr:col>2</xdr:col>
      <xdr:colOff>1228725</xdr:colOff>
      <xdr:row>0</xdr:row>
      <xdr:rowOff>293671</xdr:rowOff>
    </xdr:from>
    <xdr:to>
      <xdr:col>9</xdr:col>
      <xdr:colOff>236211</xdr:colOff>
      <xdr:row>1</xdr:row>
      <xdr:rowOff>274507</xdr:rowOff>
    </xdr:to>
    <xdr:sp macro="" textlink="Titles!F6">
      <xdr:nvSpPr>
        <xdr:cNvPr id="11" name="TextBox 10">
          <a:extLst>
            <a:ext uri="{FF2B5EF4-FFF2-40B4-BE49-F238E27FC236}">
              <a16:creationId xmlns:a16="http://schemas.microsoft.com/office/drawing/2014/main" id="{00000000-0008-0000-1500-00000B000000}"/>
            </a:ext>
          </a:extLst>
        </xdr:cNvPr>
        <xdr:cNvSpPr txBox="1"/>
      </xdr:nvSpPr>
      <xdr:spPr>
        <a:xfrm>
          <a:off x="1543050" y="300021"/>
          <a:ext cx="594168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D02934BD-7379-4830-8367-07245616B792}" type="TxLink">
            <a:rPr lang="en-US" sz="1600" b="1" i="1" u="none"/>
            <a:pPr algn="ctr"/>
            <a:t>SWEPCO - 2025 Program Year Evaluation</a:t>
          </a:fld>
          <a:endParaRPr lang="en-US" sz="1600" b="1" i="1" u="none"/>
        </a:p>
      </xdr:txBody>
    </xdr:sp>
    <xdr:clientData/>
  </xdr:twoCellAnchor>
  <xdr:twoCellAnchor editAs="absolute">
    <xdr:from>
      <xdr:col>3</xdr:col>
      <xdr:colOff>19050</xdr:colOff>
      <xdr:row>1</xdr:row>
      <xdr:rowOff>142875</xdr:rowOff>
    </xdr:from>
    <xdr:to>
      <xdr:col>8</xdr:col>
      <xdr:colOff>350532</xdr:colOff>
      <xdr:row>1</xdr:row>
      <xdr:rowOff>429430</xdr:rowOff>
    </xdr:to>
    <xdr:sp macro="" textlink="Titles!C16">
      <xdr:nvSpPr>
        <xdr:cNvPr id="12" name="TextBox 11">
          <a:extLst>
            <a:ext uri="{FF2B5EF4-FFF2-40B4-BE49-F238E27FC236}">
              <a16:creationId xmlns:a16="http://schemas.microsoft.com/office/drawing/2014/main" id="{00000000-0008-0000-1500-00000C000000}"/>
            </a:ext>
          </a:extLst>
        </xdr:cNvPr>
        <xdr:cNvSpPr txBox="1"/>
      </xdr:nvSpPr>
      <xdr:spPr>
        <a:xfrm>
          <a:off x="2238375" y="504825"/>
          <a:ext cx="455105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9954A85-D0D5-4370-92CD-B45661AB919B}" type="TxLink">
            <a:rPr lang="en-US" sz="1200" b="0" i="0" u="none" strike="noStrike">
              <a:solidFill>
                <a:srgbClr val="000000"/>
              </a:solidFill>
              <a:latin typeface="+mn-lt"/>
              <a:cs typeface="Arial"/>
            </a:rPr>
            <a:pPr algn="ctr"/>
            <a:t>Utility Performance Incentives</a:t>
          </a:fld>
          <a:endParaRPr lang="en-US" sz="1800" b="0">
            <a:latin typeface="+mn-lt"/>
          </a:endParaRPr>
        </a:p>
      </xdr:txBody>
    </xdr:sp>
    <xdr:clientData/>
  </xdr:twoCellAnchor>
  <xdr:twoCellAnchor editAs="absolute">
    <xdr:from>
      <xdr:col>9</xdr:col>
      <xdr:colOff>293370</xdr:colOff>
      <xdr:row>1</xdr:row>
      <xdr:rowOff>95250</xdr:rowOff>
    </xdr:from>
    <xdr:to>
      <xdr:col>10</xdr:col>
      <xdr:colOff>133378</xdr:colOff>
      <xdr:row>1</xdr:row>
      <xdr:rowOff>316230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1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171450</xdr:colOff>
      <xdr:row>1</xdr:row>
      <xdr:rowOff>95250</xdr:rowOff>
    </xdr:from>
    <xdr:to>
      <xdr:col>11</xdr:col>
      <xdr:colOff>1905</xdr:colOff>
      <xdr:row>1</xdr:row>
      <xdr:rowOff>316230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1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73705" name="Rectangle 365">
          <a:extLst>
            <a:ext uri="{FF2B5EF4-FFF2-40B4-BE49-F238E27FC236}">
              <a16:creationId xmlns:a16="http://schemas.microsoft.com/office/drawing/2014/main" id="{00000000-0008-0000-1600-0000A97C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4</xdr:col>
      <xdr:colOff>43839</xdr:colOff>
      <xdr:row>0</xdr:row>
      <xdr:rowOff>340994</xdr:rowOff>
    </xdr:to>
    <xdr:sp macro="" textlink="Titles!B1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1600-000003000000}"/>
            </a:ext>
          </a:extLst>
        </xdr:cNvPr>
        <xdr:cNvSpPr/>
      </xdr:nvSpPr>
      <xdr:spPr>
        <a:xfrm>
          <a:off x="76200" y="66674"/>
          <a:ext cx="1482090" cy="274320"/>
        </a:xfrm>
        <a:prstGeom prst="round2Same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4D31445-8497-4880-AAC0-19B562499AE5}" type="TxLink">
            <a:rPr lang="en-US" sz="1000" b="1">
              <a:solidFill>
                <a:schemeClr val="bg1"/>
              </a:solidFill>
            </a:rPr>
            <a:pPr algn="ctr"/>
            <a:t>Actual Expenses</a:t>
          </a:fld>
          <a:endParaRPr lang="en-US" sz="1000" b="1">
            <a:solidFill>
              <a:schemeClr val="bg1"/>
            </a:solidFill>
          </a:endParaRPr>
        </a:p>
      </xdr:txBody>
    </xdr:sp>
    <xdr:clientData/>
  </xdr:twoCellAnchor>
  <xdr:twoCellAnchor editAs="absolute">
    <xdr:from>
      <xdr:col>4</xdr:col>
      <xdr:colOff>57150</xdr:colOff>
      <xdr:row>0</xdr:row>
      <xdr:rowOff>66675</xdr:rowOff>
    </xdr:from>
    <xdr:to>
      <xdr:col>5</xdr:col>
      <xdr:colOff>318091</xdr:colOff>
      <xdr:row>0</xdr:row>
      <xdr:rowOff>340995</xdr:rowOff>
    </xdr:to>
    <xdr:sp macro="" textlink="Titles!B13">
      <xdr:nvSpPr>
        <xdr:cNvPr id="4" name="Round Same Side Corner Rectangle 3">
          <a:hlinkClick xmlns:r="http://schemas.openxmlformats.org/officeDocument/2006/relationships" r:id="rId2"/>
          <a:extLst>
            <a:ext uri="{FF2B5EF4-FFF2-40B4-BE49-F238E27FC236}">
              <a16:creationId xmlns:a16="http://schemas.microsoft.com/office/drawing/2014/main" id="{00000000-0008-0000-16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F136889-824B-4B8E-B49C-50A5B1B2E56B}" type="TxLink">
            <a:rPr lang="en-US" sz="1000" b="1"/>
            <a:pPr algn="ctr"/>
            <a:t>Evaluated Savings</a:t>
          </a:fld>
          <a:endParaRPr lang="en-US" sz="1000" b="1"/>
        </a:p>
      </xdr:txBody>
    </xdr:sp>
    <xdr:clientData/>
  </xdr:twoCellAnchor>
  <xdr:twoCellAnchor editAs="absolute">
    <xdr:from>
      <xdr:col>5</xdr:col>
      <xdr:colOff>331470</xdr:colOff>
      <xdr:row>0</xdr:row>
      <xdr:rowOff>66675</xdr:rowOff>
    </xdr:from>
    <xdr:to>
      <xdr:col>6</xdr:col>
      <xdr:colOff>613373</xdr:colOff>
      <xdr:row>0</xdr:row>
      <xdr:rowOff>340995</xdr:rowOff>
    </xdr:to>
    <xdr:sp macro="" textlink="Titles!B1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1600-000005000000}"/>
            </a:ext>
          </a:extLst>
        </xdr:cNvPr>
        <xdr:cNvSpPr/>
      </xdr:nvSpPr>
      <xdr:spPr>
        <a:xfrm>
          <a:off x="3122295" y="66675"/>
          <a:ext cx="1525905"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0927478-2913-4BA0-BD02-A541C1EAB120}" type="TxLink">
            <a:rPr lang="en-US" sz="1000" b="1"/>
            <a:pPr algn="ctr"/>
            <a:t>Cost-Benefits</a:t>
          </a:fld>
          <a:endParaRPr lang="en-US" sz="1000" b="1"/>
        </a:p>
      </xdr:txBody>
    </xdr:sp>
    <xdr:clientData/>
  </xdr:twoCellAnchor>
  <xdr:twoCellAnchor editAs="absolute">
    <xdr:from>
      <xdr:col>6</xdr:col>
      <xdr:colOff>622935</xdr:colOff>
      <xdr:row>0</xdr:row>
      <xdr:rowOff>66675</xdr:rowOff>
    </xdr:from>
    <xdr:to>
      <xdr:col>8</xdr:col>
      <xdr:colOff>120108</xdr:colOff>
      <xdr:row>0</xdr:row>
      <xdr:rowOff>340995</xdr:rowOff>
    </xdr:to>
    <xdr:sp macro="" textlink="Titles!B1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16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3FDC13C-62A0-44EF-B2D6-AD4E3B42638F}" type="TxLink">
            <a:rPr lang="en-US" sz="1000" b="1"/>
            <a:pPr algn="ctr"/>
            <a:t>LCFC</a:t>
          </a:fld>
          <a:endParaRPr lang="en-US" sz="1000" b="1"/>
        </a:p>
      </xdr:txBody>
    </xdr:sp>
    <xdr:clientData/>
  </xdr:twoCellAnchor>
  <xdr:twoCellAnchor editAs="absolute">
    <xdr:from>
      <xdr:col>8</xdr:col>
      <xdr:colOff>142875</xdr:colOff>
      <xdr:row>0</xdr:row>
      <xdr:rowOff>66675</xdr:rowOff>
    </xdr:from>
    <xdr:to>
      <xdr:col>10</xdr:col>
      <xdr:colOff>232447</xdr:colOff>
      <xdr:row>0</xdr:row>
      <xdr:rowOff>340995</xdr:rowOff>
    </xdr:to>
    <xdr:sp macro="" textlink="Titles!B16">
      <xdr:nvSpPr>
        <xdr:cNvPr id="7" name="Round Same Side Corner Rectangle 6">
          <a:hlinkClick xmlns:r="http://schemas.openxmlformats.org/officeDocument/2006/relationships" r:id="rId5" tooltip="Click"/>
          <a:extLst>
            <a:ext uri="{FF2B5EF4-FFF2-40B4-BE49-F238E27FC236}">
              <a16:creationId xmlns:a16="http://schemas.microsoft.com/office/drawing/2014/main" id="{00000000-0008-0000-16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E27CACDB-6225-448A-8306-E3FA93828CAE}" type="TxLink">
            <a:rPr lang="en-US" sz="1000" b="1"/>
            <a:pPr algn="ctr"/>
            <a:t>Incentives</a:t>
          </a:fld>
          <a:endParaRPr lang="en-US" sz="1000" b="1"/>
        </a:p>
      </xdr:txBody>
    </xdr:sp>
    <xdr:clientData/>
  </xdr:twoCellAnchor>
  <xdr:twoCellAnchor editAs="absolute">
    <xdr:from>
      <xdr:col>10</xdr:col>
      <xdr:colOff>238124</xdr:colOff>
      <xdr:row>0</xdr:row>
      <xdr:rowOff>66675</xdr:rowOff>
    </xdr:from>
    <xdr:to>
      <xdr:col>10</xdr:col>
      <xdr:colOff>1703117</xdr:colOff>
      <xdr:row>0</xdr:row>
      <xdr:rowOff>342900</xdr:rowOff>
    </xdr:to>
    <xdr:sp macro="" textlink="Titles!B17">
      <xdr:nvSpPr>
        <xdr:cNvPr id="8" name="Round Same Side Corner Rectangle 8">
          <a:extLst>
            <a:ext uri="{FF2B5EF4-FFF2-40B4-BE49-F238E27FC236}">
              <a16:creationId xmlns:a16="http://schemas.microsoft.com/office/drawing/2014/main" id="{00000000-0008-0000-16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C8EF86F4-B3A8-461D-AF60-A6A2917F7BF4}" type="TxLink">
            <a:rPr lang="en-US" sz="1000" b="1">
              <a:solidFill>
                <a:sysClr val="windowText" lastClr="000000"/>
              </a:solidFill>
              <a:latin typeface="+mn-lt"/>
              <a:ea typeface="+mn-ea"/>
              <a:cs typeface="+mn-cs"/>
            </a:rPr>
            <a:pPr marL="0" indent="0" algn="ctr" rtl="0">
              <a:defRPr sz="1000"/>
            </a:pPr>
            <a:t>Not Used</a:t>
          </a:fld>
          <a:endParaRPr lang="en-US" sz="1000" b="1">
            <a:solidFill>
              <a:sysClr val="windowText" lastClr="000000"/>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341013</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16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85725</xdr:colOff>
      <xdr:row>1</xdr:row>
      <xdr:rowOff>447674</xdr:rowOff>
    </xdr:from>
    <xdr:to>
      <xdr:col>10</xdr:col>
      <xdr:colOff>1645930</xdr:colOff>
      <xdr:row>1</xdr:row>
      <xdr:rowOff>773472</xdr:rowOff>
    </xdr:to>
    <xdr:sp macro="" textlink="">
      <xdr:nvSpPr>
        <xdr:cNvPr id="10" name="Rounded Rectangle 6">
          <a:extLst>
            <a:ext uri="{FF2B5EF4-FFF2-40B4-BE49-F238E27FC236}">
              <a16:creationId xmlns:a16="http://schemas.microsoft.com/office/drawing/2014/main" id="{00000000-0008-0000-16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endParaRPr lang="en-US"/>
        </a:p>
      </xdr:txBody>
    </xdr:sp>
    <xdr:clientData/>
  </xdr:twoCellAnchor>
  <xdr:twoCellAnchor editAs="absolute">
    <xdr:from>
      <xdr:col>4</xdr:col>
      <xdr:colOff>38100</xdr:colOff>
      <xdr:row>0</xdr:row>
      <xdr:rowOff>300021</xdr:rowOff>
    </xdr:from>
    <xdr:to>
      <xdr:col>10</xdr:col>
      <xdr:colOff>255271</xdr:colOff>
      <xdr:row>1</xdr:row>
      <xdr:rowOff>280857</xdr:rowOff>
    </xdr:to>
    <xdr:sp macro="" textlink="Titles!F6">
      <xdr:nvSpPr>
        <xdr:cNvPr id="11" name="TextBox 10">
          <a:extLst>
            <a:ext uri="{FF2B5EF4-FFF2-40B4-BE49-F238E27FC236}">
              <a16:creationId xmlns:a16="http://schemas.microsoft.com/office/drawing/2014/main" id="{00000000-0008-0000-16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E764DA70-B6A0-4D33-950A-EE7450A6C8A2}" type="TxLink">
            <a:rPr lang="en-US" sz="1600" b="1" i="1" u="none"/>
            <a:pPr algn="ctr"/>
            <a:t>SWEPCO - 2025 Program Year Evaluation</a:t>
          </a:fld>
          <a:endParaRPr lang="en-US" sz="1600" b="1" i="1" u="none"/>
        </a:p>
      </xdr:txBody>
    </xdr:sp>
    <xdr:clientData/>
  </xdr:twoCellAnchor>
  <xdr:twoCellAnchor editAs="absolute">
    <xdr:from>
      <xdr:col>4</xdr:col>
      <xdr:colOff>737235</xdr:colOff>
      <xdr:row>1</xdr:row>
      <xdr:rowOff>142875</xdr:rowOff>
    </xdr:from>
    <xdr:to>
      <xdr:col>9</xdr:col>
      <xdr:colOff>171461</xdr:colOff>
      <xdr:row>1</xdr:row>
      <xdr:rowOff>423080</xdr:rowOff>
    </xdr:to>
    <xdr:sp macro="" textlink="Titles!B17">
      <xdr:nvSpPr>
        <xdr:cNvPr id="12" name="TextBox 11">
          <a:extLst>
            <a:ext uri="{FF2B5EF4-FFF2-40B4-BE49-F238E27FC236}">
              <a16:creationId xmlns:a16="http://schemas.microsoft.com/office/drawing/2014/main" id="{00000000-0008-0000-1600-00000C000000}"/>
            </a:ext>
          </a:extLst>
        </xdr:cNvPr>
        <xdr:cNvSpPr txBox="1"/>
      </xdr:nvSpPr>
      <xdr:spPr>
        <a:xfrm>
          <a:off x="2242185" y="504825"/>
          <a:ext cx="4549151"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86ADD89-1A36-481A-ABEC-575BE4DAEA81}" type="TxLink">
            <a:rPr lang="en-US" sz="1200" b="0" i="0" u="none" strike="noStrike">
              <a:solidFill>
                <a:srgbClr val="000000"/>
              </a:solidFill>
              <a:latin typeface="+mn-lt"/>
              <a:cs typeface="Calibri"/>
            </a:rPr>
            <a:pPr algn="ctr"/>
            <a:t>Not Used</a:t>
          </a:fld>
          <a:endParaRPr lang="en-US" sz="1800" b="0">
            <a:latin typeface="+mn-lt"/>
          </a:endParaRPr>
        </a:p>
      </xdr:txBody>
    </xdr:sp>
    <xdr:clientData/>
  </xdr:twoCellAnchor>
  <xdr:twoCellAnchor editAs="absolute">
    <xdr:from>
      <xdr:col>10</xdr:col>
      <xdr:colOff>312420</xdr:colOff>
      <xdr:row>1</xdr:row>
      <xdr:rowOff>95250</xdr:rowOff>
    </xdr:from>
    <xdr:to>
      <xdr:col>10</xdr:col>
      <xdr:colOff>958103</xdr:colOff>
      <xdr:row>1</xdr:row>
      <xdr:rowOff>323850</xdr:rowOff>
    </xdr:to>
    <xdr:sp macro="" textlink="">
      <xdr:nvSpPr>
        <xdr:cNvPr id="13" name="Rounded Rectangle 12">
          <a:hlinkClick xmlns:r="http://schemas.openxmlformats.org/officeDocument/2006/relationships" r:id="rId5" tooltip="Click"/>
          <a:extLst>
            <a:ext uri="{FF2B5EF4-FFF2-40B4-BE49-F238E27FC236}">
              <a16:creationId xmlns:a16="http://schemas.microsoft.com/office/drawing/2014/main" id="{00000000-0008-0000-16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1002030</xdr:colOff>
      <xdr:row>1</xdr:row>
      <xdr:rowOff>95250</xdr:rowOff>
    </xdr:from>
    <xdr:to>
      <xdr:col>10</xdr:col>
      <xdr:colOff>1638355</xdr:colOff>
      <xdr:row>1</xdr:row>
      <xdr:rowOff>323850</xdr:rowOff>
    </xdr:to>
    <xdr:sp macro="" textlink="">
      <xdr:nvSpPr>
        <xdr:cNvPr id="14" name="Rounded Rectangle 13">
          <a:hlinkClick xmlns:r="http://schemas.openxmlformats.org/officeDocument/2006/relationships" r:id="rId6" tooltip="Click"/>
          <a:extLst>
            <a:ext uri="{FF2B5EF4-FFF2-40B4-BE49-F238E27FC236}">
              <a16:creationId xmlns:a16="http://schemas.microsoft.com/office/drawing/2014/main" id="{00000000-0008-0000-16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7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2</xdr:col>
      <xdr:colOff>0</xdr:colOff>
      <xdr:row>4</xdr:row>
      <xdr:rowOff>0</xdr:rowOff>
    </xdr:from>
    <xdr:to>
      <xdr:col>2</xdr:col>
      <xdr:colOff>1326091</xdr:colOff>
      <xdr:row>5</xdr:row>
      <xdr:rowOff>0</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700-000005000000}"/>
            </a:ext>
          </a:extLst>
        </xdr:cNvPr>
        <xdr:cNvSpPr/>
      </xdr:nvSpPr>
      <xdr:spPr>
        <a:xfrm>
          <a:off x="328083" y="1238250"/>
          <a:ext cx="1326091" cy="3175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Portfolio</a:t>
          </a:r>
          <a:r>
            <a:rPr lang="en-US" b="1" baseline="0">
              <a:solidFill>
                <a:sysClr val="windowText" lastClr="000000"/>
              </a:solidFill>
            </a:rPr>
            <a:t> Data</a:t>
          </a:r>
          <a:endParaRPr lang="en-US" b="1">
            <a:solidFill>
              <a:sysClr val="windowText" lastClr="000000"/>
            </a:solidFill>
          </a:endParaRPr>
        </a:p>
      </xdr:txBody>
    </xdr:sp>
    <xdr:clientData/>
  </xdr:twoCellAnchor>
  <xdr:twoCellAnchor>
    <xdr:from>
      <xdr:col>1</xdr:col>
      <xdr:colOff>38100</xdr:colOff>
      <xdr:row>2</xdr:row>
      <xdr:rowOff>28574</xdr:rowOff>
    </xdr:from>
    <xdr:to>
      <xdr:col>23</xdr:col>
      <xdr:colOff>635000</xdr:colOff>
      <xdr:row>3</xdr:row>
      <xdr:rowOff>158750</xdr:rowOff>
    </xdr:to>
    <xdr:sp macro="" textlink="">
      <xdr:nvSpPr>
        <xdr:cNvPr id="6" name="Rounded Rectangle 6">
          <a:extLst>
            <a:ext uri="{FF2B5EF4-FFF2-40B4-BE49-F238E27FC236}">
              <a16:creationId xmlns:a16="http://schemas.microsoft.com/office/drawing/2014/main" id="{00000000-0008-0000-1700-000006000000}"/>
            </a:ext>
          </a:extLst>
        </xdr:cNvPr>
        <xdr:cNvSpPr>
          <a:spLocks noChangeArrowheads="1"/>
        </xdr:cNvSpPr>
      </xdr:nvSpPr>
      <xdr:spPr bwMode="auto">
        <a:xfrm>
          <a:off x="101600" y="568324"/>
          <a:ext cx="15498233" cy="10509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listed below  for the past two years for each program being reported in the primary program year.  Any discontinued programs that provided saivings in the prior two years  are to be reported at the bottom in the "Discontinued Programs" section.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  </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NOTE: This information can be copied from the previous years workbook'Next Annual Report Load Data' section. </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1000" b="0" i="0" baseline="0">
            <a:effectLst/>
            <a:latin typeface="+mn-lt"/>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baseline="0">
              <a:effectLst/>
              <a:latin typeface="+mn-lt"/>
              <a:ea typeface="+mn-ea"/>
              <a:cs typeface="+mn-cs"/>
            </a:rPr>
            <a:t>Use the 'Portfolio Data' button to input prior Company Statistic Data.  </a:t>
          </a:r>
          <a:endParaRPr lang="en-US"/>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8</xdr:col>
      <xdr:colOff>985405</xdr:colOff>
      <xdr:row>1</xdr:row>
      <xdr:rowOff>129886</xdr:rowOff>
    </xdr:from>
    <xdr:to>
      <xdr:col>10</xdr:col>
      <xdr:colOff>160510</xdr:colOff>
      <xdr:row>1</xdr:row>
      <xdr:rowOff>358486</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800-000002000000}"/>
            </a:ext>
          </a:extLst>
        </xdr:cNvPr>
        <xdr:cNvSpPr/>
      </xdr:nvSpPr>
      <xdr:spPr>
        <a:xfrm>
          <a:off x="6457950" y="190500"/>
          <a:ext cx="10021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editAs="absolute">
    <xdr:from>
      <xdr:col>1</xdr:col>
      <xdr:colOff>8658</xdr:colOff>
      <xdr:row>2</xdr:row>
      <xdr:rowOff>34634</xdr:rowOff>
    </xdr:from>
    <xdr:to>
      <xdr:col>10</xdr:col>
      <xdr:colOff>311726</xdr:colOff>
      <xdr:row>5</xdr:row>
      <xdr:rowOff>2597</xdr:rowOff>
    </xdr:to>
    <xdr:sp macro="" textlink="">
      <xdr:nvSpPr>
        <xdr:cNvPr id="4" name="Rounded Rectangle 6">
          <a:extLst>
            <a:ext uri="{FF2B5EF4-FFF2-40B4-BE49-F238E27FC236}">
              <a16:creationId xmlns:a16="http://schemas.microsoft.com/office/drawing/2014/main" id="{00000000-0008-0000-1800-000004000000}"/>
            </a:ext>
          </a:extLst>
        </xdr:cNvPr>
        <xdr:cNvSpPr>
          <a:spLocks noChangeArrowheads="1"/>
        </xdr:cNvSpPr>
      </xdr:nvSpPr>
      <xdr:spPr bwMode="auto">
        <a:xfrm>
          <a:off x="77931" y="580157"/>
          <a:ext cx="7533409" cy="458933"/>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Calibri"/>
              <a:cs typeface="Calibri"/>
            </a:rPr>
            <a:t>Instructions:  </a:t>
          </a:r>
          <a:r>
            <a:rPr lang="en-US" sz="1000" b="0" i="0" baseline="0">
              <a:effectLst/>
              <a:latin typeface="+mn-lt"/>
              <a:ea typeface="+mn-ea"/>
              <a:cs typeface="+mn-cs"/>
            </a:rPr>
            <a:t>Provide the information for the Years listed below</a:t>
          </a:r>
          <a:r>
            <a:rPr lang="en-US" sz="900" b="0" i="0" u="none" strike="noStrike" baseline="0">
              <a:solidFill>
                <a:srgbClr val="000000"/>
              </a:solidFill>
              <a:latin typeface="Calibri"/>
              <a:cs typeface="Calibri"/>
            </a:rPr>
            <a:t>.  </a:t>
          </a:r>
          <a:r>
            <a:rPr lang="en-US" sz="1000" b="0" i="0" baseline="0">
              <a:effectLst/>
              <a:latin typeface="+mn-lt"/>
              <a:ea typeface="+mn-ea"/>
              <a:cs typeface="+mn-cs"/>
            </a:rPr>
            <a:t>This information can be copied from the previous years workbook'Next Annual Report Load Data' section.</a:t>
          </a:r>
          <a:endParaRPr lang="en-US"/>
        </a:p>
      </xdr:txBody>
    </xdr:sp>
    <xdr:clientData/>
  </xdr:twoCellAnchor>
  <xdr:twoCellAnchor editAs="absolute">
    <xdr:from>
      <xdr:col>2</xdr:col>
      <xdr:colOff>17318</xdr:colOff>
      <xdr:row>1</xdr:row>
      <xdr:rowOff>121227</xdr:rowOff>
    </xdr:from>
    <xdr:to>
      <xdr:col>3</xdr:col>
      <xdr:colOff>57948</xdr:colOff>
      <xdr:row>1</xdr:row>
      <xdr:rowOff>349827</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1800-000005000000}"/>
            </a:ext>
          </a:extLst>
        </xdr:cNvPr>
        <xdr:cNvSpPr/>
      </xdr:nvSpPr>
      <xdr:spPr>
        <a:xfrm>
          <a:off x="190500" y="181841"/>
          <a:ext cx="100178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1B00-000002000000}"/>
            </a:ext>
          </a:extLst>
        </xdr:cNvPr>
        <xdr:cNvSpPr/>
      </xdr:nvSpPr>
      <xdr:spPr>
        <a:xfrm>
          <a:off x="142875" y="1524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15875</xdr:colOff>
      <xdr:row>1</xdr:row>
      <xdr:rowOff>0</xdr:rowOff>
    </xdr:from>
    <xdr:to>
      <xdr:col>11</xdr:col>
      <xdr:colOff>0</xdr:colOff>
      <xdr:row>1</xdr:row>
      <xdr:rowOff>415925</xdr:rowOff>
    </xdr:to>
    <xdr:sp macro="" textlink="">
      <xdr:nvSpPr>
        <xdr:cNvPr id="1317309" name="Rectangle 365">
          <a:extLst>
            <a:ext uri="{FF2B5EF4-FFF2-40B4-BE49-F238E27FC236}">
              <a16:creationId xmlns:a16="http://schemas.microsoft.com/office/drawing/2014/main" id="{00000000-0008-0000-0200-0000BD1914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15875</xdr:colOff>
      <xdr:row>0</xdr:row>
      <xdr:rowOff>73024</xdr:rowOff>
    </xdr:from>
    <xdr:to>
      <xdr:col>2</xdr:col>
      <xdr:colOff>1236241</xdr:colOff>
      <xdr:row>0</xdr:row>
      <xdr:rowOff>340994</xdr:rowOff>
    </xdr:to>
    <xdr:sp macro="" textlink="Titles!B2">
      <xdr:nvSpPr>
        <xdr:cNvPr id="3" name="Round Same Side Corner Rectangle 2">
          <a:extLst>
            <a:ext uri="{FF2B5EF4-FFF2-40B4-BE49-F238E27FC236}">
              <a16:creationId xmlns:a16="http://schemas.microsoft.com/office/drawing/2014/main" id="{00000000-0008-0000-0200-000003000000}"/>
            </a:ext>
          </a:extLst>
        </xdr:cNvPr>
        <xdr:cNvSpPr/>
      </xdr:nvSpPr>
      <xdr:spPr>
        <a:xfrm>
          <a:off x="76200" y="66674"/>
          <a:ext cx="148209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1B8E440-EE25-4FED-9FE1-CCD8B80D1473}" type="TxLink">
            <a:rPr lang="en-US" sz="1000" b="1">
              <a:solidFill>
                <a:sysClr val="windowText" lastClr="000000"/>
              </a:solidFill>
            </a:rPr>
            <a:pPr algn="ctr"/>
            <a:t>Utility Information</a:t>
          </a:fld>
          <a:endParaRPr lang="en-US" sz="1000" b="1">
            <a:solidFill>
              <a:sysClr val="windowText" lastClr="000000"/>
            </a:solidFill>
          </a:endParaRPr>
        </a:p>
      </xdr:txBody>
    </xdr:sp>
    <xdr:clientData/>
  </xdr:twoCellAnchor>
  <xdr:twoCellAnchor editAs="absolute">
    <xdr:from>
      <xdr:col>2</xdr:col>
      <xdr:colOff>1252855</xdr:colOff>
      <xdr:row>0</xdr:row>
      <xdr:rowOff>73025</xdr:rowOff>
    </xdr:from>
    <xdr:to>
      <xdr:col>3</xdr:col>
      <xdr:colOff>971569</xdr:colOff>
      <xdr:row>0</xdr:row>
      <xdr:rowOff>340995</xdr:rowOff>
    </xdr:to>
    <xdr:sp macro="" textlink="Titles!B3">
      <xdr:nvSpPr>
        <xdr:cNvPr id="4" name="Round Same Side Corner Rectangle 3">
          <a:hlinkClick xmlns:r="http://schemas.openxmlformats.org/officeDocument/2006/relationships" r:id="rId1" tooltip="Click"/>
          <a:extLst>
            <a:ext uri="{FF2B5EF4-FFF2-40B4-BE49-F238E27FC236}">
              <a16:creationId xmlns:a16="http://schemas.microsoft.com/office/drawing/2014/main" id="{00000000-0008-0000-02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FEAE6AE-6855-4F1C-A89A-4184A06C2915}" type="TxLink">
            <a:rPr lang="en-US" sz="1000" b="1"/>
            <a:pPr algn="ctr"/>
            <a:t>Program Descriptions</a:t>
          </a:fld>
          <a:endParaRPr lang="en-US" sz="1000" b="1"/>
        </a:p>
      </xdr:txBody>
    </xdr:sp>
    <xdr:clientData/>
  </xdr:twoCellAnchor>
  <xdr:twoCellAnchor editAs="absolute">
    <xdr:from>
      <xdr:col>3</xdr:col>
      <xdr:colOff>992505</xdr:colOff>
      <xdr:row>0</xdr:row>
      <xdr:rowOff>73025</xdr:rowOff>
    </xdr:from>
    <xdr:to>
      <xdr:col>4</xdr:col>
      <xdr:colOff>397651</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2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85F8AA7-07EA-460B-913C-29C73991E499}" type="TxLink">
            <a:rPr lang="en-US" sz="1000" b="1"/>
            <a:pPr algn="ctr"/>
            <a:t>Budgets</a:t>
          </a:fld>
          <a:endParaRPr lang="en-US" sz="1000" b="1"/>
        </a:p>
      </xdr:txBody>
    </xdr:sp>
    <xdr:clientData/>
  </xdr:twoCellAnchor>
  <xdr:twoCellAnchor editAs="absolute">
    <xdr:from>
      <xdr:col>4</xdr:col>
      <xdr:colOff>417195</xdr:colOff>
      <xdr:row>0</xdr:row>
      <xdr:rowOff>73025</xdr:rowOff>
    </xdr:from>
    <xdr:to>
      <xdr:col>6</xdr:col>
      <xdr:colOff>511810</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2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4409C77F-2989-431D-9C12-E20D0377F3D1}" type="TxLink">
            <a:rPr lang="en-US" sz="1000" b="1"/>
            <a:pPr algn="ctr"/>
            <a:t>Savings &amp; Participants</a:t>
          </a:fld>
          <a:endParaRPr lang="en-US" sz="1000" b="1"/>
        </a:p>
      </xdr:txBody>
    </xdr:sp>
    <xdr:clientData/>
  </xdr:twoCellAnchor>
  <xdr:twoCellAnchor editAs="absolute">
    <xdr:from>
      <xdr:col>6</xdr:col>
      <xdr:colOff>528320</xdr:colOff>
      <xdr:row>0</xdr:row>
      <xdr:rowOff>73025</xdr:rowOff>
    </xdr:from>
    <xdr:to>
      <xdr:col>9</xdr:col>
      <xdr:colOff>156210</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2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9F1419D5-117E-4896-B48F-4EA5342B5A46}" type="TxLink">
            <a:rPr lang="en-US" sz="1000" b="1"/>
            <a:pPr algn="ctr"/>
            <a:t>Training</a:t>
          </a:fld>
          <a:endParaRPr lang="en-US" sz="1000" b="1"/>
        </a:p>
      </xdr:txBody>
    </xdr:sp>
    <xdr:clientData/>
  </xdr:twoCellAnchor>
  <xdr:twoCellAnchor editAs="absolute">
    <xdr:from>
      <xdr:col>9</xdr:col>
      <xdr:colOff>168274</xdr:colOff>
      <xdr:row>0</xdr:row>
      <xdr:rowOff>73025</xdr:rowOff>
    </xdr:from>
    <xdr:to>
      <xdr:col>11</xdr:col>
      <xdr:colOff>1956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2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85CD6D4-5FC0-4F06-894F-E1D65E399814}"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861177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2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92075</xdr:colOff>
      <xdr:row>1</xdr:row>
      <xdr:rowOff>454024</xdr:rowOff>
    </xdr:from>
    <xdr:to>
      <xdr:col>10</xdr:col>
      <xdr:colOff>967099</xdr:colOff>
      <xdr:row>1</xdr:row>
      <xdr:rowOff>776647</xdr:rowOff>
    </xdr:to>
    <xdr:sp macro="" textlink="">
      <xdr:nvSpPr>
        <xdr:cNvPr id="12" name="Rounded Rectangle 6">
          <a:extLst>
            <a:ext uri="{FF2B5EF4-FFF2-40B4-BE49-F238E27FC236}">
              <a16:creationId xmlns:a16="http://schemas.microsoft.com/office/drawing/2014/main" id="{00000000-0008-0000-0200-00000C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Provide  the requested information.  Select Company's Utility Type from the dropdown menu. </a:t>
          </a:r>
          <a:endParaRPr lang="en-US"/>
        </a:p>
      </xdr:txBody>
    </xdr:sp>
    <xdr:clientData/>
  </xdr:twoCellAnchor>
  <xdr:twoCellAnchor editAs="absolute">
    <xdr:from>
      <xdr:col>2</xdr:col>
      <xdr:colOff>1235075</xdr:colOff>
      <xdr:row>0</xdr:row>
      <xdr:rowOff>303196</xdr:rowOff>
    </xdr:from>
    <xdr:to>
      <xdr:col>9</xdr:col>
      <xdr:colOff>187349</xdr:colOff>
      <xdr:row>1</xdr:row>
      <xdr:rowOff>284032</xdr:rowOff>
    </xdr:to>
    <xdr:sp macro="" textlink="Titles!F5">
      <xdr:nvSpPr>
        <xdr:cNvPr id="13" name="TextBox 12">
          <a:extLst>
            <a:ext uri="{FF2B5EF4-FFF2-40B4-BE49-F238E27FC236}">
              <a16:creationId xmlns:a16="http://schemas.microsoft.com/office/drawing/2014/main" id="{00000000-0008-0000-0200-00000D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25AE150-F334-436F-B2A1-C1842A1307B5}" type="TxLink">
            <a:rPr lang="en-US" sz="1600" b="1" i="1" u="none"/>
            <a:pPr algn="ctr"/>
            <a:t>SWEPCO - 2025 EE Portfolio Information</a:t>
          </a:fld>
          <a:endParaRPr lang="en-US" sz="1600" b="1" i="1" u="none"/>
        </a:p>
      </xdr:txBody>
    </xdr:sp>
    <xdr:clientData/>
  </xdr:twoCellAnchor>
  <xdr:twoCellAnchor editAs="absolute">
    <xdr:from>
      <xdr:col>3</xdr:col>
      <xdr:colOff>188595</xdr:colOff>
      <xdr:row>1</xdr:row>
      <xdr:rowOff>149225</xdr:rowOff>
    </xdr:from>
    <xdr:to>
      <xdr:col>8</xdr:col>
      <xdr:colOff>95259</xdr:colOff>
      <xdr:row>1</xdr:row>
      <xdr:rowOff>432605</xdr:rowOff>
    </xdr:to>
    <xdr:sp macro="" textlink="Titles!B2">
      <xdr:nvSpPr>
        <xdr:cNvPr id="14" name="TextBox 13">
          <a:extLst>
            <a:ext uri="{FF2B5EF4-FFF2-40B4-BE49-F238E27FC236}">
              <a16:creationId xmlns:a16="http://schemas.microsoft.com/office/drawing/2014/main" id="{00000000-0008-0000-0200-00000E000000}"/>
            </a:ext>
          </a:extLst>
        </xdr:cNvPr>
        <xdr:cNvSpPr txBox="1"/>
      </xdr:nvSpPr>
      <xdr:spPr>
        <a:xfrm>
          <a:off x="2255873" y="509058"/>
          <a:ext cx="454921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776F284F-2463-45BA-9530-42F4B4E75BD4}" type="TxLink">
            <a:rPr lang="en-US" sz="1200" b="0"/>
            <a:pPr algn="ctr"/>
            <a:t>Utility Information</a:t>
          </a:fld>
          <a:endParaRPr lang="en-US" sz="1200" b="0"/>
        </a:p>
      </xdr:txBody>
    </xdr:sp>
    <xdr:clientData/>
  </xdr:twoCellAnchor>
  <xdr:twoCellAnchor editAs="absolute">
    <xdr:from>
      <xdr:col>9</xdr:col>
      <xdr:colOff>242570</xdr:colOff>
      <xdr:row>1</xdr:row>
      <xdr:rowOff>95250</xdr:rowOff>
    </xdr:from>
    <xdr:to>
      <xdr:col>10</xdr:col>
      <xdr:colOff>266700</xdr:colOff>
      <xdr:row>1</xdr:row>
      <xdr:rowOff>319405</xdr:rowOff>
    </xdr:to>
    <xdr:sp macro="" textlink="">
      <xdr:nvSpPr>
        <xdr:cNvPr id="15" name="Rounded Rectangle 14">
          <a:hlinkClick xmlns:r="http://schemas.openxmlformats.org/officeDocument/2006/relationships" r:id="rId6" tooltip="Click"/>
          <a:extLst>
            <a:ext uri="{FF2B5EF4-FFF2-40B4-BE49-F238E27FC236}">
              <a16:creationId xmlns:a16="http://schemas.microsoft.com/office/drawing/2014/main" id="{00000000-0008-0000-0200-00000F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320040</xdr:colOff>
      <xdr:row>1</xdr:row>
      <xdr:rowOff>95250</xdr:rowOff>
    </xdr:from>
    <xdr:to>
      <xdr:col>10</xdr:col>
      <xdr:colOff>956365</xdr:colOff>
      <xdr:row>1</xdr:row>
      <xdr:rowOff>323850</xdr:rowOff>
    </xdr:to>
    <xdr:sp macro="" textlink="">
      <xdr:nvSpPr>
        <xdr:cNvPr id="16" name="Rounded Rectangle 15">
          <a:hlinkClick xmlns:r="http://schemas.openxmlformats.org/officeDocument/2006/relationships" r:id="rId1" tooltip="Click"/>
          <a:extLst>
            <a:ext uri="{FF2B5EF4-FFF2-40B4-BE49-F238E27FC236}">
              <a16:creationId xmlns:a16="http://schemas.microsoft.com/office/drawing/2014/main" id="{00000000-0008-0000-0200-000010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E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2</xdr:col>
      <xdr:colOff>2741295</xdr:colOff>
      <xdr:row>1</xdr:row>
      <xdr:rowOff>114300</xdr:rowOff>
    </xdr:from>
    <xdr:to>
      <xdr:col>2</xdr:col>
      <xdr:colOff>4314825</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1F00-000003000000}"/>
            </a:ext>
          </a:extLst>
        </xdr:cNvPr>
        <xdr:cNvSpPr/>
      </xdr:nvSpPr>
      <xdr:spPr>
        <a:xfrm>
          <a:off x="7256145" y="171450"/>
          <a:ext cx="157353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Instructions</a:t>
          </a:r>
        </a:p>
      </xdr:txBody>
    </xdr:sp>
    <xdr:clientData/>
  </xdr:twoCellAnchor>
  <xdr:twoCellAnchor editAs="absolute">
    <xdr:from>
      <xdr:col>1</xdr:col>
      <xdr:colOff>66675</xdr:colOff>
      <xdr:row>1</xdr:row>
      <xdr:rowOff>95250</xdr:rowOff>
    </xdr:from>
    <xdr:to>
      <xdr:col>1</xdr:col>
      <xdr:colOff>1381125</xdr:colOff>
      <xdr:row>1</xdr:row>
      <xdr:rowOff>333375</xdr:rowOff>
    </xdr:to>
    <xdr:sp macro="" textlink="">
      <xdr:nvSpPr>
        <xdr:cNvPr id="4" name="Rounded Rectangle 3">
          <a:hlinkClick xmlns:r="http://schemas.openxmlformats.org/officeDocument/2006/relationships" r:id="rId2" tooltip="Click"/>
          <a:extLst>
            <a:ext uri="{FF2B5EF4-FFF2-40B4-BE49-F238E27FC236}">
              <a16:creationId xmlns:a16="http://schemas.microsoft.com/office/drawing/2014/main" id="{00000000-0008-0000-1F00-000004000000}"/>
            </a:ext>
          </a:extLst>
        </xdr:cNvPr>
        <xdr:cNvSpPr/>
      </xdr:nvSpPr>
      <xdr:spPr>
        <a:xfrm>
          <a:off x="133350" y="152400"/>
          <a:ext cx="13144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Budgets</a:t>
          </a:r>
        </a:p>
      </xdr:txBody>
    </xdr:sp>
    <xdr:clientData/>
  </xdr:twoCellAnchor>
  <xdr:twoCellAnchor editAs="absolute">
    <xdr:from>
      <xdr:col>1</xdr:col>
      <xdr:colOff>1457325</xdr:colOff>
      <xdr:row>1</xdr:row>
      <xdr:rowOff>95250</xdr:rowOff>
    </xdr:from>
    <xdr:to>
      <xdr:col>1</xdr:col>
      <xdr:colOff>2781300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1F00-000006000000}"/>
            </a:ext>
          </a:extLst>
        </xdr:cNvPr>
        <xdr:cNvSpPr/>
      </xdr:nvSpPr>
      <xdr:spPr>
        <a:xfrm>
          <a:off x="1524000" y="152400"/>
          <a:ext cx="132397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 to Expenses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0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1</xdr:row>
      <xdr:rowOff>123825</xdr:rowOff>
    </xdr:from>
    <xdr:to>
      <xdr:col>2</xdr:col>
      <xdr:colOff>169563</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400-000003000000}"/>
            </a:ext>
          </a:extLst>
        </xdr:cNvPr>
        <xdr:cNvSpPr/>
      </xdr:nvSpPr>
      <xdr:spPr>
        <a:xfrm>
          <a:off x="85725" y="180975"/>
          <a:ext cx="9982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10</xdr:col>
      <xdr:colOff>568555</xdr:colOff>
      <xdr:row>1</xdr:row>
      <xdr:rowOff>105641</xdr:rowOff>
    </xdr:from>
    <xdr:to>
      <xdr:col>11</xdr:col>
      <xdr:colOff>437319</xdr:colOff>
      <xdr:row>1</xdr:row>
      <xdr:rowOff>334241</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400-000005000000}"/>
            </a:ext>
          </a:extLst>
        </xdr:cNvPr>
        <xdr:cNvSpPr/>
      </xdr:nvSpPr>
      <xdr:spPr>
        <a:xfrm>
          <a:off x="7772919" y="166255"/>
          <a:ext cx="63942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19050</xdr:colOff>
      <xdr:row>1</xdr:row>
      <xdr:rowOff>133350</xdr:rowOff>
    </xdr:from>
    <xdr:to>
      <xdr:col>1</xdr:col>
      <xdr:colOff>1021083</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500-000003000000}"/>
            </a:ext>
          </a:extLst>
        </xdr:cNvPr>
        <xdr:cNvSpPr/>
      </xdr:nvSpPr>
      <xdr:spPr>
        <a:xfrm>
          <a:off x="85725" y="190500"/>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7</xdr:col>
      <xdr:colOff>28575</xdr:colOff>
      <xdr:row>1</xdr:row>
      <xdr:rowOff>104775</xdr:rowOff>
    </xdr:from>
    <xdr:to>
      <xdr:col>8</xdr:col>
      <xdr:colOff>630264</xdr:colOff>
      <xdr:row>1</xdr:row>
      <xdr:rowOff>333375</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500-000005000000}"/>
            </a:ext>
          </a:extLst>
        </xdr:cNvPr>
        <xdr:cNvSpPr/>
      </xdr:nvSpPr>
      <xdr:spPr>
        <a:xfrm>
          <a:off x="76104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112568</xdr:colOff>
      <xdr:row>1</xdr:row>
      <xdr:rowOff>112568</xdr:rowOff>
    </xdr:from>
    <xdr:to>
      <xdr:col>6</xdr:col>
      <xdr:colOff>758251</xdr:colOff>
      <xdr:row>1</xdr:row>
      <xdr:rowOff>341168</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500-000004000000}"/>
            </a:ext>
          </a:extLst>
        </xdr:cNvPr>
        <xdr:cNvSpPr/>
      </xdr:nvSpPr>
      <xdr:spPr>
        <a:xfrm>
          <a:off x="6840682" y="173182"/>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28575</xdr:colOff>
      <xdr:row>1</xdr:row>
      <xdr:rowOff>123825</xdr:rowOff>
    </xdr:from>
    <xdr:to>
      <xdr:col>1</xdr:col>
      <xdr:colOff>1030608</xdr:colOff>
      <xdr:row>1</xdr:row>
      <xdr:rowOff>352425</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600-000003000000}"/>
            </a:ext>
          </a:extLst>
        </xdr:cNvPr>
        <xdr:cNvSpPr/>
      </xdr:nvSpPr>
      <xdr:spPr>
        <a:xfrm>
          <a:off x="95250" y="180975"/>
          <a:ext cx="100203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15</xdr:row>
      <xdr:rowOff>19050</xdr:rowOff>
    </xdr:from>
    <xdr:to>
      <xdr:col>7</xdr:col>
      <xdr:colOff>0</xdr:colOff>
      <xdr:row>34</xdr:row>
      <xdr:rowOff>66675</xdr:rowOff>
    </xdr:to>
    <xdr:graphicFrame macro="">
      <xdr:nvGraphicFramePr>
        <xdr:cNvPr id="1487940" name="Chart 1">
          <a:extLst>
            <a:ext uri="{FF2B5EF4-FFF2-40B4-BE49-F238E27FC236}">
              <a16:creationId xmlns:a16="http://schemas.microsoft.com/office/drawing/2014/main" id="{00000000-0008-0000-2600-000044B4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681991</xdr:colOff>
      <xdr:row>1</xdr:row>
      <xdr:rowOff>94237</xdr:rowOff>
    </xdr:from>
    <xdr:to>
      <xdr:col>6</xdr:col>
      <xdr:colOff>476331</xdr:colOff>
      <xdr:row>1</xdr:row>
      <xdr:rowOff>322837</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600-000006000000}"/>
            </a:ext>
          </a:extLst>
        </xdr:cNvPr>
        <xdr:cNvSpPr/>
      </xdr:nvSpPr>
      <xdr:spPr>
        <a:xfrm>
          <a:off x="4772026" y="151387"/>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4</xdr:col>
      <xdr:colOff>805295</xdr:colOff>
      <xdr:row>1</xdr:row>
      <xdr:rowOff>95250</xdr:rowOff>
    </xdr:from>
    <xdr:to>
      <xdr:col>5</xdr:col>
      <xdr:colOff>602387</xdr:colOff>
      <xdr:row>1</xdr:row>
      <xdr:rowOff>323850</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600-000007000000}"/>
            </a:ext>
          </a:extLst>
        </xdr:cNvPr>
        <xdr:cNvSpPr/>
      </xdr:nvSpPr>
      <xdr:spPr>
        <a:xfrm>
          <a:off x="4043795" y="155864"/>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28575</xdr:colOff>
      <xdr:row>1</xdr:row>
      <xdr:rowOff>133350</xdr:rowOff>
    </xdr:from>
    <xdr:to>
      <xdr:col>3</xdr:col>
      <xdr:colOff>321949</xdr:colOff>
      <xdr:row>1</xdr:row>
      <xdr:rowOff>361950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700-000003000000}"/>
            </a:ext>
          </a:extLst>
        </xdr:cNvPr>
        <xdr:cNvSpPr/>
      </xdr:nvSpPr>
      <xdr:spPr>
        <a:xfrm>
          <a:off x="95250" y="190500"/>
          <a:ext cx="99822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0</xdr:col>
      <xdr:colOff>57150</xdr:colOff>
      <xdr:row>14</xdr:row>
      <xdr:rowOff>9525</xdr:rowOff>
    </xdr:from>
    <xdr:to>
      <xdr:col>14</xdr:col>
      <xdr:colOff>0</xdr:colOff>
      <xdr:row>27</xdr:row>
      <xdr:rowOff>103909</xdr:rowOff>
    </xdr:to>
    <xdr:graphicFrame macro="">
      <xdr:nvGraphicFramePr>
        <xdr:cNvPr id="1489988" name="Chart 5">
          <a:extLst>
            <a:ext uri="{FF2B5EF4-FFF2-40B4-BE49-F238E27FC236}">
              <a16:creationId xmlns:a16="http://schemas.microsoft.com/office/drawing/2014/main" id="{00000000-0008-0000-2700-000044BC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491490</xdr:colOff>
      <xdr:row>1</xdr:row>
      <xdr:rowOff>104775</xdr:rowOff>
    </xdr:from>
    <xdr:to>
      <xdr:col>13</xdr:col>
      <xdr:colOff>400130</xdr:colOff>
      <xdr:row>1</xdr:row>
      <xdr:rowOff>333375</xdr:rowOff>
    </xdr:to>
    <xdr:sp macro="" textlink="">
      <xdr:nvSpPr>
        <xdr:cNvPr id="6" name="Rounded Rectangle 5">
          <a:hlinkClick xmlns:r="http://schemas.openxmlformats.org/officeDocument/2006/relationships" r:id="rId3" tooltip="Click"/>
          <a:extLst>
            <a:ext uri="{FF2B5EF4-FFF2-40B4-BE49-F238E27FC236}">
              <a16:creationId xmlns:a16="http://schemas.microsoft.com/office/drawing/2014/main" id="{00000000-0008-0000-2700-000006000000}"/>
            </a:ext>
          </a:extLst>
        </xdr:cNvPr>
        <xdr:cNvSpPr/>
      </xdr:nvSpPr>
      <xdr:spPr>
        <a:xfrm>
          <a:off x="6696075" y="161925"/>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11</xdr:col>
      <xdr:colOff>225136</xdr:colOff>
      <xdr:row>1</xdr:row>
      <xdr:rowOff>112569</xdr:rowOff>
    </xdr:from>
    <xdr:to>
      <xdr:col>12</xdr:col>
      <xdr:colOff>359933</xdr:colOff>
      <xdr:row>1</xdr:row>
      <xdr:rowOff>341169</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700-000007000000}"/>
            </a:ext>
          </a:extLst>
        </xdr:cNvPr>
        <xdr:cNvSpPr/>
      </xdr:nvSpPr>
      <xdr:spPr>
        <a:xfrm>
          <a:off x="5931477" y="173183"/>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1</xdr:col>
      <xdr:colOff>1078233</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8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0</xdr:colOff>
      <xdr:row>12</xdr:row>
      <xdr:rowOff>9525</xdr:rowOff>
    </xdr:from>
    <xdr:to>
      <xdr:col>14</xdr:col>
      <xdr:colOff>0</xdr:colOff>
      <xdr:row>28</xdr:row>
      <xdr:rowOff>8659</xdr:rowOff>
    </xdr:to>
    <xdr:graphicFrame macro="">
      <xdr:nvGraphicFramePr>
        <xdr:cNvPr id="193473" name="Chart 1">
          <a:extLst>
            <a:ext uri="{FF2B5EF4-FFF2-40B4-BE49-F238E27FC236}">
              <a16:creationId xmlns:a16="http://schemas.microsoft.com/office/drawing/2014/main" id="{00000000-0008-0000-2800-0000C1F3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337705</xdr:colOff>
      <xdr:row>1</xdr:row>
      <xdr:rowOff>112567</xdr:rowOff>
    </xdr:from>
    <xdr:to>
      <xdr:col>13</xdr:col>
      <xdr:colOff>297011</xdr:colOff>
      <xdr:row>1</xdr:row>
      <xdr:rowOff>341167</xdr:rowOff>
    </xdr:to>
    <xdr:sp macro="" textlink="">
      <xdr:nvSpPr>
        <xdr:cNvPr id="4" name="Rounded Rectangle 3">
          <a:hlinkClick xmlns:r="http://schemas.openxmlformats.org/officeDocument/2006/relationships" r:id="rId3" tooltip="Click"/>
          <a:extLst>
            <a:ext uri="{FF2B5EF4-FFF2-40B4-BE49-F238E27FC236}">
              <a16:creationId xmlns:a16="http://schemas.microsoft.com/office/drawing/2014/main" id="{00000000-0008-0000-2800-000004000000}"/>
            </a:ext>
          </a:extLst>
        </xdr:cNvPr>
        <xdr:cNvSpPr/>
      </xdr:nvSpPr>
      <xdr:spPr>
        <a:xfrm>
          <a:off x="8044296" y="173181"/>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76200</xdr:colOff>
      <xdr:row>1</xdr:row>
      <xdr:rowOff>96371</xdr:rowOff>
    </xdr:from>
    <xdr:to>
      <xdr:col>1</xdr:col>
      <xdr:colOff>1070377</xdr:colOff>
      <xdr:row>1</xdr:row>
      <xdr:rowOff>324971</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9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4234</xdr:colOff>
      <xdr:row>30</xdr:row>
      <xdr:rowOff>50800</xdr:rowOff>
    </xdr:from>
    <xdr:to>
      <xdr:col>4</xdr:col>
      <xdr:colOff>620184</xdr:colOff>
      <xdr:row>56</xdr:row>
      <xdr:rowOff>50800</xdr:rowOff>
    </xdr:to>
    <xdr:graphicFrame macro="">
      <xdr:nvGraphicFramePr>
        <xdr:cNvPr id="1493073" name="Chart 1">
          <a:extLst>
            <a:ext uri="{FF2B5EF4-FFF2-40B4-BE49-F238E27FC236}">
              <a16:creationId xmlns:a16="http://schemas.microsoft.com/office/drawing/2014/main" id="{00000000-0008-0000-2900-000051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662516</xdr:colOff>
      <xdr:row>30</xdr:row>
      <xdr:rowOff>49742</xdr:rowOff>
    </xdr:from>
    <xdr:to>
      <xdr:col>12</xdr:col>
      <xdr:colOff>452966</xdr:colOff>
      <xdr:row>56</xdr:row>
      <xdr:rowOff>59267</xdr:rowOff>
    </xdr:to>
    <xdr:graphicFrame macro="">
      <xdr:nvGraphicFramePr>
        <xdr:cNvPr id="1493074" name="Chart 4">
          <a:extLst>
            <a:ext uri="{FF2B5EF4-FFF2-40B4-BE49-F238E27FC236}">
              <a16:creationId xmlns:a16="http://schemas.microsoft.com/office/drawing/2014/main" id="{00000000-0008-0000-2900-000052C8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23432</xdr:colOff>
      <xdr:row>1</xdr:row>
      <xdr:rowOff>100293</xdr:rowOff>
    </xdr:from>
    <xdr:to>
      <xdr:col>12</xdr:col>
      <xdr:colOff>261893</xdr:colOff>
      <xdr:row>1</xdr:row>
      <xdr:rowOff>328893</xdr:rowOff>
    </xdr:to>
    <xdr:sp macro="" textlink="">
      <xdr:nvSpPr>
        <xdr:cNvPr id="7" name="Rounded Rectangle 6">
          <a:hlinkClick xmlns:r="http://schemas.openxmlformats.org/officeDocument/2006/relationships" r:id="rId4" tooltip="Click"/>
          <a:extLst>
            <a:ext uri="{FF2B5EF4-FFF2-40B4-BE49-F238E27FC236}">
              <a16:creationId xmlns:a16="http://schemas.microsoft.com/office/drawing/2014/main" id="{00000000-0008-0000-2900-000007000000}"/>
            </a:ext>
          </a:extLst>
        </xdr:cNvPr>
        <xdr:cNvSpPr/>
      </xdr:nvSpPr>
      <xdr:spPr>
        <a:xfrm>
          <a:off x="9567582" y="156322"/>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8</xdr:col>
      <xdr:colOff>639907</xdr:colOff>
      <xdr:row>1</xdr:row>
      <xdr:rowOff>409575</xdr:rowOff>
    </xdr:to>
    <xdr:sp macro="" textlink="">
      <xdr:nvSpPr>
        <xdr:cNvPr id="1464516" name="Rectangle 365">
          <a:extLst>
            <a:ext uri="{FF2B5EF4-FFF2-40B4-BE49-F238E27FC236}">
              <a16:creationId xmlns:a16="http://schemas.microsoft.com/office/drawing/2014/main" id="{00000000-0008-0000-0300-0000C45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3</xdr:col>
      <xdr:colOff>1218922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3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9737414-2531-49F5-82E8-307B67CC7DCE}"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3</xdr:col>
      <xdr:colOff>1232361</xdr:colOff>
      <xdr:row>0</xdr:row>
      <xdr:rowOff>66675</xdr:rowOff>
    </xdr:from>
    <xdr:to>
      <xdr:col>4</xdr:col>
      <xdr:colOff>310424</xdr:colOff>
      <xdr:row>0</xdr:row>
      <xdr:rowOff>340995</xdr:rowOff>
    </xdr:to>
    <xdr:sp macro="" textlink="Titles!B3">
      <xdr:nvSpPr>
        <xdr:cNvPr id="4" name="Round Same Side Corner Rectangle 3">
          <a:extLst>
            <a:ext uri="{FF2B5EF4-FFF2-40B4-BE49-F238E27FC236}">
              <a16:creationId xmlns:a16="http://schemas.microsoft.com/office/drawing/2014/main" id="{00000000-0008-0000-0300-000004000000}"/>
            </a:ext>
          </a:extLst>
        </xdr:cNvPr>
        <xdr:cNvSpPr/>
      </xdr:nvSpPr>
      <xdr:spPr>
        <a:xfrm>
          <a:off x="156210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397BDF8-556C-4ED1-A2A6-6F97A4E9A51C}" type="TxLink">
            <a:rPr lang="en-US" sz="1000" b="1">
              <a:solidFill>
                <a:sysClr val="windowText" lastClr="000000"/>
              </a:solidFill>
              <a:latin typeface="+mn-lt"/>
              <a:ea typeface="+mn-ea"/>
              <a:cs typeface="+mn-cs"/>
            </a:rPr>
            <a:pPr marL="0" indent="0" algn="ctr"/>
            <a:t>Program Descriptions</a:t>
          </a:fld>
          <a:endParaRPr lang="en-US" sz="1000" b="1">
            <a:solidFill>
              <a:sysClr val="windowText" lastClr="000000"/>
            </a:solidFill>
            <a:latin typeface="+mn-lt"/>
            <a:ea typeface="+mn-ea"/>
            <a:cs typeface="+mn-cs"/>
          </a:endParaRPr>
        </a:p>
      </xdr:txBody>
    </xdr:sp>
    <xdr:clientData/>
  </xdr:twoCellAnchor>
  <xdr:twoCellAnchor editAs="absolute">
    <xdr:from>
      <xdr:col>4</xdr:col>
      <xdr:colOff>323676</xdr:colOff>
      <xdr:row>0</xdr:row>
      <xdr:rowOff>66675</xdr:rowOff>
    </xdr:from>
    <xdr:to>
      <xdr:col>5</xdr:col>
      <xdr:colOff>337002</xdr:colOff>
      <xdr:row>0</xdr:row>
      <xdr:rowOff>340995</xdr:rowOff>
    </xdr:to>
    <xdr:sp macro="" textlink="Titles!B4">
      <xdr:nvSpPr>
        <xdr:cNvPr id="5" name="Round Same Side Corner Rectangle 4">
          <a:hlinkClick xmlns:r="http://schemas.openxmlformats.org/officeDocument/2006/relationships" r:id="rId2" tooltip="Click"/>
          <a:extLst>
            <a:ext uri="{FF2B5EF4-FFF2-40B4-BE49-F238E27FC236}">
              <a16:creationId xmlns:a16="http://schemas.microsoft.com/office/drawing/2014/main" id="{00000000-0008-0000-03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5BD78D32-E0FA-4B1A-9298-8952311446EC}" type="TxLink">
            <a:rPr lang="en-US" sz="1000" b="1"/>
            <a:pPr algn="ctr"/>
            <a:t>Budgets</a:t>
          </a:fld>
          <a:endParaRPr lang="en-US" sz="1000" b="1"/>
        </a:p>
      </xdr:txBody>
    </xdr:sp>
    <xdr:clientData/>
  </xdr:twoCellAnchor>
  <xdr:twoCellAnchor editAs="absolute">
    <xdr:from>
      <xdr:col>5</xdr:col>
      <xdr:colOff>352252</xdr:colOff>
      <xdr:row>0</xdr:row>
      <xdr:rowOff>66675</xdr:rowOff>
    </xdr:from>
    <xdr:to>
      <xdr:col>6</xdr:col>
      <xdr:colOff>159916</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3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A56CCD9A-6F96-4562-810C-641B72AC6BCC}" type="TxLink">
            <a:rPr lang="en-US" sz="1000" b="1"/>
            <a:pPr algn="ctr"/>
            <a:t>Savings &amp; Participants</a:t>
          </a:fld>
          <a:endParaRPr lang="en-US" sz="1000" b="1"/>
        </a:p>
      </xdr:txBody>
    </xdr:sp>
    <xdr:clientData/>
  </xdr:twoCellAnchor>
  <xdr:twoCellAnchor editAs="absolute">
    <xdr:from>
      <xdr:col>6</xdr:col>
      <xdr:colOff>171277</xdr:colOff>
      <xdr:row>0</xdr:row>
      <xdr:rowOff>66675</xdr:rowOff>
    </xdr:from>
    <xdr:to>
      <xdr:col>6</xdr:col>
      <xdr:colOff>1633979</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3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0D3E0DAC-08ED-463D-86E8-A85339CE52C3}" type="TxLink">
            <a:rPr lang="en-US" sz="1000" b="1"/>
            <a:pPr algn="ctr"/>
            <a:t>Training</a:t>
          </a:fld>
          <a:endParaRPr lang="en-US" sz="1000" b="1"/>
        </a:p>
      </xdr:txBody>
    </xdr:sp>
    <xdr:clientData/>
  </xdr:twoCellAnchor>
  <xdr:twoCellAnchor editAs="absolute">
    <xdr:from>
      <xdr:col>6</xdr:col>
      <xdr:colOff>1647651</xdr:colOff>
      <xdr:row>0</xdr:row>
      <xdr:rowOff>66675</xdr:rowOff>
    </xdr:from>
    <xdr:to>
      <xdr:col>8</xdr:col>
      <xdr:colOff>643811</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3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BC08E5AE-CBD3-4B8B-B7BB-C2257C0381FA}"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3</xdr:col>
      <xdr:colOff>843858</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3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xdr:from>
      <xdr:col>1</xdr:col>
      <xdr:colOff>85725</xdr:colOff>
      <xdr:row>1</xdr:row>
      <xdr:rowOff>447675</xdr:rowOff>
    </xdr:from>
    <xdr:to>
      <xdr:col>8</xdr:col>
      <xdr:colOff>578949</xdr:colOff>
      <xdr:row>1</xdr:row>
      <xdr:rowOff>1160319</xdr:rowOff>
    </xdr:to>
    <xdr:sp macro="" textlink="">
      <xdr:nvSpPr>
        <xdr:cNvPr id="10" name="Rounded Rectangle 6">
          <a:extLst>
            <a:ext uri="{FF2B5EF4-FFF2-40B4-BE49-F238E27FC236}">
              <a16:creationId xmlns:a16="http://schemas.microsoft.com/office/drawing/2014/main" id="{00000000-0008-0000-0300-00000A000000}"/>
            </a:ext>
          </a:extLst>
        </xdr:cNvPr>
        <xdr:cNvSpPr>
          <a:spLocks noChangeArrowheads="1"/>
        </xdr:cNvSpPr>
      </xdr:nvSpPr>
      <xdr:spPr bwMode="auto">
        <a:xfrm>
          <a:off x="154998" y="811357"/>
          <a:ext cx="8719360" cy="712644"/>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following details  for each program: Program Name, Target Sector, Program Type, and Delivery Channel . Provide additional detail for each program by clicking on the "Program Detail" button.  </a:t>
          </a:r>
        </a:p>
        <a:p>
          <a:pPr algn="l" rtl="0">
            <a:defRPr sz="1000"/>
          </a:pPr>
          <a:endParaRPr lang="en-US" sz="900" b="0" i="0" u="none" strike="noStrike" baseline="0">
            <a:solidFill>
              <a:srgbClr val="000000"/>
            </a:solidFill>
            <a:latin typeface="Calibri"/>
            <a:cs typeface="Calibri"/>
          </a:endParaRPr>
        </a:p>
        <a:p>
          <a:pPr algn="l" rtl="0">
            <a:defRPr sz="1000"/>
          </a:pPr>
          <a:r>
            <a:rPr lang="en-US" sz="900" b="0" i="0" u="none" strike="noStrike" baseline="0">
              <a:solidFill>
                <a:srgbClr val="000000"/>
              </a:solidFill>
              <a:latin typeface="Calibri"/>
              <a:cs typeface="Calibri"/>
            </a:rPr>
            <a:t>Note: Target sector , Program Type, and Delivery Channel are dropdown options.  </a:t>
          </a:r>
          <a:r>
            <a:rPr lang="en-US" sz="900" b="0" i="0" u="sng" strike="noStrike" baseline="0">
              <a:solidFill>
                <a:srgbClr val="000000"/>
              </a:solidFill>
              <a:latin typeface="Calibri"/>
              <a:cs typeface="Calibri"/>
            </a:rPr>
            <a:t>DO NOT</a:t>
          </a:r>
          <a:r>
            <a:rPr lang="en-US" sz="900" b="0" i="0" u="none" strike="noStrike" baseline="0">
              <a:solidFill>
                <a:srgbClr val="000000"/>
              </a:solidFill>
              <a:latin typeface="Calibri"/>
              <a:cs typeface="Calibri"/>
            </a:rPr>
            <a:t> use the copy&amp;paste function for dropdown opitions.</a:t>
          </a:r>
          <a:endParaRPr lang="en-US" sz="900"/>
        </a:p>
      </xdr:txBody>
    </xdr:sp>
    <xdr:clientData/>
  </xdr:twoCellAnchor>
  <xdr:twoCellAnchor editAs="absolute">
    <xdr:from>
      <xdr:col>3</xdr:col>
      <xdr:colOff>1211406</xdr:colOff>
      <xdr:row>0</xdr:row>
      <xdr:rowOff>300021</xdr:rowOff>
    </xdr:from>
    <xdr:to>
      <xdr:col>6</xdr:col>
      <xdr:colOff>1657178</xdr:colOff>
      <xdr:row>1</xdr:row>
      <xdr:rowOff>280857</xdr:rowOff>
    </xdr:to>
    <xdr:sp macro="" textlink="Titles!F5">
      <xdr:nvSpPr>
        <xdr:cNvPr id="11" name="TextBox 10">
          <a:extLst>
            <a:ext uri="{FF2B5EF4-FFF2-40B4-BE49-F238E27FC236}">
              <a16:creationId xmlns:a16="http://schemas.microsoft.com/office/drawing/2014/main" id="{00000000-0008-0000-0300-00000B000000}"/>
            </a:ext>
          </a:extLst>
        </xdr:cNvPr>
        <xdr:cNvSpPr txBox="1"/>
      </xdr:nvSpPr>
      <xdr:spPr>
        <a:xfrm>
          <a:off x="1543050" y="300021"/>
          <a:ext cx="594169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D84186B-73E1-42D7-B4EC-65B2D7A30F07}" type="TxLink">
            <a:rPr lang="en-US" sz="1600" b="1" i="1" u="none"/>
            <a:pPr algn="ctr"/>
            <a:t>SWEPCO - 2025 EE Portfolio Information</a:t>
          </a:fld>
          <a:endParaRPr lang="en-US" sz="1600" b="1" i="1" u="none"/>
        </a:p>
      </xdr:txBody>
    </xdr:sp>
    <xdr:clientData/>
  </xdr:twoCellAnchor>
  <xdr:twoCellAnchor editAs="absolute">
    <xdr:from>
      <xdr:col>3</xdr:col>
      <xdr:colOff>1904826</xdr:colOff>
      <xdr:row>1</xdr:row>
      <xdr:rowOff>142875</xdr:rowOff>
    </xdr:from>
    <xdr:to>
      <xdr:col>6</xdr:col>
      <xdr:colOff>965671</xdr:colOff>
      <xdr:row>1</xdr:row>
      <xdr:rowOff>423080</xdr:rowOff>
    </xdr:to>
    <xdr:sp macro="" textlink="Titles!B3">
      <xdr:nvSpPr>
        <xdr:cNvPr id="12" name="TextBox 11">
          <a:extLst>
            <a:ext uri="{FF2B5EF4-FFF2-40B4-BE49-F238E27FC236}">
              <a16:creationId xmlns:a16="http://schemas.microsoft.com/office/drawing/2014/main" id="{00000000-0008-0000-03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DF2FE8A1-4FE3-431E-8979-A0C289ABF463}" type="TxLink">
            <a:rPr lang="en-US" sz="1200" b="0"/>
            <a:pPr algn="ctr"/>
            <a:t>Program Descriptions</a:t>
          </a:fld>
          <a:endParaRPr lang="en-US" sz="1200" b="0"/>
        </a:p>
      </xdr:txBody>
    </xdr:sp>
    <xdr:clientData/>
  </xdr:twoCellAnchor>
  <xdr:twoCellAnchor editAs="absolute">
    <xdr:from>
      <xdr:col>6</xdr:col>
      <xdr:colOff>1714327</xdr:colOff>
      <xdr:row>1</xdr:row>
      <xdr:rowOff>95250</xdr:rowOff>
    </xdr:from>
    <xdr:to>
      <xdr:col>7</xdr:col>
      <xdr:colOff>363469</xdr:colOff>
      <xdr:row>1</xdr:row>
      <xdr:rowOff>316230</xdr:rowOff>
    </xdr:to>
    <xdr:sp macro="" textlink="">
      <xdr:nvSpPr>
        <xdr:cNvPr id="13" name="Rounded Rectangle 12">
          <a:hlinkClick xmlns:r="http://schemas.openxmlformats.org/officeDocument/2006/relationships" r:id="rId1" tooltip="Click"/>
          <a:extLst>
            <a:ext uri="{FF2B5EF4-FFF2-40B4-BE49-F238E27FC236}">
              <a16:creationId xmlns:a16="http://schemas.microsoft.com/office/drawing/2014/main" id="{00000000-0008-0000-03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7</xdr:col>
      <xdr:colOff>417022</xdr:colOff>
      <xdr:row>1</xdr:row>
      <xdr:rowOff>95250</xdr:rowOff>
    </xdr:from>
    <xdr:to>
      <xdr:col>8</xdr:col>
      <xdr:colOff>571439</xdr:colOff>
      <xdr:row>1</xdr:row>
      <xdr:rowOff>316230</xdr:rowOff>
    </xdr:to>
    <xdr:sp macro="" textlink="">
      <xdr:nvSpPr>
        <xdr:cNvPr id="14" name="Rounded Rectangle 13">
          <a:hlinkClick xmlns:r="http://schemas.openxmlformats.org/officeDocument/2006/relationships" r:id="rId2" tooltip="Click"/>
          <a:extLst>
            <a:ext uri="{FF2B5EF4-FFF2-40B4-BE49-F238E27FC236}">
              <a16:creationId xmlns:a16="http://schemas.microsoft.com/office/drawing/2014/main" id="{00000000-0008-0000-03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6</xdr:col>
      <xdr:colOff>1324976</xdr:colOff>
      <xdr:row>2</xdr:row>
      <xdr:rowOff>0</xdr:rowOff>
    </xdr:from>
    <xdr:to>
      <xdr:col>8</xdr:col>
      <xdr:colOff>389658</xdr:colOff>
      <xdr:row>3</xdr:row>
      <xdr:rowOff>54553</xdr:rowOff>
    </xdr:to>
    <xdr:sp macro="" textlink="">
      <xdr:nvSpPr>
        <xdr:cNvPr id="16" name="Rounded Rectangle 15">
          <a:hlinkClick xmlns:r="http://schemas.openxmlformats.org/officeDocument/2006/relationships" r:id="rId7" tooltip="Click"/>
          <a:extLst>
            <a:ext uri="{FF2B5EF4-FFF2-40B4-BE49-F238E27FC236}">
              <a16:creationId xmlns:a16="http://schemas.microsoft.com/office/drawing/2014/main" id="{00000000-0008-0000-0300-000010000000}"/>
            </a:ext>
          </a:extLst>
        </xdr:cNvPr>
        <xdr:cNvSpPr/>
      </xdr:nvSpPr>
      <xdr:spPr>
        <a:xfrm>
          <a:off x="7152544" y="1705841"/>
          <a:ext cx="153252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Detail</a:t>
          </a:r>
          <a:endParaRPr lang="en-US" sz="1000" b="1">
            <a:solidFill>
              <a:sysClr val="windowText" lastClr="000000"/>
            </a:solidFill>
          </a:endParaRPr>
        </a:p>
      </xdr:txBody>
    </xdr:sp>
    <xdr:clientData/>
  </xdr:twoCellAnchor>
  <xdr:twoCellAnchor editAs="oneCell">
    <xdr:from>
      <xdr:col>5</xdr:col>
      <xdr:colOff>181841</xdr:colOff>
      <xdr:row>2</xdr:row>
      <xdr:rowOff>0</xdr:rowOff>
    </xdr:from>
    <xdr:to>
      <xdr:col>5</xdr:col>
      <xdr:colOff>1034761</xdr:colOff>
      <xdr:row>3</xdr:row>
      <xdr:rowOff>6061</xdr:rowOff>
    </xdr:to>
    <xdr:sp macro="" textlink="">
      <xdr:nvSpPr>
        <xdr:cNvPr id="18" name="Rounded Rectangle 17">
          <a:hlinkClick xmlns:r="http://schemas.openxmlformats.org/officeDocument/2006/relationships" r:id="rId8" tooltip="Click"/>
          <a:extLst>
            <a:ext uri="{FF2B5EF4-FFF2-40B4-BE49-F238E27FC236}">
              <a16:creationId xmlns:a16="http://schemas.microsoft.com/office/drawing/2014/main" id="{00000000-0008-0000-0300-000012000000}"/>
            </a:ext>
          </a:extLst>
        </xdr:cNvPr>
        <xdr:cNvSpPr/>
      </xdr:nvSpPr>
      <xdr:spPr>
        <a:xfrm>
          <a:off x="4355523" y="1480705"/>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76200</xdr:colOff>
      <xdr:row>1</xdr:row>
      <xdr:rowOff>92242</xdr:rowOff>
    </xdr:from>
    <xdr:to>
      <xdr:col>1</xdr:col>
      <xdr:colOff>1061171</xdr:colOff>
      <xdr:row>1</xdr:row>
      <xdr:rowOff>320842</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A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2390775</xdr:colOff>
      <xdr:row>21</xdr:row>
      <xdr:rowOff>19050</xdr:rowOff>
    </xdr:from>
    <xdr:to>
      <xdr:col>12</xdr:col>
      <xdr:colOff>0</xdr:colOff>
      <xdr:row>39</xdr:row>
      <xdr:rowOff>0</xdr:rowOff>
    </xdr:to>
    <xdr:graphicFrame macro="">
      <xdr:nvGraphicFramePr>
        <xdr:cNvPr id="301878" name="Chart 1">
          <a:extLst>
            <a:ext uri="{FF2B5EF4-FFF2-40B4-BE49-F238E27FC236}">
              <a16:creationId xmlns:a16="http://schemas.microsoft.com/office/drawing/2014/main" id="{00000000-0008-0000-2A00-0000369B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95250</xdr:colOff>
      <xdr:row>1</xdr:row>
      <xdr:rowOff>133350</xdr:rowOff>
    </xdr:from>
    <xdr:to>
      <xdr:col>11</xdr:col>
      <xdr:colOff>349388</xdr:colOff>
      <xdr:row>1</xdr:row>
      <xdr:rowOff>361950</xdr:rowOff>
    </xdr:to>
    <xdr:sp macro="" textlink="">
      <xdr:nvSpPr>
        <xdr:cNvPr id="7" name="Rounded Rectangle 6">
          <a:hlinkClick xmlns:r="http://schemas.openxmlformats.org/officeDocument/2006/relationships" r:id="rId3" tooltip="Click"/>
          <a:extLst>
            <a:ext uri="{FF2B5EF4-FFF2-40B4-BE49-F238E27FC236}">
              <a16:creationId xmlns:a16="http://schemas.microsoft.com/office/drawing/2014/main" id="{00000000-0008-0000-2A00-000007000000}"/>
            </a:ext>
          </a:extLst>
        </xdr:cNvPr>
        <xdr:cNvSpPr/>
      </xdr:nvSpPr>
      <xdr:spPr>
        <a:xfrm>
          <a:off x="7953375" y="190500"/>
          <a:ext cx="64466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9</xdr:col>
      <xdr:colOff>0</xdr:colOff>
      <xdr:row>1</xdr:row>
      <xdr:rowOff>133350</xdr:rowOff>
    </xdr:from>
    <xdr:to>
      <xdr:col>9</xdr:col>
      <xdr:colOff>645683</xdr:colOff>
      <xdr:row>1</xdr:row>
      <xdr:rowOff>361950</xdr:rowOff>
    </xdr:to>
    <xdr:sp macro="" textlink="">
      <xdr:nvSpPr>
        <xdr:cNvPr id="8" name="Rounded Rectangle 7">
          <a:hlinkClick xmlns:r="http://schemas.openxmlformats.org/officeDocument/2006/relationships" r:id="rId4" tooltip="Click"/>
          <a:extLst>
            <a:ext uri="{FF2B5EF4-FFF2-40B4-BE49-F238E27FC236}">
              <a16:creationId xmlns:a16="http://schemas.microsoft.com/office/drawing/2014/main" id="{00000000-0008-0000-2A00-000008000000}"/>
            </a:ext>
          </a:extLst>
        </xdr:cNvPr>
        <xdr:cNvSpPr/>
      </xdr:nvSpPr>
      <xdr:spPr>
        <a:xfrm>
          <a:off x="7162800"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95250</xdr:colOff>
      <xdr:row>1</xdr:row>
      <xdr:rowOff>123825</xdr:rowOff>
    </xdr:from>
    <xdr:to>
      <xdr:col>3</xdr:col>
      <xdr:colOff>251546</xdr:colOff>
      <xdr:row>1</xdr:row>
      <xdr:rowOff>352425</xdr:rowOff>
    </xdr:to>
    <xdr:sp macro="" textlink="">
      <xdr:nvSpPr>
        <xdr:cNvPr id="2" name="Rounded Rectangle 1">
          <a:hlinkClick xmlns:r="http://schemas.openxmlformats.org/officeDocument/2006/relationships" r:id="rId1" tooltip="Click"/>
          <a:extLst>
            <a:ext uri="{FF2B5EF4-FFF2-40B4-BE49-F238E27FC236}">
              <a16:creationId xmlns:a16="http://schemas.microsoft.com/office/drawing/2014/main" id="{00000000-0008-0000-2B00-000002000000}"/>
            </a:ext>
          </a:extLst>
        </xdr:cNvPr>
        <xdr:cNvSpPr/>
      </xdr:nvSpPr>
      <xdr:spPr>
        <a:xfrm>
          <a:off x="190500" y="180975"/>
          <a:ext cx="98497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oneCell">
    <xdr:from>
      <xdr:col>13</xdr:col>
      <xdr:colOff>43295</xdr:colOff>
      <xdr:row>1</xdr:row>
      <xdr:rowOff>129886</xdr:rowOff>
    </xdr:from>
    <xdr:to>
      <xdr:col>13</xdr:col>
      <xdr:colOff>688978</xdr:colOff>
      <xdr:row>1</xdr:row>
      <xdr:rowOff>358486</xdr:rowOff>
    </xdr:to>
    <xdr:sp macro="" textlink="">
      <xdr:nvSpPr>
        <xdr:cNvPr id="5" name="Rounded Rectangle 4">
          <a:hlinkClick xmlns:r="http://schemas.openxmlformats.org/officeDocument/2006/relationships" r:id="rId2" tooltip="Click"/>
          <a:extLst>
            <a:ext uri="{FF2B5EF4-FFF2-40B4-BE49-F238E27FC236}">
              <a16:creationId xmlns:a16="http://schemas.microsoft.com/office/drawing/2014/main" id="{00000000-0008-0000-2B00-000005000000}"/>
            </a:ext>
          </a:extLst>
        </xdr:cNvPr>
        <xdr:cNvSpPr/>
      </xdr:nvSpPr>
      <xdr:spPr>
        <a:xfrm>
          <a:off x="8156863" y="190500"/>
          <a:ext cx="645683"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76200</xdr:colOff>
      <xdr:row>1</xdr:row>
      <xdr:rowOff>88900</xdr:rowOff>
    </xdr:from>
    <xdr:to>
      <xdr:col>1</xdr:col>
      <xdr:colOff>1070377</xdr:colOff>
      <xdr:row>1</xdr:row>
      <xdr:rowOff>317500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C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2</xdr:col>
      <xdr:colOff>813406</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2D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103909</xdr:colOff>
      <xdr:row>1</xdr:row>
      <xdr:rowOff>121228</xdr:rowOff>
    </xdr:from>
    <xdr:to>
      <xdr:col>3</xdr:col>
      <xdr:colOff>408160</xdr:colOff>
      <xdr:row>1</xdr:row>
      <xdr:rowOff>349828</xdr:rowOff>
    </xdr:to>
    <xdr:sp macro="" textlink="">
      <xdr:nvSpPr>
        <xdr:cNvPr id="7" name="Rounded Rectangle 6">
          <a:hlinkClick xmlns:r="http://schemas.openxmlformats.org/officeDocument/2006/relationships" r:id="rId1" tooltip="Click"/>
          <a:extLst>
            <a:ext uri="{FF2B5EF4-FFF2-40B4-BE49-F238E27FC236}">
              <a16:creationId xmlns:a16="http://schemas.microsoft.com/office/drawing/2014/main" id="{00000000-0008-0000-2F00-000007000000}"/>
            </a:ext>
          </a:extLst>
        </xdr:cNvPr>
        <xdr:cNvSpPr/>
      </xdr:nvSpPr>
      <xdr:spPr>
        <a:xfrm>
          <a:off x="216477" y="233796"/>
          <a:ext cx="100563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34638</xdr:colOff>
      <xdr:row>2</xdr:row>
      <xdr:rowOff>25977</xdr:rowOff>
    </xdr:from>
    <xdr:to>
      <xdr:col>10</xdr:col>
      <xdr:colOff>147206</xdr:colOff>
      <xdr:row>2</xdr:row>
      <xdr:rowOff>675409</xdr:rowOff>
    </xdr:to>
    <xdr:sp macro="" textlink="">
      <xdr:nvSpPr>
        <xdr:cNvPr id="10" name="Rounded Rectangle 6">
          <a:extLst>
            <a:ext uri="{FF2B5EF4-FFF2-40B4-BE49-F238E27FC236}">
              <a16:creationId xmlns:a16="http://schemas.microsoft.com/office/drawing/2014/main" id="{00000000-0008-0000-2F00-00000A000000}"/>
            </a:ext>
          </a:extLst>
        </xdr:cNvPr>
        <xdr:cNvSpPr>
          <a:spLocks noChangeArrowheads="1"/>
        </xdr:cNvSpPr>
      </xdr:nvSpPr>
      <xdr:spPr bwMode="auto">
        <a:xfrm>
          <a:off x="147206" y="606136"/>
          <a:ext cx="4572000" cy="64943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1000" b="0" i="0" u="none" strike="noStrike" baseline="0">
              <a:solidFill>
                <a:srgbClr val="000000"/>
              </a:solidFill>
              <a:latin typeface="Calibri"/>
              <a:cs typeface="Calibri"/>
            </a:rPr>
            <a:t>The red "x" indicates that a requried field in that section is incomplete.  Click on the status indicator to go to that section of the workbook.</a:t>
          </a:r>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76200</xdr:colOff>
      <xdr:row>1</xdr:row>
      <xdr:rowOff>92869</xdr:rowOff>
    </xdr:from>
    <xdr:to>
      <xdr:col>2</xdr:col>
      <xdr:colOff>775260</xdr:colOff>
      <xdr:row>1</xdr:row>
      <xdr:rowOff>321469</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4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twoCellAnchor>
    <xdr:from>
      <xdr:col>2</xdr:col>
      <xdr:colOff>0</xdr:colOff>
      <xdr:row>5</xdr:row>
      <xdr:rowOff>273843</xdr:rowOff>
    </xdr:from>
    <xdr:to>
      <xdr:col>3</xdr:col>
      <xdr:colOff>0</xdr:colOff>
      <xdr:row>5</xdr:row>
      <xdr:rowOff>579903</xdr:rowOff>
    </xdr:to>
    <xdr:sp macro="" textlink="">
      <xdr:nvSpPr>
        <xdr:cNvPr id="6" name="Rounded Rectangle 5">
          <a:hlinkClick xmlns:r="http://schemas.openxmlformats.org/officeDocument/2006/relationships" r:id="rId2" tooltip="Click"/>
          <a:extLst>
            <a:ext uri="{FF2B5EF4-FFF2-40B4-BE49-F238E27FC236}">
              <a16:creationId xmlns:a16="http://schemas.microsoft.com/office/drawing/2014/main" id="{00000000-0008-0000-0400-000006000000}"/>
            </a:ext>
          </a:extLst>
        </xdr:cNvPr>
        <xdr:cNvSpPr/>
      </xdr:nvSpPr>
      <xdr:spPr>
        <a:xfrm>
          <a:off x="381000" y="1726406"/>
          <a:ext cx="2631281" cy="30606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Residential</a:t>
          </a:r>
        </a:p>
      </xdr:txBody>
    </xdr:sp>
    <xdr:clientData/>
  </xdr:twoCellAnchor>
  <xdr:twoCellAnchor>
    <xdr:from>
      <xdr:col>2</xdr:col>
      <xdr:colOff>1</xdr:colOff>
      <xdr:row>5</xdr:row>
      <xdr:rowOff>750093</xdr:rowOff>
    </xdr:from>
    <xdr:to>
      <xdr:col>3</xdr:col>
      <xdr:colOff>0</xdr:colOff>
      <xdr:row>5</xdr:row>
      <xdr:rowOff>1045088</xdr:rowOff>
    </xdr:to>
    <xdr:sp macro="" textlink="">
      <xdr:nvSpPr>
        <xdr:cNvPr id="8" name="Rounded Rectangle 7">
          <a:hlinkClick xmlns:r="http://schemas.openxmlformats.org/officeDocument/2006/relationships" r:id="rId3" tooltip="Click"/>
          <a:extLst>
            <a:ext uri="{FF2B5EF4-FFF2-40B4-BE49-F238E27FC236}">
              <a16:creationId xmlns:a16="http://schemas.microsoft.com/office/drawing/2014/main" id="{00000000-0008-0000-0400-000008000000}"/>
            </a:ext>
          </a:extLst>
        </xdr:cNvPr>
        <xdr:cNvSpPr/>
      </xdr:nvSpPr>
      <xdr:spPr>
        <a:xfrm>
          <a:off x="381001" y="2202656"/>
          <a:ext cx="2631280" cy="29499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C&amp;I</a:t>
          </a:r>
        </a:p>
      </xdr:txBody>
    </xdr:sp>
    <xdr:clientData/>
  </xdr:twoCellAnchor>
  <xdr:twoCellAnchor>
    <xdr:from>
      <xdr:col>1</xdr:col>
      <xdr:colOff>309561</xdr:colOff>
      <xdr:row>5</xdr:row>
      <xdr:rowOff>1226343</xdr:rowOff>
    </xdr:from>
    <xdr:to>
      <xdr:col>3</xdr:col>
      <xdr:colOff>0</xdr:colOff>
      <xdr:row>5</xdr:row>
      <xdr:rowOff>1538662</xdr:rowOff>
    </xdr:to>
    <xdr:sp macro="" textlink="">
      <xdr:nvSpPr>
        <xdr:cNvPr id="10" name="Rounded Rectangle 9">
          <a:hlinkClick xmlns:r="http://schemas.openxmlformats.org/officeDocument/2006/relationships" r:id="rId4" tooltip="Click"/>
          <a:extLst>
            <a:ext uri="{FF2B5EF4-FFF2-40B4-BE49-F238E27FC236}">
              <a16:creationId xmlns:a16="http://schemas.microsoft.com/office/drawing/2014/main" id="{00000000-0008-0000-0400-00000A000000}"/>
            </a:ext>
          </a:extLst>
        </xdr:cNvPr>
        <xdr:cNvSpPr/>
      </xdr:nvSpPr>
      <xdr:spPr>
        <a:xfrm>
          <a:off x="380999" y="2678906"/>
          <a:ext cx="2762251" cy="31231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Definitions - Cross</a:t>
          </a:r>
          <a:r>
            <a:rPr lang="en-US" sz="1000" b="1" baseline="0">
              <a:solidFill>
                <a:sysClr val="windowText" lastClr="000000"/>
              </a:solidFill>
            </a:rPr>
            <a:t> Sector</a:t>
          </a:r>
          <a:endParaRPr lang="en-US" sz="1000" b="1">
            <a:solidFill>
              <a:sysClr val="windowText" lastClr="000000"/>
            </a:solidFill>
          </a:endParaRPr>
        </a:p>
      </xdr:txBody>
    </xdr:sp>
    <xdr:clientData/>
  </xdr:twoCellAnchor>
  <xdr:twoCellAnchor>
    <xdr:from>
      <xdr:col>1</xdr:col>
      <xdr:colOff>309561</xdr:colOff>
      <xdr:row>2</xdr:row>
      <xdr:rowOff>0</xdr:rowOff>
    </xdr:from>
    <xdr:to>
      <xdr:col>51</xdr:col>
      <xdr:colOff>297655</xdr:colOff>
      <xdr:row>3</xdr:row>
      <xdr:rowOff>0</xdr:rowOff>
    </xdr:to>
    <xdr:sp macro="" textlink="">
      <xdr:nvSpPr>
        <xdr:cNvPr id="11" name="Rounded Rectangle 6">
          <a:extLst>
            <a:ext uri="{FF2B5EF4-FFF2-40B4-BE49-F238E27FC236}">
              <a16:creationId xmlns:a16="http://schemas.microsoft.com/office/drawing/2014/main" id="{00000000-0008-0000-0400-00000B000000}"/>
            </a:ext>
          </a:extLst>
        </xdr:cNvPr>
        <xdr:cNvSpPr>
          <a:spLocks noChangeArrowheads="1"/>
        </xdr:cNvSpPr>
      </xdr:nvSpPr>
      <xdr:spPr bwMode="auto">
        <a:xfrm>
          <a:off x="380999" y="547688"/>
          <a:ext cx="16990219" cy="58340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400" b="1" i="0" u="none" strike="noStrike" baseline="0">
              <a:solidFill>
                <a:srgbClr val="000000"/>
              </a:solidFill>
              <a:latin typeface="Calibri"/>
              <a:cs typeface="Calibri"/>
            </a:rPr>
            <a:t>Instructions:  </a:t>
          </a:r>
          <a:r>
            <a:rPr lang="en-US" sz="1100" b="0" i="0" u="none" strike="noStrike" baseline="0">
              <a:solidFill>
                <a:srgbClr val="000000"/>
              </a:solidFill>
              <a:latin typeface="Calibri"/>
              <a:cs typeface="Calibri"/>
            </a:rPr>
            <a:t>Indicate with an 'X' all that apply. </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12065</xdr:colOff>
      <xdr:row>1</xdr:row>
      <xdr:rowOff>0</xdr:rowOff>
    </xdr:from>
    <xdr:to>
      <xdr:col>11</xdr:col>
      <xdr:colOff>0</xdr:colOff>
      <xdr:row>1</xdr:row>
      <xdr:rowOff>398145</xdr:rowOff>
    </xdr:to>
    <xdr:sp macro="" textlink="">
      <xdr:nvSpPr>
        <xdr:cNvPr id="1466550" name="Rectangle 365">
          <a:extLst>
            <a:ext uri="{FF2B5EF4-FFF2-40B4-BE49-F238E27FC236}">
              <a16:creationId xmlns:a16="http://schemas.microsoft.com/office/drawing/2014/main" id="{00000000-0008-0000-0500-0000B660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12065</xdr:colOff>
      <xdr:row>0</xdr:row>
      <xdr:rowOff>64134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5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A90511E-5B8C-47D3-8397-5241F59F86E0}"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1240155</xdr:colOff>
      <xdr:row>0</xdr:row>
      <xdr:rowOff>55245</xdr:rowOff>
    </xdr:from>
    <xdr:to>
      <xdr:col>3</xdr:col>
      <xdr:colOff>316948</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5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230275D-AC77-47F3-A3DC-CC2DB247C11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55245</xdr:rowOff>
    </xdr:from>
    <xdr:to>
      <xdr:col>5</xdr:col>
      <xdr:colOff>31122</xdr:colOff>
      <xdr:row>0</xdr:row>
      <xdr:rowOff>340995</xdr:rowOff>
    </xdr:to>
    <xdr:sp macro="" textlink="Titles!B4">
      <xdr:nvSpPr>
        <xdr:cNvPr id="5" name="Round Same Side Corner Rectangle 4">
          <a:extLst>
            <a:ext uri="{FF2B5EF4-FFF2-40B4-BE49-F238E27FC236}">
              <a16:creationId xmlns:a16="http://schemas.microsoft.com/office/drawing/2014/main" id="{00000000-0008-0000-0500-000005000000}"/>
            </a:ext>
          </a:extLst>
        </xdr:cNvPr>
        <xdr:cNvSpPr/>
      </xdr:nvSpPr>
      <xdr:spPr>
        <a:xfrm>
          <a:off x="30384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DE390768-C45C-4D24-A11F-8EA908B22F8C}" type="TxLink">
            <a:rPr lang="en-US" sz="1000" b="1">
              <a:solidFill>
                <a:sysClr val="windowText" lastClr="000000"/>
              </a:solidFill>
              <a:latin typeface="+mn-lt"/>
              <a:ea typeface="+mn-ea"/>
              <a:cs typeface="+mn-cs"/>
            </a:rPr>
            <a:pPr marL="0" indent="0" algn="ctr"/>
            <a:t>Budgets</a:t>
          </a:fld>
          <a:endParaRPr lang="en-US" sz="1000" b="1">
            <a:solidFill>
              <a:sysClr val="windowText" lastClr="000000"/>
            </a:solidFill>
            <a:latin typeface="+mn-lt"/>
            <a:ea typeface="+mn-ea"/>
            <a:cs typeface="+mn-cs"/>
          </a:endParaRPr>
        </a:p>
      </xdr:txBody>
    </xdr:sp>
    <xdr:clientData/>
  </xdr:twoCellAnchor>
  <xdr:twoCellAnchor editAs="absolute">
    <xdr:from>
      <xdr:col>5</xdr:col>
      <xdr:colOff>57150</xdr:colOff>
      <xdr:row>0</xdr:row>
      <xdr:rowOff>55245</xdr:rowOff>
    </xdr:from>
    <xdr:to>
      <xdr:col>6</xdr:col>
      <xdr:colOff>630512</xdr:colOff>
      <xdr:row>0</xdr:row>
      <xdr:rowOff>340995</xdr:rowOff>
    </xdr:to>
    <xdr:sp macro="" textlink="Titles!B5">
      <xdr:nvSpPr>
        <xdr:cNvPr id="6" name="Round Same Side Corner Rectangle 5">
          <a:hlinkClick xmlns:r="http://schemas.openxmlformats.org/officeDocument/2006/relationships" r:id="rId3" tooltip="Click"/>
          <a:extLst>
            <a:ext uri="{FF2B5EF4-FFF2-40B4-BE49-F238E27FC236}">
              <a16:creationId xmlns:a16="http://schemas.microsoft.com/office/drawing/2014/main" id="{00000000-0008-0000-05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F941656D-E333-4C96-B639-99F951C076E9}" type="TxLink">
            <a:rPr lang="en-US" sz="1000" b="1"/>
            <a:pPr algn="ctr"/>
            <a:t>Savings &amp; Participants</a:t>
          </a:fld>
          <a:endParaRPr lang="en-US" sz="1000" b="1"/>
        </a:p>
      </xdr:txBody>
    </xdr:sp>
    <xdr:clientData/>
  </xdr:twoCellAnchor>
  <xdr:twoCellAnchor editAs="absolute">
    <xdr:from>
      <xdr:col>6</xdr:col>
      <xdr:colOff>666750</xdr:colOff>
      <xdr:row>0</xdr:row>
      <xdr:rowOff>55245</xdr:rowOff>
    </xdr:from>
    <xdr:to>
      <xdr:col>8</xdr:col>
      <xdr:colOff>330811</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5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BCAB0A58-29B8-4B5E-93A2-1120CDB47079}" type="TxLink">
            <a:rPr lang="en-US" sz="1000" b="1"/>
            <a:pPr algn="ctr"/>
            <a:t>Training</a:t>
          </a:fld>
          <a:endParaRPr lang="en-US" sz="1000" b="1"/>
        </a:p>
      </xdr:txBody>
    </xdr:sp>
    <xdr:clientData/>
  </xdr:twoCellAnchor>
  <xdr:twoCellAnchor editAs="absolute">
    <xdr:from>
      <xdr:col>8</xdr:col>
      <xdr:colOff>368934</xdr:colOff>
      <xdr:row>0</xdr:row>
      <xdr:rowOff>55245</xdr:rowOff>
    </xdr:from>
    <xdr:to>
      <xdr:col>10</xdr:col>
      <xdr:colOff>514286</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5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81E34EF-CFD5-47A3-B860-06C1477A725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850382</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5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88265</xdr:colOff>
      <xdr:row>1</xdr:row>
      <xdr:rowOff>445133</xdr:rowOff>
    </xdr:from>
    <xdr:to>
      <xdr:col>10</xdr:col>
      <xdr:colOff>474332</xdr:colOff>
      <xdr:row>1</xdr:row>
      <xdr:rowOff>932410</xdr:rowOff>
    </xdr:to>
    <xdr:sp macro="" textlink="">
      <xdr:nvSpPr>
        <xdr:cNvPr id="10" name="Rounded Rectangle 6">
          <a:extLst>
            <a:ext uri="{FF2B5EF4-FFF2-40B4-BE49-F238E27FC236}">
              <a16:creationId xmlns:a16="http://schemas.microsoft.com/office/drawing/2014/main" id="{00000000-0008-0000-0500-00000A000000}"/>
            </a:ext>
          </a:extLst>
        </xdr:cNvPr>
        <xdr:cNvSpPr>
          <a:spLocks noChangeArrowheads="1"/>
        </xdr:cNvSpPr>
      </xdr:nvSpPr>
      <xdr:spPr bwMode="auto">
        <a:xfrm>
          <a:off x="154998" y="811355"/>
          <a:ext cx="8709993" cy="49616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the Revised Budget amount for each cost category, including Regulatory at bottom.  Provide the budget reconciliation by clicking on the "Budget Reconciliation" button.  Report only programs that incurred a cost in the reporting year.</a:t>
          </a:r>
          <a:endParaRPr lang="en-US" sz="900"/>
        </a:p>
      </xdr:txBody>
    </xdr:sp>
    <xdr:clientData/>
  </xdr:twoCellAnchor>
  <xdr:twoCellAnchor editAs="absolute">
    <xdr:from>
      <xdr:col>2</xdr:col>
      <xdr:colOff>1231265</xdr:colOff>
      <xdr:row>0</xdr:row>
      <xdr:rowOff>293902</xdr:rowOff>
    </xdr:from>
    <xdr:to>
      <xdr:col>8</xdr:col>
      <xdr:colOff>360064</xdr:colOff>
      <xdr:row>1</xdr:row>
      <xdr:rowOff>279356</xdr:rowOff>
    </xdr:to>
    <xdr:sp macro="" textlink="Titles!F5">
      <xdr:nvSpPr>
        <xdr:cNvPr id="11" name="TextBox 10">
          <a:extLst>
            <a:ext uri="{FF2B5EF4-FFF2-40B4-BE49-F238E27FC236}">
              <a16:creationId xmlns:a16="http://schemas.microsoft.com/office/drawing/2014/main" id="{00000000-0008-0000-0500-00000B000000}"/>
            </a:ext>
          </a:extLst>
        </xdr:cNvPr>
        <xdr:cNvSpPr txBox="1"/>
      </xdr:nvSpPr>
      <xdr:spPr>
        <a:xfrm>
          <a:off x="1569258" y="297077"/>
          <a:ext cx="624339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F3419E49-B1A5-43EE-B051-2311CDE94129}" type="TxLink">
            <a:rPr lang="en-US" sz="1600" b="1" i="1" u="none"/>
            <a:pPr algn="ctr"/>
            <a:t>SWEPCO - 2025 EE Portfolio Information</a:t>
          </a:fld>
          <a:endParaRPr lang="en-US" sz="1600" b="1" i="1" u="none"/>
        </a:p>
      </xdr:txBody>
    </xdr:sp>
    <xdr:clientData/>
  </xdr:twoCellAnchor>
  <xdr:twoCellAnchor editAs="absolute">
    <xdr:from>
      <xdr:col>2</xdr:col>
      <xdr:colOff>1922145</xdr:colOff>
      <xdr:row>1</xdr:row>
      <xdr:rowOff>131445</xdr:rowOff>
    </xdr:from>
    <xdr:to>
      <xdr:col>7</xdr:col>
      <xdr:colOff>545512</xdr:colOff>
      <xdr:row>1</xdr:row>
      <xdr:rowOff>411650</xdr:rowOff>
    </xdr:to>
    <xdr:sp macro="" textlink="Titles!B4">
      <xdr:nvSpPr>
        <xdr:cNvPr id="12" name="TextBox 11">
          <a:extLst>
            <a:ext uri="{FF2B5EF4-FFF2-40B4-BE49-F238E27FC236}">
              <a16:creationId xmlns:a16="http://schemas.microsoft.com/office/drawing/2014/main" id="{00000000-0008-0000-0500-00000C000000}"/>
            </a:ext>
          </a:extLst>
        </xdr:cNvPr>
        <xdr:cNvSpPr txBox="1"/>
      </xdr:nvSpPr>
      <xdr:spPr>
        <a:xfrm>
          <a:off x="2265045" y="493395"/>
          <a:ext cx="478921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A7B131D9-6F66-4BB1-AF9B-EAE47C89EF17}" type="TxLink">
            <a:rPr lang="en-US" sz="1200" b="0"/>
            <a:pPr algn="ctr"/>
            <a:t>Budgets</a:t>
          </a:fld>
          <a:endParaRPr lang="en-US" sz="1200" b="0"/>
        </a:p>
      </xdr:txBody>
    </xdr:sp>
    <xdr:clientData/>
  </xdr:twoCellAnchor>
  <xdr:twoCellAnchor editAs="absolute">
    <xdr:from>
      <xdr:col>8</xdr:col>
      <xdr:colOff>412115</xdr:colOff>
      <xdr:row>1</xdr:row>
      <xdr:rowOff>95250</xdr:rowOff>
    </xdr:from>
    <xdr:to>
      <xdr:col>9</xdr:col>
      <xdr:colOff>173575</xdr:colOff>
      <xdr:row>1</xdr:row>
      <xdr:rowOff>323850</xdr:rowOff>
    </xdr:to>
    <xdr:sp macro="" textlink="">
      <xdr:nvSpPr>
        <xdr:cNvPr id="13" name="Rounded Rectangle 12">
          <a:hlinkClick xmlns:r="http://schemas.openxmlformats.org/officeDocument/2006/relationships" r:id="rId2" tooltip="Click"/>
          <a:extLst>
            <a:ext uri="{FF2B5EF4-FFF2-40B4-BE49-F238E27FC236}">
              <a16:creationId xmlns:a16="http://schemas.microsoft.com/office/drawing/2014/main" id="{00000000-0008-0000-05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211455</xdr:colOff>
      <xdr:row>1</xdr:row>
      <xdr:rowOff>95250</xdr:rowOff>
    </xdr:from>
    <xdr:to>
      <xdr:col>10</xdr:col>
      <xdr:colOff>474412</xdr:colOff>
      <xdr:row>1</xdr:row>
      <xdr:rowOff>323850</xdr:rowOff>
    </xdr:to>
    <xdr:sp macro="" textlink="">
      <xdr:nvSpPr>
        <xdr:cNvPr id="14" name="Rounded Rectangle 13">
          <a:hlinkClick xmlns:r="http://schemas.openxmlformats.org/officeDocument/2006/relationships" r:id="rId3" tooltip="Click"/>
          <a:extLst>
            <a:ext uri="{FF2B5EF4-FFF2-40B4-BE49-F238E27FC236}">
              <a16:creationId xmlns:a16="http://schemas.microsoft.com/office/drawing/2014/main" id="{00000000-0008-0000-05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8</xdr:col>
      <xdr:colOff>510540</xdr:colOff>
      <xdr:row>2</xdr:row>
      <xdr:rowOff>116031</xdr:rowOff>
    </xdr:from>
    <xdr:to>
      <xdr:col>10</xdr:col>
      <xdr:colOff>440058</xdr:colOff>
      <xdr:row>3</xdr:row>
      <xdr:rowOff>112567</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500-00000F000000}"/>
            </a:ext>
          </a:extLst>
        </xdr:cNvPr>
        <xdr:cNvSpPr/>
      </xdr:nvSpPr>
      <xdr:spPr>
        <a:xfrm>
          <a:off x="7628313" y="1302326"/>
          <a:ext cx="1208119"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oneCell">
    <xdr:from>
      <xdr:col>7</xdr:col>
      <xdr:colOff>60614</xdr:colOff>
      <xdr:row>2</xdr:row>
      <xdr:rowOff>112569</xdr:rowOff>
    </xdr:from>
    <xdr:to>
      <xdr:col>8</xdr:col>
      <xdr:colOff>18876</xdr:colOff>
      <xdr:row>3</xdr:row>
      <xdr:rowOff>134908</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500-000010000000}"/>
            </a:ext>
          </a:extLst>
        </xdr:cNvPr>
        <xdr:cNvSpPr/>
      </xdr:nvSpPr>
      <xdr:spPr>
        <a:xfrm>
          <a:off x="6295159" y="1298864"/>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76200</xdr:colOff>
      <xdr:row>1</xdr:row>
      <xdr:rowOff>95250</xdr:rowOff>
    </xdr:from>
    <xdr:to>
      <xdr:col>3</xdr:col>
      <xdr:colOff>733989</xdr:colOff>
      <xdr:row>1</xdr:row>
      <xdr:rowOff>323850</xdr:rowOff>
    </xdr:to>
    <xdr:sp macro="" textlink="">
      <xdr:nvSpPr>
        <xdr:cNvPr id="3" name="Rounded Rectangle 2">
          <a:hlinkClick xmlns:r="http://schemas.openxmlformats.org/officeDocument/2006/relationships" r:id="rId1" tooltip="Click"/>
          <a:extLst>
            <a:ext uri="{FF2B5EF4-FFF2-40B4-BE49-F238E27FC236}">
              <a16:creationId xmlns:a16="http://schemas.microsoft.com/office/drawing/2014/main" id="{00000000-0008-0000-0600-000003000000}"/>
            </a:ext>
          </a:extLst>
        </xdr:cNvPr>
        <xdr:cNvSpPr/>
      </xdr:nvSpPr>
      <xdr:spPr>
        <a:xfrm>
          <a:off x="142875" y="15240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9525</xdr:colOff>
      <xdr:row>1</xdr:row>
      <xdr:rowOff>0</xdr:rowOff>
    </xdr:from>
    <xdr:to>
      <xdr:col>11</xdr:col>
      <xdr:colOff>0</xdr:colOff>
      <xdr:row>1</xdr:row>
      <xdr:rowOff>409575</xdr:rowOff>
    </xdr:to>
    <xdr:sp macro="" textlink="">
      <xdr:nvSpPr>
        <xdr:cNvPr id="1468585" name="Rectangle 365">
          <a:extLst>
            <a:ext uri="{FF2B5EF4-FFF2-40B4-BE49-F238E27FC236}">
              <a16:creationId xmlns:a16="http://schemas.microsoft.com/office/drawing/2014/main" id="{00000000-0008-0000-0700-0000A9681600}"/>
            </a:ext>
          </a:extLst>
        </xdr:cNvPr>
        <xdr:cNvSpPr>
          <a:spLocks noChangeArrowheads="1"/>
        </xdr:cNvSpPr>
      </xdr:nvSpPr>
      <xdr:spPr bwMode="auto">
        <a:xfrm>
          <a:off x="76200" y="361950"/>
          <a:ext cx="8858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9525</xdr:colOff>
      <xdr:row>0</xdr:row>
      <xdr:rowOff>66674</xdr:rowOff>
    </xdr:from>
    <xdr:to>
      <xdr:col>2</xdr:col>
      <xdr:colOff>1236241</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7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F207D9AC-772A-4BA4-ADF3-9E07B3C0251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1249680</xdr:colOff>
      <xdr:row>0</xdr:row>
      <xdr:rowOff>66675</xdr:rowOff>
    </xdr:from>
    <xdr:to>
      <xdr:col>3</xdr:col>
      <xdr:colOff>334093</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7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73834FC1-63F7-44CC-AA36-294FE8AE81CD}"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3</xdr:col>
      <xdr:colOff>340995</xdr:colOff>
      <xdr:row>0</xdr:row>
      <xdr:rowOff>66675</xdr:rowOff>
    </xdr:from>
    <xdr:to>
      <xdr:col>5</xdr:col>
      <xdr:colOff>27947</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7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129CACF9-68D3-404C-827A-92044E1CE1F2}"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57150</xdr:colOff>
      <xdr:row>0</xdr:row>
      <xdr:rowOff>66675</xdr:rowOff>
    </xdr:from>
    <xdr:to>
      <xdr:col>7</xdr:col>
      <xdr:colOff>50190</xdr:colOff>
      <xdr:row>0</xdr:row>
      <xdr:rowOff>340995</xdr:rowOff>
    </xdr:to>
    <xdr:sp macro="" textlink="Titles!B5">
      <xdr:nvSpPr>
        <xdr:cNvPr id="6" name="Round Same Side Corner Rectangle 5">
          <a:extLst>
            <a:ext uri="{FF2B5EF4-FFF2-40B4-BE49-F238E27FC236}">
              <a16:creationId xmlns:a16="http://schemas.microsoft.com/office/drawing/2014/main" id="{00000000-0008-0000-0700-000006000000}"/>
            </a:ext>
          </a:extLst>
        </xdr:cNvPr>
        <xdr:cNvSpPr/>
      </xdr:nvSpPr>
      <xdr:spPr>
        <a:xfrm>
          <a:off x="4524375"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6B56A3C5-87B5-41E3-AC2C-CB116FA89D8B}" type="TxLink">
            <a:rPr lang="en-US" sz="1000" b="1">
              <a:solidFill>
                <a:sysClr val="windowText" lastClr="000000"/>
              </a:solidFill>
              <a:latin typeface="+mn-lt"/>
              <a:ea typeface="+mn-ea"/>
              <a:cs typeface="+mn-cs"/>
            </a:rPr>
            <a:pPr marL="0" indent="0" algn="ctr"/>
            <a:t>Savings &amp; Participants</a:t>
          </a:fld>
          <a:endParaRPr lang="en-US" sz="1000" b="1">
            <a:solidFill>
              <a:sysClr val="windowText" lastClr="000000"/>
            </a:solidFill>
            <a:latin typeface="+mn-lt"/>
            <a:ea typeface="+mn-ea"/>
            <a:cs typeface="+mn-cs"/>
          </a:endParaRPr>
        </a:p>
      </xdr:txBody>
    </xdr:sp>
    <xdr:clientData/>
  </xdr:twoCellAnchor>
  <xdr:twoCellAnchor editAs="absolute">
    <xdr:from>
      <xdr:col>7</xdr:col>
      <xdr:colOff>66675</xdr:colOff>
      <xdr:row>0</xdr:row>
      <xdr:rowOff>66675</xdr:rowOff>
    </xdr:from>
    <xdr:to>
      <xdr:col>8</xdr:col>
      <xdr:colOff>162597</xdr:colOff>
      <xdr:row>0</xdr:row>
      <xdr:rowOff>340995</xdr:rowOff>
    </xdr:to>
    <xdr:sp macro="" textlink="Titles!B6">
      <xdr:nvSpPr>
        <xdr:cNvPr id="7" name="Round Same Side Corner Rectangle 6">
          <a:hlinkClick xmlns:r="http://schemas.openxmlformats.org/officeDocument/2006/relationships" r:id="rId4" tooltip="Click"/>
          <a:extLst>
            <a:ext uri="{FF2B5EF4-FFF2-40B4-BE49-F238E27FC236}">
              <a16:creationId xmlns:a16="http://schemas.microsoft.com/office/drawing/2014/main" id="{00000000-0008-0000-0700-000007000000}"/>
            </a:ext>
          </a:extLst>
        </xdr:cNvPr>
        <xdr:cNvSpPr/>
      </xdr:nvSpPr>
      <xdr:spPr>
        <a:xfrm>
          <a:off x="600075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fld id="{19B1AD31-B620-48DE-BD60-48B14F1F0BF9}" type="TxLink">
            <a:rPr lang="en-US" sz="1000" b="1"/>
            <a:pPr algn="ctr"/>
            <a:t>Training</a:t>
          </a:fld>
          <a:endParaRPr lang="en-US" sz="1000" b="1"/>
        </a:p>
      </xdr:txBody>
    </xdr:sp>
    <xdr:clientData/>
  </xdr:twoCellAnchor>
  <xdr:twoCellAnchor editAs="absolute">
    <xdr:from>
      <xdr:col>8</xdr:col>
      <xdr:colOff>161924</xdr:colOff>
      <xdr:row>0</xdr:row>
      <xdr:rowOff>66675</xdr:rowOff>
    </xdr:from>
    <xdr:to>
      <xdr:col>11</xdr:col>
      <xdr:colOff>1975</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7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05E10640-3F7C-4DF1-AEA7-6679EB7EAB6C}"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867527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7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44738</xdr:colOff>
      <xdr:row>1</xdr:row>
      <xdr:rowOff>447673</xdr:rowOff>
    </xdr:from>
    <xdr:to>
      <xdr:col>10</xdr:col>
      <xdr:colOff>258732</xdr:colOff>
      <xdr:row>1</xdr:row>
      <xdr:rowOff>902854</xdr:rowOff>
    </xdr:to>
    <xdr:sp macro="" textlink="">
      <xdr:nvSpPr>
        <xdr:cNvPr id="10" name="Rounded Rectangle 6">
          <a:extLst>
            <a:ext uri="{FF2B5EF4-FFF2-40B4-BE49-F238E27FC236}">
              <a16:creationId xmlns:a16="http://schemas.microsoft.com/office/drawing/2014/main" id="{00000000-0008-0000-0700-00000A000000}"/>
            </a:ext>
          </a:extLst>
        </xdr:cNvPr>
        <xdr:cNvSpPr>
          <a:spLocks noChangeArrowheads="1"/>
        </xdr:cNvSpPr>
      </xdr:nvSpPr>
      <xdr:spPr bwMode="auto">
        <a:xfrm>
          <a:off x="120361" y="811355"/>
          <a:ext cx="8710871" cy="46153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net demand savings, net energy savings, number of participants and the participant definition for each program.   Select the Participant Definition from the dropdown option.</a:t>
          </a:r>
          <a:endParaRPr lang="en-US"/>
        </a:p>
      </xdr:txBody>
    </xdr:sp>
    <xdr:clientData/>
  </xdr:twoCellAnchor>
  <xdr:twoCellAnchor editAs="absolute">
    <xdr:from>
      <xdr:col>2</xdr:col>
      <xdr:colOff>1228725</xdr:colOff>
      <xdr:row>0</xdr:row>
      <xdr:rowOff>293671</xdr:rowOff>
    </xdr:from>
    <xdr:to>
      <xdr:col>8</xdr:col>
      <xdr:colOff>180999</xdr:colOff>
      <xdr:row>1</xdr:row>
      <xdr:rowOff>274507</xdr:rowOff>
    </xdr:to>
    <xdr:sp macro="" textlink="Titles!F5">
      <xdr:nvSpPr>
        <xdr:cNvPr id="11" name="TextBox 10">
          <a:extLst>
            <a:ext uri="{FF2B5EF4-FFF2-40B4-BE49-F238E27FC236}">
              <a16:creationId xmlns:a16="http://schemas.microsoft.com/office/drawing/2014/main" id="{00000000-0008-0000-0700-00000B000000}"/>
            </a:ext>
          </a:extLst>
        </xdr:cNvPr>
        <xdr:cNvSpPr txBox="1"/>
      </xdr:nvSpPr>
      <xdr:spPr>
        <a:xfrm>
          <a:off x="1543050" y="300021"/>
          <a:ext cx="594362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A3A4B947-3019-4EDD-90D3-A2E338B7CF3B}" type="TxLink">
            <a:rPr lang="en-US" sz="1600" b="1" i="1" u="none"/>
            <a:pPr algn="ctr"/>
            <a:t>SWEPCO - 2025 EE Portfolio Information</a:t>
          </a:fld>
          <a:endParaRPr lang="en-US" sz="1600" b="1" i="1" u="none"/>
        </a:p>
      </xdr:txBody>
    </xdr:sp>
    <xdr:clientData/>
  </xdr:twoCellAnchor>
  <xdr:twoCellAnchor editAs="absolute">
    <xdr:from>
      <xdr:col>2</xdr:col>
      <xdr:colOff>1922145</xdr:colOff>
      <xdr:row>1</xdr:row>
      <xdr:rowOff>142875</xdr:rowOff>
    </xdr:from>
    <xdr:to>
      <xdr:col>7</xdr:col>
      <xdr:colOff>867445</xdr:colOff>
      <xdr:row>1</xdr:row>
      <xdr:rowOff>429430</xdr:rowOff>
    </xdr:to>
    <xdr:sp macro="" textlink="Titles!B5">
      <xdr:nvSpPr>
        <xdr:cNvPr id="12" name="TextBox 11">
          <a:extLst>
            <a:ext uri="{FF2B5EF4-FFF2-40B4-BE49-F238E27FC236}">
              <a16:creationId xmlns:a16="http://schemas.microsoft.com/office/drawing/2014/main" id="{00000000-0008-0000-0700-00000C000000}"/>
            </a:ext>
          </a:extLst>
        </xdr:cNvPr>
        <xdr:cNvSpPr txBox="1"/>
      </xdr:nvSpPr>
      <xdr:spPr>
        <a:xfrm>
          <a:off x="2238375" y="504825"/>
          <a:ext cx="4552949"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66DCFCCD-4E13-4CA7-8D91-296D3388A518}" type="TxLink">
            <a:rPr lang="en-US" sz="1200" b="0"/>
            <a:pPr algn="ctr"/>
            <a:t>Savings &amp; Participants</a:t>
          </a:fld>
          <a:endParaRPr lang="en-US" sz="1200" b="0"/>
        </a:p>
      </xdr:txBody>
    </xdr:sp>
    <xdr:clientData/>
  </xdr:twoCellAnchor>
  <xdr:twoCellAnchor editAs="absolute">
    <xdr:from>
      <xdr:col>8</xdr:col>
      <xdr:colOff>236220</xdr:colOff>
      <xdr:row>1</xdr:row>
      <xdr:rowOff>95250</xdr:rowOff>
    </xdr:from>
    <xdr:to>
      <xdr:col>8</xdr:col>
      <xdr:colOff>866140</xdr:colOff>
      <xdr:row>1</xdr:row>
      <xdr:rowOff>323850</xdr:rowOff>
    </xdr:to>
    <xdr:sp macro="" textlink="">
      <xdr:nvSpPr>
        <xdr:cNvPr id="13" name="Rounded Rectangle 12">
          <a:hlinkClick xmlns:r="http://schemas.openxmlformats.org/officeDocument/2006/relationships" r:id="rId3" tooltip="Click"/>
          <a:extLst>
            <a:ext uri="{FF2B5EF4-FFF2-40B4-BE49-F238E27FC236}">
              <a16:creationId xmlns:a16="http://schemas.microsoft.com/office/drawing/2014/main" id="{00000000-0008-0000-07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9</xdr:col>
      <xdr:colOff>38100</xdr:colOff>
      <xdr:row>1</xdr:row>
      <xdr:rowOff>95250</xdr:rowOff>
    </xdr:from>
    <xdr:to>
      <xdr:col>10</xdr:col>
      <xdr:colOff>285728</xdr:colOff>
      <xdr:row>1</xdr:row>
      <xdr:rowOff>316230</xdr:rowOff>
    </xdr:to>
    <xdr:sp macro="" textlink="">
      <xdr:nvSpPr>
        <xdr:cNvPr id="14" name="Rounded Rectangle 13">
          <a:hlinkClick xmlns:r="http://schemas.openxmlformats.org/officeDocument/2006/relationships" r:id="rId4" tooltip="Click"/>
          <a:extLst>
            <a:ext uri="{FF2B5EF4-FFF2-40B4-BE49-F238E27FC236}">
              <a16:creationId xmlns:a16="http://schemas.microsoft.com/office/drawing/2014/main" id="{00000000-0008-0000-07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oneCell">
    <xdr:from>
      <xdr:col>7</xdr:col>
      <xdr:colOff>199159</xdr:colOff>
      <xdr:row>3</xdr:row>
      <xdr:rowOff>34636</xdr:rowOff>
    </xdr:from>
    <xdr:to>
      <xdr:col>7</xdr:col>
      <xdr:colOff>1058429</xdr:colOff>
      <xdr:row>3</xdr:row>
      <xdr:rowOff>198869</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700-00000F000000}"/>
            </a:ext>
          </a:extLst>
        </xdr:cNvPr>
        <xdr:cNvSpPr/>
      </xdr:nvSpPr>
      <xdr:spPr>
        <a:xfrm>
          <a:off x="6130636" y="1515341"/>
          <a:ext cx="852920" cy="170583"/>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Definitions</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8890</xdr:colOff>
      <xdr:row>1</xdr:row>
      <xdr:rowOff>0</xdr:rowOff>
    </xdr:from>
    <xdr:to>
      <xdr:col>11</xdr:col>
      <xdr:colOff>0</xdr:colOff>
      <xdr:row>1</xdr:row>
      <xdr:rowOff>398145</xdr:rowOff>
    </xdr:to>
    <xdr:sp macro="" textlink="">
      <xdr:nvSpPr>
        <xdr:cNvPr id="1469635" name="Rectangle 365">
          <a:extLst>
            <a:ext uri="{FF2B5EF4-FFF2-40B4-BE49-F238E27FC236}">
              <a16:creationId xmlns:a16="http://schemas.microsoft.com/office/drawing/2014/main" id="{00000000-0008-0000-0800-0000C36C1600}"/>
            </a:ext>
          </a:extLst>
        </xdr:cNvPr>
        <xdr:cNvSpPr>
          <a:spLocks noChangeArrowheads="1"/>
        </xdr:cNvSpPr>
      </xdr:nvSpPr>
      <xdr:spPr bwMode="auto">
        <a:xfrm>
          <a:off x="78798" y="363682"/>
          <a:ext cx="8848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8890</xdr:colOff>
      <xdr:row>0</xdr:row>
      <xdr:rowOff>67309</xdr:rowOff>
    </xdr:from>
    <xdr:to>
      <xdr:col>2</xdr:col>
      <xdr:colOff>1245572</xdr:colOff>
      <xdr:row>0</xdr:row>
      <xdr:rowOff>340994</xdr:rowOff>
    </xdr:to>
    <xdr:sp macro="" textlink="Titles!B2">
      <xdr:nvSpPr>
        <xdr:cNvPr id="3" name="Round Same Side Corner Rectangle 2">
          <a:hlinkClick xmlns:r="http://schemas.openxmlformats.org/officeDocument/2006/relationships" r:id="rId1" tooltip="Click"/>
          <a:extLst>
            <a:ext uri="{FF2B5EF4-FFF2-40B4-BE49-F238E27FC236}">
              <a16:creationId xmlns:a16="http://schemas.microsoft.com/office/drawing/2014/main" id="{00000000-0008-0000-0800-000003000000}"/>
            </a:ext>
          </a:extLst>
        </xdr:cNvPr>
        <xdr:cNvSpPr/>
      </xdr:nvSpPr>
      <xdr:spPr>
        <a:xfrm>
          <a:off x="76200" y="66674"/>
          <a:ext cx="148209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B5795B2A-C06F-49D6-9109-2B08D4C3C1BC}" type="TxLink">
            <a:rPr lang="en-US" sz="1000" b="1">
              <a:solidFill>
                <a:schemeClr val="lt1"/>
              </a:solidFill>
              <a:latin typeface="+mn-lt"/>
              <a:ea typeface="+mn-ea"/>
              <a:cs typeface="+mn-cs"/>
            </a:rPr>
            <a:pPr marL="0" indent="0" algn="ctr"/>
            <a:t>Utility Information</a:t>
          </a:fld>
          <a:endParaRPr lang="en-US" sz="1000" b="1">
            <a:solidFill>
              <a:schemeClr val="lt1"/>
            </a:solidFill>
            <a:latin typeface="+mn-lt"/>
            <a:ea typeface="+mn-ea"/>
            <a:cs typeface="+mn-cs"/>
          </a:endParaRPr>
        </a:p>
      </xdr:txBody>
    </xdr:sp>
    <xdr:clientData/>
  </xdr:twoCellAnchor>
  <xdr:twoCellAnchor editAs="absolute">
    <xdr:from>
      <xdr:col>2</xdr:col>
      <xdr:colOff>1236345</xdr:colOff>
      <xdr:row>0</xdr:row>
      <xdr:rowOff>55245</xdr:rowOff>
    </xdr:from>
    <xdr:to>
      <xdr:col>4</xdr:col>
      <xdr:colOff>257735</xdr:colOff>
      <xdr:row>0</xdr:row>
      <xdr:rowOff>340995</xdr:rowOff>
    </xdr:to>
    <xdr:sp macro="" textlink="Titles!B3">
      <xdr:nvSpPr>
        <xdr:cNvPr id="4" name="Round Same Side Corner Rectangle 3">
          <a:hlinkClick xmlns:r="http://schemas.openxmlformats.org/officeDocument/2006/relationships" r:id="rId2" tooltip="Click"/>
          <a:extLst>
            <a:ext uri="{FF2B5EF4-FFF2-40B4-BE49-F238E27FC236}">
              <a16:creationId xmlns:a16="http://schemas.microsoft.com/office/drawing/2014/main" id="{00000000-0008-0000-0800-000004000000}"/>
            </a:ext>
          </a:extLst>
        </xdr:cNvPr>
        <xdr:cNvSpPr/>
      </xdr:nvSpPr>
      <xdr:spPr>
        <a:xfrm>
          <a:off x="1562100"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878C4614-27C1-4702-9726-88CB1BB8AC48}" type="TxLink">
            <a:rPr lang="en-US" sz="1000" b="1">
              <a:solidFill>
                <a:schemeClr val="lt1"/>
              </a:solidFill>
              <a:latin typeface="+mn-lt"/>
              <a:ea typeface="+mn-ea"/>
              <a:cs typeface="+mn-cs"/>
            </a:rPr>
            <a:pPr marL="0" indent="0" algn="ctr"/>
            <a:t>Program Descriptions</a:t>
          </a:fld>
          <a:endParaRPr lang="en-US" sz="1000" b="1">
            <a:solidFill>
              <a:schemeClr val="lt1"/>
            </a:solidFill>
            <a:latin typeface="+mn-lt"/>
            <a:ea typeface="+mn-ea"/>
            <a:cs typeface="+mn-cs"/>
          </a:endParaRPr>
        </a:p>
      </xdr:txBody>
    </xdr:sp>
    <xdr:clientData/>
  </xdr:twoCellAnchor>
  <xdr:twoCellAnchor editAs="absolute">
    <xdr:from>
      <xdr:col>4</xdr:col>
      <xdr:colOff>285750</xdr:colOff>
      <xdr:row>0</xdr:row>
      <xdr:rowOff>55245</xdr:rowOff>
    </xdr:from>
    <xdr:to>
      <xdr:col>5</xdr:col>
      <xdr:colOff>706704</xdr:colOff>
      <xdr:row>0</xdr:row>
      <xdr:rowOff>340995</xdr:rowOff>
    </xdr:to>
    <xdr:sp macro="" textlink="Titles!B4">
      <xdr:nvSpPr>
        <xdr:cNvPr id="5" name="Round Same Side Corner Rectangle 4">
          <a:hlinkClick xmlns:r="http://schemas.openxmlformats.org/officeDocument/2006/relationships" r:id="rId3" tooltip="Click"/>
          <a:extLst>
            <a:ext uri="{FF2B5EF4-FFF2-40B4-BE49-F238E27FC236}">
              <a16:creationId xmlns:a16="http://schemas.microsoft.com/office/drawing/2014/main" id="{00000000-0008-0000-0800-000005000000}"/>
            </a:ext>
          </a:extLst>
        </xdr:cNvPr>
        <xdr:cNvSpPr/>
      </xdr:nvSpPr>
      <xdr:spPr>
        <a:xfrm>
          <a:off x="30384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0A5E81DD-0BBC-411B-A66F-3EDC49507280}" type="TxLink">
            <a:rPr lang="en-US" sz="1000" b="1">
              <a:solidFill>
                <a:schemeClr val="lt1"/>
              </a:solidFill>
              <a:latin typeface="+mn-lt"/>
              <a:ea typeface="+mn-ea"/>
              <a:cs typeface="+mn-cs"/>
            </a:rPr>
            <a:pPr marL="0" indent="0" algn="ctr"/>
            <a:t>Budgets</a:t>
          </a:fld>
          <a:endParaRPr lang="en-US" sz="1000" b="1">
            <a:solidFill>
              <a:schemeClr val="lt1"/>
            </a:solidFill>
            <a:latin typeface="+mn-lt"/>
            <a:ea typeface="+mn-ea"/>
            <a:cs typeface="+mn-cs"/>
          </a:endParaRPr>
        </a:p>
      </xdr:txBody>
    </xdr:sp>
    <xdr:clientData/>
  </xdr:twoCellAnchor>
  <xdr:twoCellAnchor editAs="absolute">
    <xdr:from>
      <xdr:col>5</xdr:col>
      <xdr:colOff>702945</xdr:colOff>
      <xdr:row>0</xdr:row>
      <xdr:rowOff>55245</xdr:rowOff>
    </xdr:from>
    <xdr:to>
      <xdr:col>7</xdr:col>
      <xdr:colOff>86348</xdr:colOff>
      <xdr:row>0</xdr:row>
      <xdr:rowOff>340995</xdr:rowOff>
    </xdr:to>
    <xdr:sp macro="" textlink="Titles!B5">
      <xdr:nvSpPr>
        <xdr:cNvPr id="6" name="Round Same Side Corner Rectangle 5">
          <a:hlinkClick xmlns:r="http://schemas.openxmlformats.org/officeDocument/2006/relationships" r:id="rId4" tooltip="Click"/>
          <a:extLst>
            <a:ext uri="{FF2B5EF4-FFF2-40B4-BE49-F238E27FC236}">
              <a16:creationId xmlns:a16="http://schemas.microsoft.com/office/drawing/2014/main" id="{00000000-0008-0000-0800-000006000000}"/>
            </a:ext>
          </a:extLst>
        </xdr:cNvPr>
        <xdr:cNvSpPr/>
      </xdr:nvSpPr>
      <xdr:spPr>
        <a:xfrm>
          <a:off x="4524375" y="66675"/>
          <a:ext cx="1463040" cy="274320"/>
        </a:xfrm>
        <a:prstGeom prst="round2Same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4442AE60-A3A1-4F5B-8167-9682DC8D8A26}" type="TxLink">
            <a:rPr lang="en-US" sz="1000" b="1">
              <a:solidFill>
                <a:schemeClr val="lt1"/>
              </a:solidFill>
              <a:latin typeface="+mn-lt"/>
              <a:ea typeface="+mn-ea"/>
              <a:cs typeface="+mn-cs"/>
            </a:rPr>
            <a:pPr marL="0" indent="0" algn="ctr"/>
            <a:t>Savings &amp; Participants</a:t>
          </a:fld>
          <a:endParaRPr lang="en-US" sz="1000" b="1">
            <a:solidFill>
              <a:schemeClr val="lt1"/>
            </a:solidFill>
            <a:latin typeface="+mn-lt"/>
            <a:ea typeface="+mn-ea"/>
            <a:cs typeface="+mn-cs"/>
          </a:endParaRPr>
        </a:p>
      </xdr:txBody>
    </xdr:sp>
    <xdr:clientData/>
  </xdr:twoCellAnchor>
  <xdr:twoCellAnchor editAs="absolute">
    <xdr:from>
      <xdr:col>7</xdr:col>
      <xdr:colOff>95250</xdr:colOff>
      <xdr:row>0</xdr:row>
      <xdr:rowOff>55245</xdr:rowOff>
    </xdr:from>
    <xdr:to>
      <xdr:col>8</xdr:col>
      <xdr:colOff>512382</xdr:colOff>
      <xdr:row>0</xdr:row>
      <xdr:rowOff>340995</xdr:rowOff>
    </xdr:to>
    <xdr:sp macro="" textlink="Titles!B6">
      <xdr:nvSpPr>
        <xdr:cNvPr id="7" name="Round Same Side Corner Rectangle 6">
          <a:extLst>
            <a:ext uri="{FF2B5EF4-FFF2-40B4-BE49-F238E27FC236}">
              <a16:creationId xmlns:a16="http://schemas.microsoft.com/office/drawing/2014/main" id="{00000000-0008-0000-0800-000007000000}"/>
            </a:ext>
          </a:extLst>
        </xdr:cNvPr>
        <xdr:cNvSpPr/>
      </xdr:nvSpPr>
      <xdr:spPr>
        <a:xfrm>
          <a:off x="6000750" y="66675"/>
          <a:ext cx="1463040" cy="274320"/>
        </a:xfrm>
        <a:prstGeom prst="round2Same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a:fld id="{9C082A71-55B9-4947-84CB-24BDF9505EE6}" type="TxLink">
            <a:rPr lang="en-US" sz="1000" b="1">
              <a:solidFill>
                <a:sysClr val="windowText" lastClr="000000"/>
              </a:solidFill>
              <a:latin typeface="+mn-lt"/>
              <a:ea typeface="+mn-ea"/>
              <a:cs typeface="+mn-cs"/>
            </a:rPr>
            <a:pPr marL="0" indent="0" algn="ctr"/>
            <a:t>Training</a:t>
          </a:fld>
          <a:endParaRPr lang="en-US" sz="1000" b="1">
            <a:solidFill>
              <a:sysClr val="windowText" lastClr="000000"/>
            </a:solidFill>
            <a:latin typeface="+mn-lt"/>
            <a:ea typeface="+mn-ea"/>
            <a:cs typeface="+mn-cs"/>
          </a:endParaRPr>
        </a:p>
      </xdr:txBody>
    </xdr:sp>
    <xdr:clientData/>
  </xdr:twoCellAnchor>
  <xdr:twoCellAnchor editAs="absolute">
    <xdr:from>
      <xdr:col>8</xdr:col>
      <xdr:colOff>512444</xdr:colOff>
      <xdr:row>0</xdr:row>
      <xdr:rowOff>55245</xdr:rowOff>
    </xdr:from>
    <xdr:to>
      <xdr:col>10</xdr:col>
      <xdr:colOff>692784</xdr:colOff>
      <xdr:row>0</xdr:row>
      <xdr:rowOff>342900</xdr:rowOff>
    </xdr:to>
    <xdr:sp macro="" textlink="Titles!B7">
      <xdr:nvSpPr>
        <xdr:cNvPr id="8" name="Round Same Side Corner Rectangle 8">
          <a:hlinkClick xmlns:r="http://schemas.openxmlformats.org/officeDocument/2006/relationships" r:id="rId5" tooltip="Click"/>
          <a:extLst>
            <a:ext uri="{FF2B5EF4-FFF2-40B4-BE49-F238E27FC236}">
              <a16:creationId xmlns:a16="http://schemas.microsoft.com/office/drawing/2014/main" id="{00000000-0008-0000-0800-000008000000}"/>
            </a:ext>
          </a:extLst>
        </xdr:cNvPr>
        <xdr:cNvSpPr>
          <a:spLocks/>
        </xdr:cNvSpPr>
      </xdr:nvSpPr>
      <xdr:spPr bwMode="auto">
        <a:xfrm>
          <a:off x="7477124" y="66675"/>
          <a:ext cx="1457325" cy="276225"/>
        </a:xfrm>
        <a:custGeom>
          <a:avLst/>
          <a:gdLst>
            <a:gd name="T0" fmla="*/ 45721 w 1447800"/>
            <a:gd name="T1" fmla="*/ 0 h 274320"/>
            <a:gd name="T2" fmla="*/ 1402079 w 1447800"/>
            <a:gd name="T3" fmla="*/ 0 h 274320"/>
            <a:gd name="T4" fmla="*/ 1447800 w 1447800"/>
            <a:gd name="T5" fmla="*/ 45721 h 274320"/>
            <a:gd name="T6" fmla="*/ 1447800 w 1447800"/>
            <a:gd name="T7" fmla="*/ 274320 h 274320"/>
            <a:gd name="T8" fmla="*/ 1447800 w 1447800"/>
            <a:gd name="T9" fmla="*/ 274320 h 274320"/>
            <a:gd name="T10" fmla="*/ 0 w 1447800"/>
            <a:gd name="T11" fmla="*/ 274320 h 274320"/>
            <a:gd name="T12" fmla="*/ 0 w 1447800"/>
            <a:gd name="T13" fmla="*/ 274320 h 274320"/>
            <a:gd name="T14" fmla="*/ 0 w 1447800"/>
            <a:gd name="T15" fmla="*/ 45721 h 274320"/>
            <a:gd name="T16" fmla="*/ 45721 w 1447800"/>
            <a:gd name="T17" fmla="*/ 0 h 274320"/>
            <a:gd name="T18" fmla="*/ 0 60000 65536"/>
            <a:gd name="T19" fmla="*/ 0 60000 65536"/>
            <a:gd name="T20" fmla="*/ 0 60000 65536"/>
            <a:gd name="T21" fmla="*/ 0 60000 65536"/>
            <a:gd name="T22" fmla="*/ 0 60000 65536"/>
            <a:gd name="T23" fmla="*/ 0 60000 65536"/>
            <a:gd name="T24" fmla="*/ 0 60000 65536"/>
            <a:gd name="T25" fmla="*/ 0 60000 65536"/>
            <a:gd name="T26" fmla="*/ 0 60000 65536"/>
            <a:gd name="T27" fmla="*/ 0 w 1447800"/>
            <a:gd name="T28" fmla="*/ 0 h 274320"/>
            <a:gd name="T29" fmla="*/ 1447800 w 1447800"/>
            <a:gd name="T30" fmla="*/ 274320 h 274320"/>
          </a:gdLst>
          <a:ahLst/>
          <a:cxnLst>
            <a:cxn ang="T18">
              <a:pos x="T0" y="T1"/>
            </a:cxn>
            <a:cxn ang="T19">
              <a:pos x="T2" y="T3"/>
            </a:cxn>
            <a:cxn ang="T20">
              <a:pos x="T4" y="T5"/>
            </a:cxn>
            <a:cxn ang="T21">
              <a:pos x="T6" y="T7"/>
            </a:cxn>
            <a:cxn ang="T22">
              <a:pos x="T8" y="T9"/>
            </a:cxn>
            <a:cxn ang="T23">
              <a:pos x="T10" y="T11"/>
            </a:cxn>
            <a:cxn ang="T24">
              <a:pos x="T12" y="T13"/>
            </a:cxn>
            <a:cxn ang="T25">
              <a:pos x="T14" y="T15"/>
            </a:cxn>
            <a:cxn ang="T26">
              <a:pos x="T16" y="T17"/>
            </a:cxn>
          </a:cxnLst>
          <a:rect l="T27" t="T28" r="T29" b="T30"/>
          <a:pathLst>
            <a:path w="1447800" h="274320">
              <a:moveTo>
                <a:pt x="45721" y="0"/>
              </a:moveTo>
              <a:lnTo>
                <a:pt x="1402079" y="0"/>
              </a:lnTo>
              <a:cubicBezTo>
                <a:pt x="1427330" y="0"/>
                <a:pt x="1447800" y="20470"/>
                <a:pt x="1447800" y="45721"/>
              </a:cubicBezTo>
              <a:lnTo>
                <a:pt x="1447800" y="274320"/>
              </a:lnTo>
              <a:lnTo>
                <a:pt x="0" y="274320"/>
              </a:lnTo>
              <a:lnTo>
                <a:pt x="0" y="45721"/>
              </a:lnTo>
              <a:cubicBezTo>
                <a:pt x="0" y="20470"/>
                <a:pt x="20470" y="0"/>
                <a:pt x="45721" y="0"/>
              </a:cubicBez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ctr" rtl="0">
            <a:defRPr sz="1000"/>
          </a:pPr>
          <a:fld id="{2E981FC7-65A3-4A2F-831E-3CE479F208A1}" type="TxLink">
            <a:rPr lang="en-US" sz="1000" b="1">
              <a:solidFill>
                <a:schemeClr val="lt1"/>
              </a:solidFill>
              <a:latin typeface="+mn-lt"/>
              <a:ea typeface="+mn-ea"/>
              <a:cs typeface="+mn-cs"/>
            </a:rPr>
            <a:pPr marL="0" indent="0" algn="ctr" rtl="0">
              <a:defRPr sz="1000"/>
            </a:pPr>
            <a:t>Not Used</a:t>
          </a:fld>
          <a:endParaRPr lang="en-US" sz="1000" b="1">
            <a:solidFill>
              <a:schemeClr val="lt1"/>
            </a:solidFill>
            <a:latin typeface="+mn-lt"/>
            <a:ea typeface="+mn-ea"/>
            <a:cs typeface="+mn-cs"/>
          </a:endParaRPr>
        </a:p>
      </xdr:txBody>
    </xdr:sp>
    <xdr:clientData/>
  </xdr:twoCellAnchor>
  <xdr:twoCellAnchor editAs="absolute">
    <xdr:from>
      <xdr:col>1</xdr:col>
      <xdr:colOff>114300</xdr:colOff>
      <xdr:row>1</xdr:row>
      <xdr:rowOff>76200</xdr:rowOff>
    </xdr:from>
    <xdr:to>
      <xdr:col>2</xdr:col>
      <xdr:colOff>847207</xdr:colOff>
      <xdr:row>1</xdr:row>
      <xdr:rowOff>304800</xdr:rowOff>
    </xdr:to>
    <xdr:sp macro="" textlink="">
      <xdr:nvSpPr>
        <xdr:cNvPr id="9" name="Rounded Rectangle 8">
          <a:hlinkClick xmlns:r="http://schemas.openxmlformats.org/officeDocument/2006/relationships" r:id="rId6" tooltip="Click"/>
          <a:extLst>
            <a:ext uri="{FF2B5EF4-FFF2-40B4-BE49-F238E27FC236}">
              <a16:creationId xmlns:a16="http://schemas.microsoft.com/office/drawing/2014/main" id="{00000000-0008-0000-0800-000009000000}"/>
            </a:ext>
          </a:extLst>
        </xdr:cNvPr>
        <xdr:cNvSpPr/>
      </xdr:nvSpPr>
      <xdr:spPr>
        <a:xfrm>
          <a:off x="180975" y="438150"/>
          <a:ext cx="10001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85090</xdr:colOff>
      <xdr:row>1</xdr:row>
      <xdr:rowOff>448309</xdr:rowOff>
    </xdr:from>
    <xdr:to>
      <xdr:col>10</xdr:col>
      <xdr:colOff>637545</xdr:colOff>
      <xdr:row>1</xdr:row>
      <xdr:rowOff>781092</xdr:rowOff>
    </xdr:to>
    <xdr:sp macro="" textlink="">
      <xdr:nvSpPr>
        <xdr:cNvPr id="10" name="Rounded Rectangle 6">
          <a:extLst>
            <a:ext uri="{FF2B5EF4-FFF2-40B4-BE49-F238E27FC236}">
              <a16:creationId xmlns:a16="http://schemas.microsoft.com/office/drawing/2014/main" id="{00000000-0008-0000-0800-00000A000000}"/>
            </a:ext>
          </a:extLst>
        </xdr:cNvPr>
        <xdr:cNvSpPr>
          <a:spLocks noChangeArrowheads="1"/>
        </xdr:cNvSpPr>
      </xdr:nvSpPr>
      <xdr:spPr bwMode="auto">
        <a:xfrm>
          <a:off x="152400" y="809624"/>
          <a:ext cx="8724900" cy="3333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algn="l" rtl="0">
            <a:defRPr sz="1000"/>
          </a:pPr>
          <a:r>
            <a:rPr lang="en-US" sz="1000" b="1" i="0" u="none" strike="noStrike" baseline="0">
              <a:solidFill>
                <a:srgbClr val="000000"/>
              </a:solidFill>
              <a:latin typeface="Calibri"/>
              <a:cs typeface="Calibri"/>
            </a:rPr>
            <a:t>Instructions:  </a:t>
          </a:r>
          <a:r>
            <a:rPr lang="en-US" sz="900" b="0" i="0" u="none" strike="noStrike" baseline="0">
              <a:solidFill>
                <a:srgbClr val="000000"/>
              </a:solidFill>
              <a:latin typeface="Calibri"/>
              <a:cs typeface="Calibri"/>
            </a:rPr>
            <a:t>Provide details for both External and Internal Training by clicking the "Details" button.  Provide the Cost associated with the training.</a:t>
          </a:r>
          <a:endParaRPr lang="en-US" sz="900"/>
        </a:p>
      </xdr:txBody>
    </xdr:sp>
    <xdr:clientData/>
  </xdr:twoCellAnchor>
  <xdr:twoCellAnchor editAs="absolute">
    <xdr:from>
      <xdr:col>2</xdr:col>
      <xdr:colOff>1238250</xdr:colOff>
      <xdr:row>0</xdr:row>
      <xdr:rowOff>298116</xdr:rowOff>
    </xdr:from>
    <xdr:to>
      <xdr:col>8</xdr:col>
      <xdr:colOff>524505</xdr:colOff>
      <xdr:row>1</xdr:row>
      <xdr:rowOff>284667</xdr:rowOff>
    </xdr:to>
    <xdr:sp macro="" textlink="Titles!F5">
      <xdr:nvSpPr>
        <xdr:cNvPr id="11" name="TextBox 10">
          <a:extLst>
            <a:ext uri="{FF2B5EF4-FFF2-40B4-BE49-F238E27FC236}">
              <a16:creationId xmlns:a16="http://schemas.microsoft.com/office/drawing/2014/main" id="{00000000-0008-0000-0800-00000B000000}"/>
            </a:ext>
          </a:extLst>
        </xdr:cNvPr>
        <xdr:cNvSpPr txBox="1"/>
      </xdr:nvSpPr>
      <xdr:spPr>
        <a:xfrm>
          <a:off x="1567815" y="300021"/>
          <a:ext cx="6155050"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fld id="{3955B165-5C3B-4241-9031-C509FF291122}" type="TxLink">
            <a:rPr lang="en-US" sz="1600" b="1" i="1" u="none"/>
            <a:pPr algn="ctr"/>
            <a:t>SWEPCO - 2025 EE Portfolio Information</a:t>
          </a:fld>
          <a:endParaRPr lang="en-US" sz="1600" b="1" i="1" u="none"/>
        </a:p>
      </xdr:txBody>
    </xdr:sp>
    <xdr:clientData/>
  </xdr:twoCellAnchor>
  <xdr:twoCellAnchor editAs="absolute">
    <xdr:from>
      <xdr:col>3</xdr:col>
      <xdr:colOff>516255</xdr:colOff>
      <xdr:row>1</xdr:row>
      <xdr:rowOff>135255</xdr:rowOff>
    </xdr:from>
    <xdr:to>
      <xdr:col>7</xdr:col>
      <xdr:colOff>893450</xdr:colOff>
      <xdr:row>1</xdr:row>
      <xdr:rowOff>415460</xdr:rowOff>
    </xdr:to>
    <xdr:sp macro="" textlink="Titles!B6">
      <xdr:nvSpPr>
        <xdr:cNvPr id="12" name="TextBox 11">
          <a:extLst>
            <a:ext uri="{FF2B5EF4-FFF2-40B4-BE49-F238E27FC236}">
              <a16:creationId xmlns:a16="http://schemas.microsoft.com/office/drawing/2014/main" id="{00000000-0008-0000-0800-00000C000000}"/>
            </a:ext>
          </a:extLst>
        </xdr:cNvPr>
        <xdr:cNvSpPr txBox="1"/>
      </xdr:nvSpPr>
      <xdr:spPr>
        <a:xfrm>
          <a:off x="2240280" y="497205"/>
          <a:ext cx="460629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D1D7748-B02B-4F13-80AB-FB58A88D5E1B}" type="TxLink">
            <a:rPr lang="en-US" sz="1200" b="0"/>
            <a:pPr algn="ctr"/>
            <a:t>Training</a:t>
          </a:fld>
          <a:endParaRPr lang="en-US" sz="1200" b="0"/>
        </a:p>
      </xdr:txBody>
    </xdr:sp>
    <xdr:clientData/>
  </xdr:twoCellAnchor>
  <xdr:twoCellAnchor editAs="absolute">
    <xdr:from>
      <xdr:col>8</xdr:col>
      <xdr:colOff>580390</xdr:colOff>
      <xdr:row>1</xdr:row>
      <xdr:rowOff>95250</xdr:rowOff>
    </xdr:from>
    <xdr:to>
      <xdr:col>9</xdr:col>
      <xdr:colOff>340995</xdr:colOff>
      <xdr:row>1</xdr:row>
      <xdr:rowOff>323850</xdr:rowOff>
    </xdr:to>
    <xdr:sp macro="" textlink="">
      <xdr:nvSpPr>
        <xdr:cNvPr id="13" name="Rounded Rectangle 12">
          <a:hlinkClick xmlns:r="http://schemas.openxmlformats.org/officeDocument/2006/relationships" r:id="rId4" tooltip="Click"/>
          <a:extLst>
            <a:ext uri="{FF2B5EF4-FFF2-40B4-BE49-F238E27FC236}">
              <a16:creationId xmlns:a16="http://schemas.microsoft.com/office/drawing/2014/main" id="{00000000-0008-0000-0800-00000D000000}"/>
            </a:ext>
          </a:extLst>
        </xdr:cNvPr>
        <xdr:cNvSpPr/>
      </xdr:nvSpPr>
      <xdr:spPr>
        <a:xfrm>
          <a:off x="75438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latin typeface="+mn-lt"/>
            </a:rPr>
            <a:t>&lt;&lt; Back</a:t>
          </a:r>
        </a:p>
      </xdr:txBody>
    </xdr:sp>
    <xdr:clientData/>
  </xdr:twoCellAnchor>
  <xdr:twoCellAnchor editAs="absolute">
    <xdr:from>
      <xdr:col>10</xdr:col>
      <xdr:colOff>0</xdr:colOff>
      <xdr:row>1</xdr:row>
      <xdr:rowOff>95250</xdr:rowOff>
    </xdr:from>
    <xdr:to>
      <xdr:col>10</xdr:col>
      <xdr:colOff>630610</xdr:colOff>
      <xdr:row>1</xdr:row>
      <xdr:rowOff>323850</xdr:rowOff>
    </xdr:to>
    <xdr:sp macro="" textlink="">
      <xdr:nvSpPr>
        <xdr:cNvPr id="14" name="Rounded Rectangle 13">
          <a:hlinkClick xmlns:r="http://schemas.openxmlformats.org/officeDocument/2006/relationships" r:id="rId5" tooltip="Click"/>
          <a:extLst>
            <a:ext uri="{FF2B5EF4-FFF2-40B4-BE49-F238E27FC236}">
              <a16:creationId xmlns:a16="http://schemas.microsoft.com/office/drawing/2014/main" id="{00000000-0008-0000-0800-00000E000000}"/>
            </a:ext>
          </a:extLst>
        </xdr:cNvPr>
        <xdr:cNvSpPr/>
      </xdr:nvSpPr>
      <xdr:spPr>
        <a:xfrm>
          <a:off x="8229600" y="457200"/>
          <a:ext cx="640080" cy="228600"/>
        </a:xfrm>
        <a:prstGeom prst="round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a:solidFill>
                <a:schemeClr val="bg1"/>
              </a:solidFill>
            </a:rPr>
            <a:t>Next</a:t>
          </a:r>
          <a:r>
            <a:rPr lang="en-US" sz="1000" baseline="0">
              <a:solidFill>
                <a:schemeClr val="bg1"/>
              </a:solidFill>
            </a:rPr>
            <a:t> &gt;&gt;</a:t>
          </a:r>
          <a:endParaRPr lang="en-US" sz="1000">
            <a:solidFill>
              <a:schemeClr val="bg1"/>
            </a:solidFill>
          </a:endParaRPr>
        </a:p>
      </xdr:txBody>
    </xdr:sp>
    <xdr:clientData/>
  </xdr:twoCellAnchor>
  <xdr:twoCellAnchor editAs="absolute">
    <xdr:from>
      <xdr:col>2</xdr:col>
      <xdr:colOff>19050</xdr:colOff>
      <xdr:row>6</xdr:row>
      <xdr:rowOff>8891</xdr:rowOff>
    </xdr:from>
    <xdr:to>
      <xdr:col>2</xdr:col>
      <xdr:colOff>1087758</xdr:colOff>
      <xdr:row>7</xdr:row>
      <xdr:rowOff>46991</xdr:rowOff>
    </xdr:to>
    <xdr:sp macro="" textlink="">
      <xdr:nvSpPr>
        <xdr:cNvPr id="15" name="Rounded Rectangle 14">
          <a:hlinkClick xmlns:r="http://schemas.openxmlformats.org/officeDocument/2006/relationships" r:id="rId7" tooltip="Click"/>
          <a:extLst>
            <a:ext uri="{FF2B5EF4-FFF2-40B4-BE49-F238E27FC236}">
              <a16:creationId xmlns:a16="http://schemas.microsoft.com/office/drawing/2014/main" id="{00000000-0008-0000-0800-00000F000000}"/>
            </a:ext>
          </a:extLst>
        </xdr:cNvPr>
        <xdr:cNvSpPr/>
      </xdr:nvSpPr>
      <xdr:spPr>
        <a:xfrm>
          <a:off x="333375" y="1857376"/>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twoCellAnchor editAs="absolute">
    <xdr:from>
      <xdr:col>2</xdr:col>
      <xdr:colOff>8890</xdr:colOff>
      <xdr:row>12</xdr:row>
      <xdr:rowOff>8890</xdr:rowOff>
    </xdr:from>
    <xdr:to>
      <xdr:col>2</xdr:col>
      <xdr:colOff>1087549</xdr:colOff>
      <xdr:row>13</xdr:row>
      <xdr:rowOff>46990</xdr:rowOff>
    </xdr:to>
    <xdr:sp macro="" textlink="">
      <xdr:nvSpPr>
        <xdr:cNvPr id="16" name="Rounded Rectangle 15">
          <a:hlinkClick xmlns:r="http://schemas.openxmlformats.org/officeDocument/2006/relationships" r:id="rId8" tooltip="Click"/>
          <a:extLst>
            <a:ext uri="{FF2B5EF4-FFF2-40B4-BE49-F238E27FC236}">
              <a16:creationId xmlns:a16="http://schemas.microsoft.com/office/drawing/2014/main" id="{00000000-0008-0000-0800-000010000000}"/>
            </a:ext>
          </a:extLst>
        </xdr:cNvPr>
        <xdr:cNvSpPr/>
      </xdr:nvSpPr>
      <xdr:spPr>
        <a:xfrm>
          <a:off x="323850" y="3000375"/>
          <a:ext cx="10763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baseline="0">
              <a:solidFill>
                <a:sysClr val="windowText" lastClr="000000"/>
              </a:solidFill>
            </a:rPr>
            <a:t>Details</a:t>
          </a:r>
          <a:endParaRPr lang="en-US"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C6:N272" totalsRowShown="0" headerRowDxfId="124" headerRowBorderDxfId="123" tableBorderDxfId="122" totalsRowBorderDxfId="121" headerRowCellStyle="Heading 2">
  <tableColumns count="12">
    <tableColumn id="1" xr3:uid="{00000000-0010-0000-0000-000001000000}" name="Event No." dataDxfId="120" dataCellStyle="Normal - Numbering">
      <calculatedColumnFormula>ROW()-6</calculatedColumnFormula>
    </tableColumn>
    <tableColumn id="12" xr3:uid="{00000000-0010-0000-0000-00000C000000}" name="Test" dataDxfId="119" dataCellStyle="Number_#,###">
      <calculatedColumnFormula>IF(AND(ISBLANK(Table2[[#This Row],[Start Date]]),ISBLANK(Table2[[#This Row],[Class]]),ISBLANK(Table2[[#This Row],[Class Description]]),ISBLANK(Table2[[#This Row],[No. of Attendees
(A)]])),0,IF(OR(ISBLANK(Table2[[#This Row],[Class]]),ISBLANK(Table2[[#This Row],[No. of Attendees
(A)]]),ISBLANK(Table2[[#This Row],[Length of Session
(B)]])),1,0))</calculatedColumnFormula>
    </tableColumn>
    <tableColumn id="2" xr3:uid="{00000000-0010-0000-0000-000002000000}" name="Start Date" dataDxfId="118"/>
    <tableColumn id="3" xr3:uid="{00000000-0010-0000-0000-000003000000}" name="Class" dataDxfId="117"/>
    <tableColumn id="4" xr3:uid="{00000000-0010-0000-0000-000004000000}" name="Class Description" dataDxfId="116"/>
    <tableColumn id="5" xr3:uid="{00000000-0010-0000-0000-000005000000}" name="Training Location" dataDxfId="115"/>
    <tableColumn id="6" xr3:uid="{00000000-0010-0000-0000-000006000000}" name="Sponsor" dataDxfId="114"/>
    <tableColumn id="7" xr3:uid="{00000000-0010-0000-0000-000007000000}" name="No. of Attendees_x000a_(A)" dataDxfId="113" dataCellStyle="Number_#,###"/>
    <tableColumn id="8" xr3:uid="{00000000-0010-0000-0000-000008000000}" name="Length of Session_x000a_(B)" dataDxfId="112" dataCellStyle="Number_#,###"/>
    <tableColumn id="9" xr3:uid="{00000000-0010-0000-0000-000009000000}" name="Training Session Man-Hours_x000a_(A x B)" dataDxfId="111" dataCellStyle="Number_#,###">
      <calculatedColumnFormula>J7*K7</calculatedColumnFormula>
    </tableColumn>
    <tableColumn id="10" xr3:uid="{00000000-0010-0000-0000-00000A000000}" name="Any Certificates Awarded?_x000a_(Y or N)" dataDxfId="110"/>
    <tableColumn id="11" xr3:uid="{00000000-0010-0000-0000-00000B000000}" name="# of Certificates Awarded" dataDxfId="109"/>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2" displayName="Table22" ref="C6:N134" totalsRowShown="0" headerRowDxfId="108" headerRowBorderDxfId="107" tableBorderDxfId="106" totalsRowBorderDxfId="105" headerRowCellStyle="Heading 2">
  <tableColumns count="12">
    <tableColumn id="1" xr3:uid="{00000000-0010-0000-0100-000001000000}" name="Event No." dataDxfId="104" dataCellStyle="Normal - Numbering">
      <calculatedColumnFormula>ROW()-6</calculatedColumnFormula>
    </tableColumn>
    <tableColumn id="12" xr3:uid="{00000000-0010-0000-0100-00000C000000}" name="Test" dataDxfId="103" dataCellStyle="Number_#,###">
      <calculatedColumnFormula>IF(AND(ISBLANK(Table22[[#This Row],[Start Date]]),ISBLANK(Table22[[#This Row],[Class]]),ISBLANK(Table22[[#This Row],[Class Description]]),ISBLANK(Table22[[#This Row],[No. of Attendees
(A)]])),0,IF(OR(ISBLANK(Table22[[#This Row],[Class]]),ISBLANK(Table22[[#This Row],[No. of Attendees
(A)]]),ISBLANK(Table22[[#This Row],[Length of Session
(B)]])),1,0))</calculatedColumnFormula>
    </tableColumn>
    <tableColumn id="2" xr3:uid="{00000000-0010-0000-0100-000002000000}" name="Start Date" dataDxfId="102"/>
    <tableColumn id="3" xr3:uid="{00000000-0010-0000-0100-000003000000}" name="Class" dataDxfId="101"/>
    <tableColumn id="4" xr3:uid="{00000000-0010-0000-0100-000004000000}" name="Class Description" dataDxfId="100"/>
    <tableColumn id="5" xr3:uid="{00000000-0010-0000-0100-000005000000}" name="Training Location" dataDxfId="99"/>
    <tableColumn id="6" xr3:uid="{00000000-0010-0000-0100-000006000000}" name="Sponsor" dataDxfId="98"/>
    <tableColumn id="7" xr3:uid="{00000000-0010-0000-0100-000007000000}" name="No. of Attendees_x000a_(A)" dataDxfId="97" dataCellStyle="Number_#,###"/>
    <tableColumn id="8" xr3:uid="{00000000-0010-0000-0100-000008000000}" name="Length of Session_x000a_(B)" dataDxfId="96" dataCellStyle="Number_#,###"/>
    <tableColumn id="9" xr3:uid="{00000000-0010-0000-0100-000009000000}" name="Training Session Man-Hours_x000a_(A x B)" dataDxfId="95" dataCellStyle="Number_#,###">
      <calculatedColumnFormula>J7*K7</calculatedColumnFormula>
    </tableColumn>
    <tableColumn id="10" xr3:uid="{00000000-0010-0000-0100-00000A000000}" name="Any Certificates Awarded?_x000a_(Y or N)" dataDxfId="94"/>
    <tableColumn id="11" xr3:uid="{00000000-0010-0000-0100-00000B000000}" name="# of Certificates Awarded" dataDxfId="93"/>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tx2">
            <a:lumMod val="75000"/>
          </a:schemeClr>
        </a:solidFill>
      </a:spPr>
      <a:bodyPr vertOverflow="clip" horzOverflow="clip" rtlCol="0" anchor="ctr"/>
      <a:lstStyle>
        <a:defPPr algn="ctr">
          <a:defRPr sz="1000" b="1">
            <a:solidFill>
              <a:schemeClr val="bg1"/>
            </a:solidFill>
            <a:latin typeface="+mn-lt"/>
          </a:defRPr>
        </a:defPPr>
      </a:lstStyle>
      <a:style>
        <a:lnRef idx="2">
          <a:schemeClr val="accent1">
            <a:shade val="50000"/>
          </a:schemeClr>
        </a:lnRef>
        <a:fillRef idx="1">
          <a:schemeClr val="accent1"/>
        </a:fillRef>
        <a:effectRef idx="0">
          <a:schemeClr val="accent1"/>
        </a:effectRef>
        <a:fontRef idx="minor">
          <a:schemeClr val="lt1"/>
        </a:fontRef>
      </a:style>
    </a:spDef>
    <a:lnDef>
      <a:spPr bwMode="auto">
        <a:xfrm>
          <a:off x="0" y="0"/>
          <a:ext cx="1" cy="1"/>
        </a:xfrm>
        <a:custGeom>
          <a:avLst/>
          <a:gdLst/>
          <a:ahLst/>
          <a:cxnLst/>
          <a:rect l="0" t="0" r="0" b="0"/>
          <a:pathLst/>
        </a:custGeom>
        <a:solidFill>
          <a:srgbClr val="4F81BD"/>
        </a:solidFill>
        <a:ln w="25400" cap="flat" cmpd="sng" algn="ctr">
          <a:solidFill>
            <a:srgbClr val="385D8A"/>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B1:F70"/>
  <sheetViews>
    <sheetView showGridLines="0" showRowColHeaders="0" zoomScale="110" zoomScaleNormal="110" workbookViewId="0">
      <pane ySplit="2" topLeftCell="A27" activePane="bottomLeft" state="frozen"/>
      <selection pane="bottomLeft" activeCell="C7" sqref="C7:E7"/>
    </sheetView>
  </sheetViews>
  <sheetFormatPr defaultColWidth="9.140625" defaultRowHeight="12.75" x14ac:dyDescent="0.2"/>
  <cols>
    <col min="1" max="1" width="1" style="2" customWidth="1"/>
    <col min="2" max="2" width="1.85546875" style="2" customWidth="1"/>
    <col min="3" max="3" width="8" style="2" customWidth="1"/>
    <col min="4" max="4" width="9.140625" style="2" customWidth="1"/>
    <col min="5" max="5" width="116.5703125" style="2" customWidth="1"/>
    <col min="6" max="6" width="1.85546875" style="2" customWidth="1"/>
    <col min="7" max="16384" width="9.140625" style="2"/>
  </cols>
  <sheetData>
    <row r="1" spans="2:6" ht="5.0999999999999996" customHeight="1" x14ac:dyDescent="0.2"/>
    <row r="2" spans="2:6" ht="38.25" customHeight="1" x14ac:dyDescent="0.2">
      <c r="B2" s="646" t="s">
        <v>0</v>
      </c>
      <c r="C2" s="647"/>
      <c r="D2" s="647"/>
      <c r="E2" s="647"/>
      <c r="F2" s="647"/>
    </row>
    <row r="3" spans="2:6" s="1" customFormat="1" x14ac:dyDescent="0.2">
      <c r="B3" s="483"/>
      <c r="C3" s="484"/>
      <c r="D3" s="484"/>
      <c r="E3" s="484"/>
      <c r="F3" s="485"/>
    </row>
    <row r="4" spans="2:6" s="1" customFormat="1" ht="25.5" customHeight="1" x14ac:dyDescent="0.2">
      <c r="B4" s="486"/>
      <c r="C4" s="648" t="s">
        <v>1</v>
      </c>
      <c r="D4" s="648"/>
      <c r="E4" s="648"/>
      <c r="F4" s="487"/>
    </row>
    <row r="5" spans="2:6" s="1" customFormat="1" x14ac:dyDescent="0.2">
      <c r="B5" s="486"/>
      <c r="C5" s="488"/>
      <c r="D5" s="488"/>
      <c r="E5" s="489"/>
      <c r="F5" s="487"/>
    </row>
    <row r="6" spans="2:6" s="1" customFormat="1" ht="15" x14ac:dyDescent="0.2">
      <c r="B6" s="486"/>
      <c r="C6" s="645" t="s">
        <v>2</v>
      </c>
      <c r="D6" s="645"/>
      <c r="E6" s="645"/>
      <c r="F6" s="487"/>
    </row>
    <row r="7" spans="2:6" s="1" customFormat="1" ht="63.75" customHeight="1" x14ac:dyDescent="0.2">
      <c r="B7" s="486"/>
      <c r="C7" s="649" t="s">
        <v>3</v>
      </c>
      <c r="D7" s="649"/>
      <c r="E7" s="649"/>
      <c r="F7" s="487"/>
    </row>
    <row r="8" spans="2:6" s="1" customFormat="1" x14ac:dyDescent="0.2">
      <c r="B8" s="486"/>
      <c r="C8" s="342">
        <v>1</v>
      </c>
      <c r="D8" s="24" t="s">
        <v>4</v>
      </c>
      <c r="E8" s="24"/>
      <c r="F8" s="487"/>
    </row>
    <row r="9" spans="2:6" s="1" customFormat="1" x14ac:dyDescent="0.2">
      <c r="B9" s="486"/>
      <c r="C9" s="342">
        <v>2</v>
      </c>
      <c r="D9" s="24" t="s">
        <v>5</v>
      </c>
      <c r="E9" s="24"/>
      <c r="F9" s="487"/>
    </row>
    <row r="10" spans="2:6" s="1" customFormat="1" x14ac:dyDescent="0.2">
      <c r="B10" s="486"/>
      <c r="C10" s="342">
        <v>3</v>
      </c>
      <c r="D10" s="24" t="s">
        <v>6</v>
      </c>
      <c r="E10" s="24"/>
      <c r="F10" s="487"/>
    </row>
    <row r="11" spans="2:6" s="1" customFormat="1" x14ac:dyDescent="0.2">
      <c r="B11" s="486"/>
      <c r="C11" s="489"/>
      <c r="D11" s="489"/>
      <c r="E11" s="489"/>
      <c r="F11" s="487"/>
    </row>
    <row r="12" spans="2:6" s="1" customFormat="1" ht="44.25" customHeight="1" x14ac:dyDescent="0.2">
      <c r="B12" s="486"/>
      <c r="C12" s="643" t="s">
        <v>7</v>
      </c>
      <c r="D12" s="643"/>
      <c r="E12" s="643"/>
      <c r="F12" s="487"/>
    </row>
    <row r="13" spans="2:6" s="1" customFormat="1" x14ac:dyDescent="0.2">
      <c r="B13" s="486"/>
      <c r="C13" s="489"/>
      <c r="D13" s="489"/>
      <c r="E13" s="489"/>
      <c r="F13" s="487"/>
    </row>
    <row r="14" spans="2:6" s="1" customFormat="1" x14ac:dyDescent="0.2">
      <c r="B14" s="486"/>
      <c r="C14" s="490"/>
      <c r="D14" s="355"/>
      <c r="E14" s="335" t="s">
        <v>8</v>
      </c>
      <c r="F14" s="487"/>
    </row>
    <row r="15" spans="2:6" s="1" customFormat="1" x14ac:dyDescent="0.2">
      <c r="B15" s="486"/>
      <c r="C15" s="490"/>
      <c r="D15" s="491"/>
      <c r="E15" s="335" t="s">
        <v>9</v>
      </c>
      <c r="F15" s="487"/>
    </row>
    <row r="16" spans="2:6" s="1" customFormat="1" x14ac:dyDescent="0.2">
      <c r="B16" s="486"/>
      <c r="C16" s="490"/>
      <c r="D16" s="343"/>
      <c r="E16" s="335" t="s">
        <v>10</v>
      </c>
      <c r="F16" s="487"/>
    </row>
    <row r="17" spans="2:6" s="1" customFormat="1" x14ac:dyDescent="0.2">
      <c r="B17" s="486"/>
      <c r="C17" s="489"/>
      <c r="D17" s="489"/>
      <c r="E17" s="489"/>
      <c r="F17" s="487"/>
    </row>
    <row r="18" spans="2:6" s="1" customFormat="1" x14ac:dyDescent="0.2">
      <c r="B18" s="486"/>
      <c r="C18" s="644" t="s">
        <v>11</v>
      </c>
      <c r="D18" s="644"/>
      <c r="E18" s="644"/>
      <c r="F18" s="487"/>
    </row>
    <row r="19" spans="2:6" s="1" customFormat="1" x14ac:dyDescent="0.2">
      <c r="B19" s="486"/>
      <c r="C19" s="632"/>
      <c r="D19" s="632"/>
      <c r="E19" s="632"/>
      <c r="F19" s="487"/>
    </row>
    <row r="20" spans="2:6" s="1" customFormat="1" ht="30" customHeight="1" x14ac:dyDescent="0.2">
      <c r="B20" s="486"/>
      <c r="C20" s="650" t="s">
        <v>12</v>
      </c>
      <c r="D20" s="650"/>
      <c r="E20" s="650"/>
      <c r="F20" s="487"/>
    </row>
    <row r="21" spans="2:6" s="1" customFormat="1" x14ac:dyDescent="0.2">
      <c r="B21" s="486"/>
      <c r="C21" s="632"/>
      <c r="D21" s="632"/>
      <c r="E21" s="632"/>
      <c r="F21" s="487"/>
    </row>
    <row r="22" spans="2:6" s="1" customFormat="1" ht="15" x14ac:dyDescent="0.2">
      <c r="B22" s="486"/>
      <c r="C22" s="645" t="s">
        <v>13</v>
      </c>
      <c r="D22" s="645"/>
      <c r="E22" s="645"/>
      <c r="F22" s="487"/>
    </row>
    <row r="23" spans="2:6" s="1" customFormat="1" ht="18.75" customHeight="1" x14ac:dyDescent="0.2">
      <c r="B23" s="22"/>
      <c r="C23" s="336" t="s">
        <v>14</v>
      </c>
      <c r="D23" s="25"/>
      <c r="E23" s="26"/>
      <c r="F23" s="487"/>
    </row>
    <row r="24" spans="2:6" s="1" customFormat="1" x14ac:dyDescent="0.2">
      <c r="B24" s="23"/>
      <c r="C24" s="342">
        <v>1</v>
      </c>
      <c r="D24" s="24" t="s">
        <v>15</v>
      </c>
      <c r="E24" s="24"/>
      <c r="F24" s="487"/>
    </row>
    <row r="25" spans="2:6" s="1" customFormat="1" x14ac:dyDescent="0.2">
      <c r="B25" s="23"/>
      <c r="C25" s="344"/>
      <c r="D25" s="339" t="s">
        <v>16</v>
      </c>
      <c r="E25" s="401" t="s">
        <v>17</v>
      </c>
      <c r="F25" s="487"/>
    </row>
    <row r="26" spans="2:6" s="1" customFormat="1" x14ac:dyDescent="0.2">
      <c r="B26" s="23"/>
      <c r="C26" s="344"/>
      <c r="D26" s="339" t="s">
        <v>18</v>
      </c>
      <c r="E26" s="337" t="s">
        <v>19</v>
      </c>
      <c r="F26" s="487"/>
    </row>
    <row r="27" spans="2:6" s="1" customFormat="1" x14ac:dyDescent="0.2">
      <c r="B27" s="23"/>
      <c r="C27" s="344"/>
      <c r="D27" s="339"/>
      <c r="E27" s="340" t="s">
        <v>20</v>
      </c>
      <c r="F27" s="487"/>
    </row>
    <row r="28" spans="2:6" s="1" customFormat="1" x14ac:dyDescent="0.2">
      <c r="B28" s="23"/>
      <c r="C28" s="344"/>
      <c r="D28" s="339" t="s">
        <v>21</v>
      </c>
      <c r="E28" s="337" t="s">
        <v>22</v>
      </c>
      <c r="F28" s="487"/>
    </row>
    <row r="29" spans="2:6" s="1" customFormat="1" x14ac:dyDescent="0.2">
      <c r="B29" s="23"/>
      <c r="C29" s="344"/>
      <c r="D29" s="339"/>
      <c r="E29" s="340" t="s">
        <v>23</v>
      </c>
      <c r="F29" s="487"/>
    </row>
    <row r="30" spans="2:6" s="1" customFormat="1" x14ac:dyDescent="0.2">
      <c r="B30" s="23"/>
      <c r="C30" s="344"/>
      <c r="D30" s="339" t="s">
        <v>24</v>
      </c>
      <c r="E30" s="337" t="s">
        <v>25</v>
      </c>
      <c r="F30" s="487"/>
    </row>
    <row r="31" spans="2:6" s="1" customFormat="1" x14ac:dyDescent="0.2">
      <c r="B31" s="23"/>
      <c r="C31" s="344"/>
      <c r="D31" s="339" t="s">
        <v>26</v>
      </c>
      <c r="E31" s="337" t="s">
        <v>27</v>
      </c>
      <c r="F31" s="487"/>
    </row>
    <row r="32" spans="2:6" s="1" customFormat="1" x14ac:dyDescent="0.2">
      <c r="B32" s="23"/>
      <c r="C32" s="344"/>
      <c r="D32" s="339"/>
      <c r="E32" s="340" t="s">
        <v>28</v>
      </c>
      <c r="F32" s="487"/>
    </row>
    <row r="33" spans="2:6" s="1" customFormat="1" x14ac:dyDescent="0.2">
      <c r="B33" s="23"/>
      <c r="C33" s="344"/>
      <c r="D33" s="339"/>
      <c r="E33" s="340" t="s">
        <v>29</v>
      </c>
      <c r="F33" s="487"/>
    </row>
    <row r="34" spans="2:6" s="1" customFormat="1" x14ac:dyDescent="0.2">
      <c r="B34" s="23"/>
      <c r="C34" s="342">
        <v>2</v>
      </c>
      <c r="D34" s="24" t="s">
        <v>30</v>
      </c>
      <c r="E34" s="25"/>
      <c r="F34" s="487"/>
    </row>
    <row r="35" spans="2:6" s="1" customFormat="1" x14ac:dyDescent="0.2">
      <c r="B35" s="23"/>
      <c r="C35" s="344"/>
      <c r="D35" s="339" t="s">
        <v>16</v>
      </c>
      <c r="E35" s="338" t="s">
        <v>31</v>
      </c>
      <c r="F35" s="487"/>
    </row>
    <row r="36" spans="2:6" s="1" customFormat="1" x14ac:dyDescent="0.2">
      <c r="B36" s="23"/>
      <c r="C36" s="344"/>
      <c r="D36" s="339"/>
      <c r="E36" s="340" t="s">
        <v>32</v>
      </c>
      <c r="F36" s="487"/>
    </row>
    <row r="37" spans="2:6" s="1" customFormat="1" x14ac:dyDescent="0.2">
      <c r="B37" s="23"/>
      <c r="C37" s="344"/>
      <c r="D37" s="339" t="s">
        <v>18</v>
      </c>
      <c r="E37" s="337" t="s">
        <v>33</v>
      </c>
      <c r="F37" s="487"/>
    </row>
    <row r="38" spans="2:6" s="1" customFormat="1" x14ac:dyDescent="0.2">
      <c r="B38" s="23"/>
      <c r="C38" s="344"/>
      <c r="D38" s="339"/>
      <c r="E38" s="340" t="s">
        <v>34</v>
      </c>
      <c r="F38" s="487"/>
    </row>
    <row r="39" spans="2:6" s="1" customFormat="1" x14ac:dyDescent="0.2">
      <c r="B39" s="23"/>
      <c r="C39" s="344"/>
      <c r="D39" s="339" t="s">
        <v>21</v>
      </c>
      <c r="E39" s="337" t="s">
        <v>35</v>
      </c>
      <c r="F39" s="487"/>
    </row>
    <row r="40" spans="2:6" s="1" customFormat="1" x14ac:dyDescent="0.2">
      <c r="B40" s="23"/>
      <c r="C40" s="344"/>
      <c r="D40" s="339"/>
      <c r="E40" s="340" t="s">
        <v>36</v>
      </c>
      <c r="F40" s="487"/>
    </row>
    <row r="41" spans="2:6" s="1" customFormat="1" x14ac:dyDescent="0.2">
      <c r="B41" s="23"/>
      <c r="C41" s="344"/>
      <c r="D41" s="339"/>
      <c r="E41" s="340" t="s">
        <v>37</v>
      </c>
      <c r="F41" s="487"/>
    </row>
    <row r="42" spans="2:6" s="1" customFormat="1" x14ac:dyDescent="0.2">
      <c r="B42" s="23"/>
      <c r="C42" s="344"/>
      <c r="D42" s="339"/>
      <c r="E42" s="340" t="s">
        <v>38</v>
      </c>
      <c r="F42" s="487"/>
    </row>
    <row r="43" spans="2:6" s="1" customFormat="1" x14ac:dyDescent="0.2">
      <c r="B43" s="23"/>
      <c r="C43" s="344"/>
      <c r="D43" s="339" t="s">
        <v>24</v>
      </c>
      <c r="E43" s="337" t="s">
        <v>39</v>
      </c>
      <c r="F43" s="487"/>
    </row>
    <row r="44" spans="2:6" s="1" customFormat="1" x14ac:dyDescent="0.2">
      <c r="B44" s="23"/>
      <c r="C44" s="344"/>
      <c r="D44" s="339" t="s">
        <v>26</v>
      </c>
      <c r="E44" s="337" t="s">
        <v>40</v>
      </c>
      <c r="F44" s="487"/>
    </row>
    <row r="45" spans="2:6" s="1" customFormat="1" x14ac:dyDescent="0.2">
      <c r="B45" s="23"/>
      <c r="C45" s="342">
        <v>3</v>
      </c>
      <c r="D45" s="651" t="s">
        <v>41</v>
      </c>
      <c r="E45" s="651"/>
      <c r="F45" s="652"/>
    </row>
    <row r="46" spans="2:6" s="1" customFormat="1" x14ac:dyDescent="0.2">
      <c r="B46" s="23"/>
      <c r="C46" s="344"/>
      <c r="D46" s="339" t="s">
        <v>16</v>
      </c>
      <c r="E46" s="338" t="s">
        <v>42</v>
      </c>
      <c r="F46" s="487"/>
    </row>
    <row r="47" spans="2:6" s="1" customFormat="1" x14ac:dyDescent="0.2">
      <c r="B47" s="23"/>
      <c r="C47" s="25"/>
      <c r="D47" s="25"/>
      <c r="E47" s="340" t="s">
        <v>43</v>
      </c>
      <c r="F47" s="487"/>
    </row>
    <row r="48" spans="2:6" s="1" customFormat="1" x14ac:dyDescent="0.2">
      <c r="B48" s="23"/>
      <c r="C48" s="25"/>
      <c r="D48" s="25"/>
      <c r="E48" s="25"/>
      <c r="F48" s="487"/>
    </row>
    <row r="49" spans="2:6" s="1" customFormat="1" ht="15" x14ac:dyDescent="0.2">
      <c r="B49" s="23"/>
      <c r="C49" s="645" t="s">
        <v>44</v>
      </c>
      <c r="D49" s="645"/>
      <c r="E49" s="645"/>
      <c r="F49" s="487"/>
    </row>
    <row r="50" spans="2:6" s="1" customFormat="1" x14ac:dyDescent="0.2">
      <c r="B50" s="23"/>
      <c r="C50" s="27" t="s">
        <v>45</v>
      </c>
      <c r="D50" s="27"/>
      <c r="E50" s="25"/>
      <c r="F50" s="487"/>
    </row>
    <row r="51" spans="2:6" s="1" customFormat="1" ht="25.5" customHeight="1" x14ac:dyDescent="0.2">
      <c r="B51" s="23"/>
      <c r="C51" s="650" t="s">
        <v>46</v>
      </c>
      <c r="D51" s="650"/>
      <c r="E51" s="650"/>
      <c r="F51" s="487"/>
    </row>
    <row r="52" spans="2:6" s="1" customFormat="1" x14ac:dyDescent="0.2">
      <c r="B52" s="23"/>
      <c r="C52" s="25"/>
      <c r="D52" s="25"/>
      <c r="E52" s="25"/>
      <c r="F52" s="487"/>
    </row>
    <row r="53" spans="2:6" s="1" customFormat="1" x14ac:dyDescent="0.2">
      <c r="B53" s="23"/>
      <c r="C53" s="27" t="s">
        <v>47</v>
      </c>
      <c r="D53" s="27"/>
      <c r="E53" s="25"/>
      <c r="F53" s="487"/>
    </row>
    <row r="54" spans="2:6" s="1" customFormat="1" ht="18" customHeight="1" x14ac:dyDescent="0.2">
      <c r="B54" s="23"/>
      <c r="C54" s="341" t="s">
        <v>48</v>
      </c>
      <c r="D54" s="25"/>
      <c r="E54" s="25"/>
      <c r="F54" s="487"/>
    </row>
    <row r="55" spans="2:6" s="1" customFormat="1" ht="9.75" customHeight="1" x14ac:dyDescent="0.2">
      <c r="B55" s="23"/>
      <c r="C55" s="25"/>
      <c r="D55" s="25"/>
      <c r="E55" s="25"/>
      <c r="F55" s="487"/>
    </row>
    <row r="56" spans="2:6" s="1" customFormat="1" x14ac:dyDescent="0.2">
      <c r="B56" s="23"/>
      <c r="C56" s="27" t="s">
        <v>49</v>
      </c>
      <c r="D56" s="27"/>
      <c r="E56" s="489"/>
      <c r="F56" s="487"/>
    </row>
    <row r="57" spans="2:6" s="1" customFormat="1" ht="18" customHeight="1" x14ac:dyDescent="0.2">
      <c r="B57" s="486"/>
      <c r="C57" s="336" t="s">
        <v>50</v>
      </c>
      <c r="D57" s="25"/>
      <c r="E57" s="489"/>
      <c r="F57" s="487"/>
    </row>
    <row r="58" spans="2:6" s="1" customFormat="1" x14ac:dyDescent="0.2">
      <c r="B58" s="22"/>
      <c r="C58" s="342">
        <v>1</v>
      </c>
      <c r="D58" s="492" t="str">
        <f>Cost!B4</f>
        <v>Planning / Design</v>
      </c>
      <c r="E58" s="26"/>
      <c r="F58" s="487"/>
    </row>
    <row r="59" spans="2:6" s="1" customFormat="1" x14ac:dyDescent="0.2">
      <c r="B59" s="23"/>
      <c r="C59" s="342">
        <v>2</v>
      </c>
      <c r="D59" s="492" t="str">
        <f>Cost!C4</f>
        <v>Marketing &amp; Delivery</v>
      </c>
      <c r="E59" s="25"/>
      <c r="F59" s="487"/>
    </row>
    <row r="60" spans="2:6" s="1" customFormat="1" x14ac:dyDescent="0.2">
      <c r="B60" s="23"/>
      <c r="C60" s="342">
        <v>3</v>
      </c>
      <c r="D60" s="492" t="str">
        <f>Cost!B14</f>
        <v>Incentives / Direct Install Costs</v>
      </c>
      <c r="E60" s="25"/>
      <c r="F60" s="487"/>
    </row>
    <row r="61" spans="2:6" s="1" customFormat="1" x14ac:dyDescent="0.2">
      <c r="B61" s="23"/>
      <c r="C61" s="342">
        <v>4</v>
      </c>
      <c r="D61" s="492" t="str">
        <f>Cost!C19</f>
        <v>EM&amp;V</v>
      </c>
      <c r="E61" s="25"/>
      <c r="F61" s="487"/>
    </row>
    <row r="62" spans="2:6" s="1" customFormat="1" x14ac:dyDescent="0.2">
      <c r="B62" s="486"/>
      <c r="C62" s="342">
        <v>5</v>
      </c>
      <c r="D62" s="492" t="str">
        <f>Cost!B25</f>
        <v>Administration</v>
      </c>
      <c r="E62" s="489"/>
      <c r="F62" s="487"/>
    </row>
    <row r="63" spans="2:6" s="1" customFormat="1" x14ac:dyDescent="0.2">
      <c r="B63" s="22"/>
      <c r="C63" s="342">
        <v>6</v>
      </c>
      <c r="D63" s="492" t="str">
        <f>Cost!C25</f>
        <v>Regulatory</v>
      </c>
      <c r="E63" s="26"/>
      <c r="F63" s="487"/>
    </row>
    <row r="64" spans="2:6" s="1" customFormat="1" x14ac:dyDescent="0.2">
      <c r="B64" s="345"/>
      <c r="C64" s="346"/>
      <c r="D64" s="346"/>
      <c r="E64" s="346"/>
      <c r="F64" s="493"/>
    </row>
    <row r="65" spans="2:5" s="1" customFormat="1" x14ac:dyDescent="0.2">
      <c r="B65" s="489"/>
      <c r="C65" s="489"/>
      <c r="D65" s="489"/>
      <c r="E65" s="489"/>
    </row>
    <row r="66" spans="2:5" x14ac:dyDescent="0.2">
      <c r="D66" s="446" t="s">
        <v>51</v>
      </c>
      <c r="E66" s="446"/>
    </row>
    <row r="67" spans="2:5" x14ac:dyDescent="0.2">
      <c r="D67" s="2" t="s">
        <v>52</v>
      </c>
      <c r="E67" s="2" t="s">
        <v>53</v>
      </c>
    </row>
    <row r="68" spans="2:5" x14ac:dyDescent="0.2">
      <c r="D68" s="2" t="s">
        <v>54</v>
      </c>
      <c r="E68" s="2" t="s">
        <v>55</v>
      </c>
    </row>
    <row r="69" spans="2:5" x14ac:dyDescent="0.2">
      <c r="E69" s="2" t="s">
        <v>56</v>
      </c>
    </row>
    <row r="70" spans="2:5" x14ac:dyDescent="0.2">
      <c r="D70" s="2" t="s">
        <v>57</v>
      </c>
      <c r="E70" s="2" t="s">
        <v>58</v>
      </c>
    </row>
  </sheetData>
  <mergeCells count="11">
    <mergeCell ref="C20:E20"/>
    <mergeCell ref="C22:E22"/>
    <mergeCell ref="C49:E49"/>
    <mergeCell ref="C51:E51"/>
    <mergeCell ref="D45:F45"/>
    <mergeCell ref="C12:E12"/>
    <mergeCell ref="C18:E18"/>
    <mergeCell ref="C6:E6"/>
    <mergeCell ref="B2:F2"/>
    <mergeCell ref="C4:E4"/>
    <mergeCell ref="C7:E7"/>
  </mergeCells>
  <hyperlinks>
    <hyperlink ref="E25" location="'Utility Information'!A1" tooltip="Go to" display="Utility Information" xr:uid="{00000000-0004-0000-0100-000000000000}"/>
  </hyperlinks>
  <pageMargins left="0.25" right="0.25" top="0.5" bottom="0.5" header="0.3" footer="0.3"/>
  <pageSetup scale="83"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O273"/>
  <sheetViews>
    <sheetView showGridLines="0" topLeftCell="F1" zoomScale="106" zoomScaleNormal="106" workbookViewId="0">
      <pane ySplit="6" topLeftCell="A7" activePane="bottomLeft" state="frozen"/>
      <selection pane="bottomLeft" activeCell="I41" sqref="I41"/>
    </sheetView>
  </sheetViews>
  <sheetFormatPr defaultColWidth="9.140625" defaultRowHeight="12.75" x14ac:dyDescent="0.2"/>
  <cols>
    <col min="1" max="1" width="1" style="2" customWidth="1"/>
    <col min="2" max="2" width="1.85546875" style="2" customWidth="1"/>
    <col min="3" max="3" width="11.140625" style="2" customWidth="1"/>
    <col min="4" max="4" width="8.85546875" style="2" hidden="1" customWidth="1"/>
    <col min="5" max="5" width="11.42578125" style="2" customWidth="1"/>
    <col min="6" max="6" width="64.5703125" style="2" customWidth="1"/>
    <col min="7" max="7" width="82.140625" style="2" bestFit="1" customWidth="1"/>
    <col min="8" max="8" width="17.140625" style="2" customWidth="1"/>
    <col min="9" max="9" width="28" style="2" bestFit="1" customWidth="1"/>
    <col min="10" max="10" width="11.140625" style="2" customWidth="1"/>
    <col min="11" max="12" width="9.85546875" style="2" customWidth="1"/>
    <col min="13" max="13" width="10" style="2" customWidth="1"/>
    <col min="14" max="14" width="10.42578125" style="2" customWidth="1"/>
    <col min="15" max="15" width="2.85546875" style="2" customWidth="1"/>
    <col min="16" max="16" width="1" style="2" customWidth="1"/>
    <col min="17" max="16384" width="9.140625" style="2"/>
  </cols>
  <sheetData>
    <row r="1" spans="2:15" ht="5.0999999999999996" customHeight="1" thickBot="1" x14ac:dyDescent="0.25"/>
    <row r="2" spans="2:15" ht="38.25" customHeight="1" thickBot="1" x14ac:dyDescent="0.25">
      <c r="B2" s="671" t="s">
        <v>216</v>
      </c>
      <c r="C2" s="671"/>
      <c r="D2" s="671"/>
      <c r="E2" s="671"/>
      <c r="F2" s="671"/>
      <c r="G2" s="671"/>
      <c r="H2" s="671"/>
      <c r="I2" s="671"/>
      <c r="J2" s="671"/>
      <c r="K2" s="671"/>
      <c r="L2" s="671"/>
      <c r="M2" s="671"/>
      <c r="N2" s="671"/>
      <c r="O2" s="671"/>
    </row>
    <row r="3" spans="2:15" ht="45" customHeight="1" x14ac:dyDescent="0.2"/>
    <row r="4" spans="2:15" ht="14.25" customHeight="1" x14ac:dyDescent="0.2">
      <c r="E4" s="350" t="str">
        <f>IF(D273&gt;0,"Incomplete - All required information for each training must be completed.","")</f>
        <v/>
      </c>
    </row>
    <row r="5" spans="2:15" ht="7.5" customHeight="1" x14ac:dyDescent="0.2"/>
    <row r="6" spans="2:15" ht="51" x14ac:dyDescent="0.2">
      <c r="C6" s="390" t="s">
        <v>217</v>
      </c>
      <c r="D6" s="390" t="s">
        <v>218</v>
      </c>
      <c r="E6" s="390" t="s">
        <v>219</v>
      </c>
      <c r="F6" s="390" t="s">
        <v>220</v>
      </c>
      <c r="G6" s="390" t="s">
        <v>221</v>
      </c>
      <c r="H6" s="390" t="s">
        <v>222</v>
      </c>
      <c r="I6" s="390" t="s">
        <v>223</v>
      </c>
      <c r="J6" s="390" t="s">
        <v>224</v>
      </c>
      <c r="K6" s="390" t="s">
        <v>225</v>
      </c>
      <c r="L6" s="390" t="s">
        <v>226</v>
      </c>
      <c r="M6" s="390" t="s">
        <v>227</v>
      </c>
      <c r="N6" s="391" t="s">
        <v>228</v>
      </c>
    </row>
    <row r="7" spans="2:15" x14ac:dyDescent="0.2">
      <c r="B7" s="454"/>
      <c r="C7" s="389">
        <f t="shared" ref="C7:C70" si="0">ROW()-6</f>
        <v>1</v>
      </c>
      <c r="D7" s="455"/>
      <c r="E7" s="397">
        <v>45713</v>
      </c>
      <c r="F7" s="471" t="s">
        <v>229</v>
      </c>
      <c r="G7" s="461" t="s">
        <v>230</v>
      </c>
      <c r="H7" s="398" t="s">
        <v>231</v>
      </c>
      <c r="I7" s="398" t="s">
        <v>232</v>
      </c>
      <c r="J7" s="400">
        <v>1</v>
      </c>
      <c r="K7" s="482">
        <v>10</v>
      </c>
      <c r="L7" s="481">
        <f>Table2[[#This Row],[No. of Attendees
(A)]]*Table2[[#This Row],[Length of Session
(B)]]</f>
        <v>10</v>
      </c>
      <c r="M7" s="398" t="s">
        <v>233</v>
      </c>
      <c r="N7" s="398">
        <v>0</v>
      </c>
    </row>
    <row r="8" spans="2:15" ht="12.75" customHeight="1" x14ac:dyDescent="0.2">
      <c r="B8" s="454"/>
      <c r="C8" s="389">
        <f t="shared" si="0"/>
        <v>2</v>
      </c>
      <c r="D8" s="455"/>
      <c r="E8" s="397">
        <v>45713</v>
      </c>
      <c r="F8" s="461" t="s">
        <v>234</v>
      </c>
      <c r="G8" s="461" t="s">
        <v>191</v>
      </c>
      <c r="H8" s="398" t="s">
        <v>235</v>
      </c>
      <c r="I8" s="398" t="s">
        <v>232</v>
      </c>
      <c r="J8" s="400">
        <v>1</v>
      </c>
      <c r="K8" s="482">
        <v>10</v>
      </c>
      <c r="L8" s="481">
        <f>Table2[[#This Row],[No. of Attendees
(A)]]*Table2[[#This Row],[Length of Session
(B)]]</f>
        <v>10</v>
      </c>
      <c r="M8" s="398" t="s">
        <v>233</v>
      </c>
      <c r="N8" s="398">
        <v>0</v>
      </c>
    </row>
    <row r="9" spans="2:15" ht="12.75" customHeight="1" x14ac:dyDescent="0.2">
      <c r="B9" s="454"/>
      <c r="C9" s="389">
        <f t="shared" si="0"/>
        <v>3</v>
      </c>
      <c r="D9" s="455"/>
      <c r="E9" s="397">
        <v>45722</v>
      </c>
      <c r="F9" s="469" t="s">
        <v>236</v>
      </c>
      <c r="G9" s="462" t="s">
        <v>237</v>
      </c>
      <c r="H9" s="398" t="s">
        <v>238</v>
      </c>
      <c r="I9" s="398" t="s">
        <v>239</v>
      </c>
      <c r="J9" s="400">
        <v>1</v>
      </c>
      <c r="K9" s="482">
        <v>1.5</v>
      </c>
      <c r="L9" s="481">
        <f>Table2[[#This Row],[No. of Attendees
(A)]]*Table2[[#This Row],[Length of Session
(B)]]</f>
        <v>1.5</v>
      </c>
      <c r="M9" s="398" t="s">
        <v>233</v>
      </c>
      <c r="N9" s="398">
        <v>0</v>
      </c>
    </row>
    <row r="10" spans="2:15" x14ac:dyDescent="0.2">
      <c r="B10" s="454"/>
      <c r="C10" s="389">
        <f t="shared" si="0"/>
        <v>4</v>
      </c>
      <c r="D10" s="455"/>
      <c r="E10" s="397">
        <v>45726</v>
      </c>
      <c r="F10" s="469" t="s">
        <v>240</v>
      </c>
      <c r="G10" s="461" t="s">
        <v>241</v>
      </c>
      <c r="H10" s="398" t="s">
        <v>242</v>
      </c>
      <c r="I10" s="398" t="s">
        <v>243</v>
      </c>
      <c r="J10" s="400">
        <v>1</v>
      </c>
      <c r="K10" s="482">
        <v>12</v>
      </c>
      <c r="L10" s="481">
        <f>Table2[[#This Row],[No. of Attendees
(A)]]*Table2[[#This Row],[Length of Session
(B)]]</f>
        <v>12</v>
      </c>
      <c r="M10" s="398" t="s">
        <v>233</v>
      </c>
      <c r="N10" s="398">
        <v>0</v>
      </c>
    </row>
    <row r="11" spans="2:15" ht="25.5" x14ac:dyDescent="0.2">
      <c r="B11" s="454"/>
      <c r="C11" s="389">
        <f t="shared" si="0"/>
        <v>5</v>
      </c>
      <c r="D11" s="455"/>
      <c r="E11" s="397">
        <v>45749</v>
      </c>
      <c r="F11" s="469" t="s">
        <v>244</v>
      </c>
      <c r="G11" s="462" t="s">
        <v>245</v>
      </c>
      <c r="H11" s="398" t="s">
        <v>246</v>
      </c>
      <c r="I11" s="398" t="s">
        <v>247</v>
      </c>
      <c r="J11" s="400">
        <v>1</v>
      </c>
      <c r="K11" s="482">
        <v>1</v>
      </c>
      <c r="L11" s="481">
        <f>Table2[[#This Row],[No. of Attendees
(A)]]*Table2[[#This Row],[Length of Session
(B)]]</f>
        <v>1</v>
      </c>
      <c r="M11" s="398" t="s">
        <v>233</v>
      </c>
      <c r="N11" s="398">
        <v>0</v>
      </c>
    </row>
    <row r="12" spans="2:15" x14ac:dyDescent="0.2">
      <c r="B12" s="454"/>
      <c r="C12" s="389">
        <f t="shared" si="0"/>
        <v>6</v>
      </c>
      <c r="D12" s="455"/>
      <c r="E12" s="397">
        <v>45754</v>
      </c>
      <c r="F12" s="469" t="s">
        <v>248</v>
      </c>
      <c r="G12" s="461" t="s">
        <v>191</v>
      </c>
      <c r="H12" s="398" t="s">
        <v>249</v>
      </c>
      <c r="I12" s="398" t="s">
        <v>250</v>
      </c>
      <c r="J12" s="400">
        <v>1</v>
      </c>
      <c r="K12" s="482">
        <v>12</v>
      </c>
      <c r="L12" s="481">
        <f>Table2[[#This Row],[No. of Attendees
(A)]]*Table2[[#This Row],[Length of Session
(B)]]</f>
        <v>12</v>
      </c>
      <c r="M12" s="398" t="s">
        <v>233</v>
      </c>
      <c r="N12" s="398">
        <v>0</v>
      </c>
    </row>
    <row r="13" spans="2:15" x14ac:dyDescent="0.2">
      <c r="B13" s="454"/>
      <c r="C13" s="389">
        <f t="shared" si="0"/>
        <v>7</v>
      </c>
      <c r="D13" s="455"/>
      <c r="E13" s="397">
        <v>45754</v>
      </c>
      <c r="F13" s="469" t="s">
        <v>251</v>
      </c>
      <c r="G13" s="461" t="s">
        <v>191</v>
      </c>
      <c r="H13" s="398" t="s">
        <v>249</v>
      </c>
      <c r="I13" s="398" t="s">
        <v>250</v>
      </c>
      <c r="J13" s="400">
        <v>1</v>
      </c>
      <c r="K13" s="482">
        <v>16</v>
      </c>
      <c r="L13" s="481">
        <f>Table2[[#This Row],[No. of Attendees
(A)]]*Table2[[#This Row],[Length of Session
(B)]]</f>
        <v>16</v>
      </c>
      <c r="M13" s="398" t="s">
        <v>233</v>
      </c>
      <c r="N13" s="398">
        <v>0</v>
      </c>
    </row>
    <row r="14" spans="2:15" ht="38.25" x14ac:dyDescent="0.2">
      <c r="B14" s="454"/>
      <c r="C14" s="389">
        <f t="shared" si="0"/>
        <v>8</v>
      </c>
      <c r="D14" s="455"/>
      <c r="E14" s="397">
        <v>45777</v>
      </c>
      <c r="F14" s="469" t="s">
        <v>252</v>
      </c>
      <c r="G14" s="462" t="s">
        <v>253</v>
      </c>
      <c r="H14" s="398" t="s">
        <v>246</v>
      </c>
      <c r="I14" s="398" t="s">
        <v>254</v>
      </c>
      <c r="J14" s="400">
        <v>1</v>
      </c>
      <c r="K14" s="482">
        <v>1.5</v>
      </c>
      <c r="L14" s="481">
        <f>Table2[[#This Row],[No. of Attendees
(A)]]*Table2[[#This Row],[Length of Session
(B)]]</f>
        <v>1.5</v>
      </c>
      <c r="M14" s="398" t="s">
        <v>233</v>
      </c>
      <c r="N14" s="398">
        <v>0</v>
      </c>
    </row>
    <row r="15" spans="2:15" x14ac:dyDescent="0.2">
      <c r="B15" s="454"/>
      <c r="C15" s="389">
        <f t="shared" si="0"/>
        <v>9</v>
      </c>
      <c r="D15" s="455"/>
      <c r="E15" s="397">
        <v>45782</v>
      </c>
      <c r="F15" s="469" t="s">
        <v>255</v>
      </c>
      <c r="G15" s="461" t="s">
        <v>191</v>
      </c>
      <c r="H15" s="398" t="s">
        <v>256</v>
      </c>
      <c r="I15" s="398" t="s">
        <v>254</v>
      </c>
      <c r="J15" s="400">
        <v>1</v>
      </c>
      <c r="K15" s="482">
        <v>1</v>
      </c>
      <c r="L15" s="481">
        <f>Table2[[#This Row],[No. of Attendees
(A)]]*Table2[[#This Row],[Length of Session
(B)]]</f>
        <v>1</v>
      </c>
      <c r="M15" s="398" t="s">
        <v>233</v>
      </c>
      <c r="N15" s="398">
        <v>0</v>
      </c>
    </row>
    <row r="16" spans="2:15" x14ac:dyDescent="0.2">
      <c r="B16" s="454"/>
      <c r="C16" s="389">
        <f t="shared" si="0"/>
        <v>10</v>
      </c>
      <c r="D16" s="455"/>
      <c r="E16" s="397">
        <v>45784</v>
      </c>
      <c r="F16" s="469" t="s">
        <v>257</v>
      </c>
      <c r="G16" s="461" t="s">
        <v>191</v>
      </c>
      <c r="H16" s="398" t="s">
        <v>256</v>
      </c>
      <c r="I16" s="398" t="s">
        <v>254</v>
      </c>
      <c r="J16" s="400">
        <v>1</v>
      </c>
      <c r="K16" s="482">
        <v>1</v>
      </c>
      <c r="L16" s="481">
        <f>Table2[[#This Row],[No. of Attendees
(A)]]*Table2[[#This Row],[Length of Session
(B)]]</f>
        <v>1</v>
      </c>
      <c r="M16" s="398" t="s">
        <v>233</v>
      </c>
      <c r="N16" s="398">
        <v>0</v>
      </c>
    </row>
    <row r="17" spans="2:14" x14ac:dyDescent="0.2">
      <c r="B17" s="454"/>
      <c r="C17" s="389">
        <f t="shared" si="0"/>
        <v>11</v>
      </c>
      <c r="D17" s="455"/>
      <c r="E17" s="397">
        <v>45784</v>
      </c>
      <c r="F17" s="469" t="s">
        <v>258</v>
      </c>
      <c r="G17" s="461" t="s">
        <v>191</v>
      </c>
      <c r="H17" s="398" t="s">
        <v>256</v>
      </c>
      <c r="I17" s="398" t="s">
        <v>254</v>
      </c>
      <c r="J17" s="400">
        <v>1</v>
      </c>
      <c r="K17" s="482">
        <v>1</v>
      </c>
      <c r="L17" s="481">
        <f>Table2[[#This Row],[No. of Attendees
(A)]]*Table2[[#This Row],[Length of Session
(B)]]</f>
        <v>1</v>
      </c>
      <c r="M17" s="398" t="s">
        <v>233</v>
      </c>
      <c r="N17" s="398">
        <v>0</v>
      </c>
    </row>
    <row r="18" spans="2:14" x14ac:dyDescent="0.2">
      <c r="B18" s="454"/>
      <c r="C18" s="389">
        <f t="shared" si="0"/>
        <v>12</v>
      </c>
      <c r="D18" s="455"/>
      <c r="E18" s="397">
        <v>45786</v>
      </c>
      <c r="F18" s="469" t="s">
        <v>259</v>
      </c>
      <c r="G18" s="461" t="s">
        <v>191</v>
      </c>
      <c r="H18" s="398" t="s">
        <v>256</v>
      </c>
      <c r="I18" s="398" t="s">
        <v>254</v>
      </c>
      <c r="J18" s="400">
        <v>1</v>
      </c>
      <c r="K18" s="482">
        <v>1</v>
      </c>
      <c r="L18" s="481">
        <f>Table2[[#This Row],[No. of Attendees
(A)]]*Table2[[#This Row],[Length of Session
(B)]]</f>
        <v>1</v>
      </c>
      <c r="M18" s="398" t="s">
        <v>233</v>
      </c>
      <c r="N18" s="398">
        <v>0</v>
      </c>
    </row>
    <row r="19" spans="2:14" x14ac:dyDescent="0.2">
      <c r="B19" s="454"/>
      <c r="C19" s="389">
        <f t="shared" si="0"/>
        <v>13</v>
      </c>
      <c r="D19" s="455"/>
      <c r="E19" s="397">
        <v>45791</v>
      </c>
      <c r="F19" s="469" t="s">
        <v>260</v>
      </c>
      <c r="G19" s="461" t="s">
        <v>191</v>
      </c>
      <c r="H19" s="398" t="s">
        <v>256</v>
      </c>
      <c r="I19" s="398" t="s">
        <v>254</v>
      </c>
      <c r="J19" s="400">
        <v>1</v>
      </c>
      <c r="K19" s="482">
        <v>1</v>
      </c>
      <c r="L19" s="481">
        <f>Table2[[#This Row],[No. of Attendees
(A)]]*Table2[[#This Row],[Length of Session
(B)]]</f>
        <v>1</v>
      </c>
      <c r="M19" s="398" t="s">
        <v>233</v>
      </c>
      <c r="N19" s="398">
        <v>0</v>
      </c>
    </row>
    <row r="20" spans="2:14" x14ac:dyDescent="0.2">
      <c r="B20" s="454"/>
      <c r="C20" s="389">
        <f t="shared" si="0"/>
        <v>14</v>
      </c>
      <c r="D20" s="455"/>
      <c r="E20" s="397">
        <v>45798</v>
      </c>
      <c r="F20" s="469" t="s">
        <v>261</v>
      </c>
      <c r="G20" s="461" t="s">
        <v>191</v>
      </c>
      <c r="H20" s="398" t="s">
        <v>256</v>
      </c>
      <c r="I20" s="398" t="s">
        <v>254</v>
      </c>
      <c r="J20" s="400">
        <v>1</v>
      </c>
      <c r="K20" s="482">
        <v>1</v>
      </c>
      <c r="L20" s="481">
        <f>Table2[[#This Row],[No. of Attendees
(A)]]*Table2[[#This Row],[Length of Session
(B)]]</f>
        <v>1</v>
      </c>
      <c r="M20" s="398" t="s">
        <v>233</v>
      </c>
      <c r="N20" s="398">
        <v>0</v>
      </c>
    </row>
    <row r="21" spans="2:14" x14ac:dyDescent="0.2">
      <c r="B21" s="454"/>
      <c r="C21" s="389">
        <f t="shared" si="0"/>
        <v>15</v>
      </c>
      <c r="D21" s="455"/>
      <c r="E21" s="397">
        <v>45852</v>
      </c>
      <c r="F21" s="469" t="s">
        <v>262</v>
      </c>
      <c r="G21" s="461" t="s">
        <v>191</v>
      </c>
      <c r="H21" s="398" t="s">
        <v>256</v>
      </c>
      <c r="I21" s="398" t="s">
        <v>254</v>
      </c>
      <c r="J21" s="400">
        <v>1</v>
      </c>
      <c r="K21" s="482">
        <v>1</v>
      </c>
      <c r="L21" s="481">
        <f>Table2[[#This Row],[No. of Attendees
(A)]]*Table2[[#This Row],[Length of Session
(B)]]</f>
        <v>1</v>
      </c>
      <c r="M21" s="398" t="s">
        <v>233</v>
      </c>
      <c r="N21" s="398">
        <v>0</v>
      </c>
    </row>
    <row r="22" spans="2:14" x14ac:dyDescent="0.2">
      <c r="B22" s="454"/>
      <c r="C22" s="389">
        <f t="shared" si="0"/>
        <v>16</v>
      </c>
      <c r="D22" s="455"/>
      <c r="E22" s="397">
        <v>45867</v>
      </c>
      <c r="F22" s="469" t="s">
        <v>263</v>
      </c>
      <c r="G22" s="461" t="s">
        <v>191</v>
      </c>
      <c r="H22" s="398" t="s">
        <v>256</v>
      </c>
      <c r="I22" s="398" t="s">
        <v>254</v>
      </c>
      <c r="J22" s="400">
        <v>1</v>
      </c>
      <c r="K22" s="482">
        <v>1</v>
      </c>
      <c r="L22" s="481">
        <f>Table2[[#This Row],[No. of Attendees
(A)]]*Table2[[#This Row],[Length of Session
(B)]]</f>
        <v>1</v>
      </c>
      <c r="M22" s="398" t="s">
        <v>233</v>
      </c>
      <c r="N22" s="398">
        <v>0</v>
      </c>
    </row>
    <row r="23" spans="2:14" x14ac:dyDescent="0.2">
      <c r="B23" s="454"/>
      <c r="C23" s="389">
        <f t="shared" si="0"/>
        <v>17</v>
      </c>
      <c r="D23" s="455"/>
      <c r="E23" s="397">
        <v>45896</v>
      </c>
      <c r="F23" s="469" t="s">
        <v>264</v>
      </c>
      <c r="G23" s="461" t="s">
        <v>191</v>
      </c>
      <c r="H23" s="398" t="s">
        <v>265</v>
      </c>
      <c r="I23" s="398" t="s">
        <v>254</v>
      </c>
      <c r="J23" s="400">
        <v>1</v>
      </c>
      <c r="K23" s="482">
        <v>1</v>
      </c>
      <c r="L23" s="481">
        <f>Table2[[#This Row],[No. of Attendees
(A)]]*Table2[[#This Row],[Length of Session
(B)]]</f>
        <v>1</v>
      </c>
      <c r="M23" s="398" t="s">
        <v>233</v>
      </c>
      <c r="N23" s="398">
        <v>0</v>
      </c>
    </row>
    <row r="24" spans="2:14" ht="25.5" x14ac:dyDescent="0.2">
      <c r="B24" s="454"/>
      <c r="C24" s="389">
        <f t="shared" si="0"/>
        <v>18</v>
      </c>
      <c r="D24" s="455"/>
      <c r="E24" s="397">
        <v>45919</v>
      </c>
      <c r="F24" s="461" t="s">
        <v>266</v>
      </c>
      <c r="G24" s="461" t="s">
        <v>191</v>
      </c>
      <c r="H24" s="398" t="s">
        <v>256</v>
      </c>
      <c r="I24" s="398" t="s">
        <v>254</v>
      </c>
      <c r="J24" s="400">
        <v>1</v>
      </c>
      <c r="K24" s="482">
        <v>1</v>
      </c>
      <c r="L24" s="481">
        <f>Table2[[#This Row],[No. of Attendees
(A)]]*Table2[[#This Row],[Length of Session
(B)]]</f>
        <v>1</v>
      </c>
      <c r="M24" s="398" t="s">
        <v>233</v>
      </c>
      <c r="N24" s="398">
        <v>0</v>
      </c>
    </row>
    <row r="25" spans="2:14" x14ac:dyDescent="0.2">
      <c r="B25" s="454"/>
      <c r="C25" s="389">
        <f t="shared" si="0"/>
        <v>19</v>
      </c>
      <c r="D25" s="455"/>
      <c r="E25" s="397">
        <v>45919</v>
      </c>
      <c r="F25" s="461" t="s">
        <v>267</v>
      </c>
      <c r="G25" s="461" t="s">
        <v>191</v>
      </c>
      <c r="H25" s="398" t="s">
        <v>256</v>
      </c>
      <c r="I25" s="398" t="s">
        <v>254</v>
      </c>
      <c r="J25" s="400">
        <v>1</v>
      </c>
      <c r="K25" s="482">
        <v>1</v>
      </c>
      <c r="L25" s="481">
        <f>Table2[[#This Row],[No. of Attendees
(A)]]*Table2[[#This Row],[Length of Session
(B)]]</f>
        <v>1</v>
      </c>
      <c r="M25" s="398" t="s">
        <v>233</v>
      </c>
      <c r="N25" s="398">
        <v>0</v>
      </c>
    </row>
    <row r="26" spans="2:14" x14ac:dyDescent="0.2">
      <c r="B26" s="454"/>
      <c r="C26" s="389">
        <f t="shared" si="0"/>
        <v>20</v>
      </c>
      <c r="D26" s="455"/>
      <c r="E26" s="397">
        <v>45922</v>
      </c>
      <c r="F26" s="469" t="s">
        <v>255</v>
      </c>
      <c r="G26" s="461" t="s">
        <v>191</v>
      </c>
      <c r="H26" s="398" t="s">
        <v>256</v>
      </c>
      <c r="I26" s="398" t="s">
        <v>254</v>
      </c>
      <c r="J26" s="400">
        <v>1</v>
      </c>
      <c r="K26" s="482">
        <v>1</v>
      </c>
      <c r="L26" s="481">
        <f>Table2[[#This Row],[No. of Attendees
(A)]]*Table2[[#This Row],[Length of Session
(B)]]</f>
        <v>1</v>
      </c>
      <c r="M26" s="398" t="s">
        <v>233</v>
      </c>
      <c r="N26" s="398">
        <v>0</v>
      </c>
    </row>
    <row r="27" spans="2:14" x14ac:dyDescent="0.2">
      <c r="B27" s="454"/>
      <c r="C27" s="389">
        <f t="shared" si="0"/>
        <v>21</v>
      </c>
      <c r="D27" s="455"/>
      <c r="E27" s="397">
        <v>45924</v>
      </c>
      <c r="F27" s="469" t="s">
        <v>268</v>
      </c>
      <c r="G27" s="461" t="s">
        <v>191</v>
      </c>
      <c r="H27" s="398" t="s">
        <v>256</v>
      </c>
      <c r="I27" s="398" t="s">
        <v>254</v>
      </c>
      <c r="J27" s="400">
        <v>1</v>
      </c>
      <c r="K27" s="482">
        <v>1</v>
      </c>
      <c r="L27" s="481">
        <f>Table2[[#This Row],[No. of Attendees
(A)]]*Table2[[#This Row],[Length of Session
(B)]]</f>
        <v>1</v>
      </c>
      <c r="M27" s="398" t="s">
        <v>233</v>
      </c>
      <c r="N27" s="398">
        <v>0</v>
      </c>
    </row>
    <row r="28" spans="2:14" x14ac:dyDescent="0.2">
      <c r="B28" s="454"/>
      <c r="C28" s="389">
        <f t="shared" si="0"/>
        <v>22</v>
      </c>
      <c r="D28" s="455"/>
      <c r="E28" s="397">
        <v>45930</v>
      </c>
      <c r="F28" s="469" t="s">
        <v>269</v>
      </c>
      <c r="G28" s="461" t="s">
        <v>191</v>
      </c>
      <c r="H28" s="398" t="s">
        <v>256</v>
      </c>
      <c r="I28" s="398" t="s">
        <v>254</v>
      </c>
      <c r="J28" s="400">
        <v>1</v>
      </c>
      <c r="K28" s="482">
        <v>1</v>
      </c>
      <c r="L28" s="481">
        <f>Table2[[#This Row],[No. of Attendees
(A)]]*Table2[[#This Row],[Length of Session
(B)]]</f>
        <v>1</v>
      </c>
      <c r="M28" s="398" t="s">
        <v>233</v>
      </c>
      <c r="N28" s="398">
        <v>0</v>
      </c>
    </row>
    <row r="29" spans="2:14" x14ac:dyDescent="0.2">
      <c r="B29" s="454"/>
      <c r="C29" s="389">
        <f t="shared" si="0"/>
        <v>23</v>
      </c>
      <c r="D29" s="455"/>
      <c r="E29" s="397">
        <v>45931</v>
      </c>
      <c r="F29" s="469" t="s">
        <v>270</v>
      </c>
      <c r="G29" s="461" t="s">
        <v>191</v>
      </c>
      <c r="H29" s="398" t="s">
        <v>256</v>
      </c>
      <c r="I29" s="398" t="s">
        <v>254</v>
      </c>
      <c r="J29" s="400">
        <v>1</v>
      </c>
      <c r="K29" s="482">
        <v>1</v>
      </c>
      <c r="L29" s="481">
        <f>Table2[[#This Row],[No. of Attendees
(A)]]*Table2[[#This Row],[Length of Session
(B)]]</f>
        <v>1</v>
      </c>
      <c r="M29" s="398" t="s">
        <v>233</v>
      </c>
      <c r="N29" s="398">
        <v>0</v>
      </c>
    </row>
    <row r="30" spans="2:14" x14ac:dyDescent="0.2">
      <c r="B30" s="454"/>
      <c r="C30" s="389">
        <f t="shared" si="0"/>
        <v>24</v>
      </c>
      <c r="D30" s="455"/>
      <c r="E30" s="397">
        <v>45937</v>
      </c>
      <c r="F30" s="469" t="s">
        <v>271</v>
      </c>
      <c r="G30" s="461" t="s">
        <v>191</v>
      </c>
      <c r="H30" s="398" t="s">
        <v>256</v>
      </c>
      <c r="I30" s="398" t="s">
        <v>254</v>
      </c>
      <c r="J30" s="400">
        <v>1</v>
      </c>
      <c r="K30" s="482">
        <v>1</v>
      </c>
      <c r="L30" s="481">
        <f>Table2[[#This Row],[No. of Attendees
(A)]]*Table2[[#This Row],[Length of Session
(B)]]</f>
        <v>1</v>
      </c>
      <c r="M30" s="398" t="s">
        <v>233</v>
      </c>
      <c r="N30" s="398">
        <v>0</v>
      </c>
    </row>
    <row r="31" spans="2:14" x14ac:dyDescent="0.2">
      <c r="B31" s="454"/>
      <c r="C31" s="389">
        <f t="shared" si="0"/>
        <v>25</v>
      </c>
      <c r="D31" s="455"/>
      <c r="E31" s="397">
        <v>45944</v>
      </c>
      <c r="F31" s="461" t="s">
        <v>272</v>
      </c>
      <c r="G31" s="461" t="s">
        <v>273</v>
      </c>
      <c r="H31" s="398" t="s">
        <v>274</v>
      </c>
      <c r="I31" s="398" t="s">
        <v>254</v>
      </c>
      <c r="J31" s="400">
        <v>1</v>
      </c>
      <c r="K31" s="482">
        <v>10</v>
      </c>
      <c r="L31" s="481">
        <f>Table2[[#This Row],[No. of Attendees
(A)]]*Table2[[#This Row],[Length of Session
(B)]]</f>
        <v>10</v>
      </c>
      <c r="M31" s="398" t="s">
        <v>233</v>
      </c>
      <c r="N31" s="398">
        <v>0</v>
      </c>
    </row>
    <row r="32" spans="2:14" x14ac:dyDescent="0.2">
      <c r="B32" s="454"/>
      <c r="C32" s="389">
        <f t="shared" si="0"/>
        <v>26</v>
      </c>
      <c r="D32" s="455"/>
      <c r="E32" s="397">
        <v>45963</v>
      </c>
      <c r="F32" s="461" t="s">
        <v>275</v>
      </c>
      <c r="G32" s="461" t="s">
        <v>276</v>
      </c>
      <c r="H32" s="398" t="s">
        <v>277</v>
      </c>
      <c r="I32" s="398" t="s">
        <v>278</v>
      </c>
      <c r="J32" s="400">
        <v>2</v>
      </c>
      <c r="K32" s="482">
        <v>10</v>
      </c>
      <c r="L32" s="481">
        <f>Table2[[#This Row],[No. of Attendees
(A)]]*Table2[[#This Row],[Length of Session
(B)]]</f>
        <v>20</v>
      </c>
      <c r="M32" s="398" t="s">
        <v>233</v>
      </c>
      <c r="N32" s="398">
        <v>0</v>
      </c>
    </row>
    <row r="33" spans="2:14" ht="51" x14ac:dyDescent="0.2">
      <c r="B33" s="454"/>
      <c r="C33" s="389">
        <f t="shared" si="0"/>
        <v>27</v>
      </c>
      <c r="D33" s="455"/>
      <c r="E33" s="397">
        <v>45963</v>
      </c>
      <c r="F33" s="461" t="s">
        <v>279</v>
      </c>
      <c r="G33" s="461" t="s">
        <v>280</v>
      </c>
      <c r="H33" s="398" t="s">
        <v>277</v>
      </c>
      <c r="I33" s="398" t="s">
        <v>281</v>
      </c>
      <c r="J33" s="400">
        <v>2</v>
      </c>
      <c r="K33" s="482">
        <v>2</v>
      </c>
      <c r="L33" s="481">
        <f>Table2[[#This Row],[No. of Attendees
(A)]]*Table2[[#This Row],[Length of Session
(B)]]</f>
        <v>4</v>
      </c>
      <c r="M33" s="398" t="s">
        <v>233</v>
      </c>
      <c r="N33" s="398">
        <v>0</v>
      </c>
    </row>
    <row r="34" spans="2:14" ht="76.5" x14ac:dyDescent="0.2">
      <c r="B34" s="454"/>
      <c r="C34" s="389">
        <f t="shared" si="0"/>
        <v>28</v>
      </c>
      <c r="D34" s="455"/>
      <c r="E34" s="397">
        <v>45963</v>
      </c>
      <c r="F34" s="469" t="s">
        <v>282</v>
      </c>
      <c r="G34" s="461" t="s">
        <v>283</v>
      </c>
      <c r="H34" s="398" t="s">
        <v>277</v>
      </c>
      <c r="I34" s="398" t="s">
        <v>281</v>
      </c>
      <c r="J34" s="400">
        <v>2</v>
      </c>
      <c r="K34" s="482">
        <v>2</v>
      </c>
      <c r="L34" s="481">
        <f>Table2[[#This Row],[No. of Attendees
(A)]]*Table2[[#This Row],[Length of Session
(B)]]</f>
        <v>4</v>
      </c>
      <c r="M34" s="398" t="s">
        <v>233</v>
      </c>
      <c r="N34" s="398">
        <v>0</v>
      </c>
    </row>
    <row r="35" spans="2:14" ht="102" x14ac:dyDescent="0.2">
      <c r="B35" s="454"/>
      <c r="C35" s="389">
        <f t="shared" si="0"/>
        <v>29</v>
      </c>
      <c r="D35" s="455"/>
      <c r="E35" s="397">
        <v>45964</v>
      </c>
      <c r="F35" s="469" t="s">
        <v>284</v>
      </c>
      <c r="G35" s="461" t="s">
        <v>285</v>
      </c>
      <c r="H35" s="398" t="s">
        <v>277</v>
      </c>
      <c r="I35" s="398" t="s">
        <v>281</v>
      </c>
      <c r="J35" s="400">
        <v>2</v>
      </c>
      <c r="K35" s="482">
        <v>2</v>
      </c>
      <c r="L35" s="481">
        <f>Table2[[#This Row],[No. of Attendees
(A)]]*Table2[[#This Row],[Length of Session
(B)]]</f>
        <v>4</v>
      </c>
      <c r="M35" s="398" t="s">
        <v>233</v>
      </c>
      <c r="N35" s="398">
        <v>0</v>
      </c>
    </row>
    <row r="36" spans="2:14" ht="89.25" x14ac:dyDescent="0.2">
      <c r="B36" s="454"/>
      <c r="C36" s="389">
        <f t="shared" si="0"/>
        <v>30</v>
      </c>
      <c r="D36" s="455"/>
      <c r="E36" s="397">
        <v>45964</v>
      </c>
      <c r="F36" s="469" t="s">
        <v>286</v>
      </c>
      <c r="G36" s="461" t="s">
        <v>287</v>
      </c>
      <c r="H36" s="398" t="s">
        <v>277</v>
      </c>
      <c r="I36" s="398" t="s">
        <v>281</v>
      </c>
      <c r="J36" s="400">
        <v>2</v>
      </c>
      <c r="K36" s="482">
        <v>2</v>
      </c>
      <c r="L36" s="481">
        <f>Table2[[#This Row],[No. of Attendees
(A)]]*Table2[[#This Row],[Length of Session
(B)]]</f>
        <v>4</v>
      </c>
      <c r="M36" s="398" t="s">
        <v>233</v>
      </c>
      <c r="N36" s="398">
        <v>0</v>
      </c>
    </row>
    <row r="37" spans="2:14" ht="89.25" x14ac:dyDescent="0.2">
      <c r="B37" s="454"/>
      <c r="C37" s="389">
        <f t="shared" si="0"/>
        <v>31</v>
      </c>
      <c r="D37" s="455"/>
      <c r="E37" s="397">
        <v>45965</v>
      </c>
      <c r="F37" s="469" t="s">
        <v>288</v>
      </c>
      <c r="G37" s="461" t="s">
        <v>289</v>
      </c>
      <c r="H37" s="398" t="s">
        <v>277</v>
      </c>
      <c r="I37" s="398" t="s">
        <v>281</v>
      </c>
      <c r="J37" s="400">
        <v>2</v>
      </c>
      <c r="K37" s="482">
        <v>2</v>
      </c>
      <c r="L37" s="481">
        <f>Table2[[#This Row],[No. of Attendees
(A)]]*Table2[[#This Row],[Length of Session
(B)]]</f>
        <v>4</v>
      </c>
      <c r="M37" s="398" t="s">
        <v>233</v>
      </c>
      <c r="N37" s="398">
        <v>0</v>
      </c>
    </row>
    <row r="38" spans="2:14" ht="76.5" x14ac:dyDescent="0.2">
      <c r="B38" s="454"/>
      <c r="C38" s="389">
        <f t="shared" si="0"/>
        <v>32</v>
      </c>
      <c r="D38" s="455"/>
      <c r="E38" s="397">
        <v>45965</v>
      </c>
      <c r="F38" s="469" t="s">
        <v>290</v>
      </c>
      <c r="G38" s="461" t="s">
        <v>291</v>
      </c>
      <c r="H38" s="398" t="s">
        <v>277</v>
      </c>
      <c r="I38" s="398" t="s">
        <v>281</v>
      </c>
      <c r="J38" s="400">
        <v>2</v>
      </c>
      <c r="K38" s="482">
        <v>2</v>
      </c>
      <c r="L38" s="481">
        <f>Table2[[#This Row],[No. of Attendees
(A)]]*Table2[[#This Row],[Length of Session
(B)]]</f>
        <v>4</v>
      </c>
      <c r="M38" s="398" t="s">
        <v>233</v>
      </c>
      <c r="N38" s="398">
        <v>0</v>
      </c>
    </row>
    <row r="39" spans="2:14" x14ac:dyDescent="0.2">
      <c r="B39" s="454"/>
      <c r="C39" s="389">
        <f t="shared" si="0"/>
        <v>33</v>
      </c>
      <c r="D39" s="455"/>
      <c r="E39" s="397"/>
      <c r="F39" s="469"/>
      <c r="G39" s="461"/>
      <c r="H39" s="398"/>
      <c r="I39" s="398"/>
      <c r="J39" s="400"/>
      <c r="K39" s="482"/>
      <c r="L39" s="481">
        <f>Table2[[#This Row],[No. of Attendees
(A)]]*Table2[[#This Row],[Length of Session
(B)]]</f>
        <v>0</v>
      </c>
      <c r="M39" s="398"/>
      <c r="N39" s="398"/>
    </row>
    <row r="40" spans="2:14" x14ac:dyDescent="0.2">
      <c r="B40" s="454"/>
      <c r="C40" s="389">
        <f t="shared" si="0"/>
        <v>34</v>
      </c>
      <c r="D40" s="455"/>
      <c r="E40" s="397"/>
      <c r="F40" s="461"/>
      <c r="G40" s="461"/>
      <c r="H40" s="398"/>
      <c r="I40" s="398"/>
      <c r="J40" s="400"/>
      <c r="K40" s="482"/>
      <c r="L40" s="481">
        <f>Table2[[#This Row],[No. of Attendees
(A)]]*Table2[[#This Row],[Length of Session
(B)]]</f>
        <v>0</v>
      </c>
      <c r="M40" s="398"/>
      <c r="N40" s="398"/>
    </row>
    <row r="41" spans="2:14" x14ac:dyDescent="0.2">
      <c r="B41" s="454"/>
      <c r="C41" s="389">
        <f t="shared" si="0"/>
        <v>35</v>
      </c>
      <c r="D41" s="455"/>
      <c r="E41" s="397"/>
      <c r="F41" s="469"/>
      <c r="G41" s="461"/>
      <c r="H41" s="398"/>
      <c r="I41" s="398"/>
      <c r="J41" s="400"/>
      <c r="K41" s="482"/>
      <c r="L41" s="481">
        <f>Table2[[#This Row],[No. of Attendees
(A)]]*Table2[[#This Row],[Length of Session
(B)]]</f>
        <v>0</v>
      </c>
      <c r="M41" s="398"/>
      <c r="N41" s="398"/>
    </row>
    <row r="42" spans="2:14" x14ac:dyDescent="0.2">
      <c r="B42" s="454"/>
      <c r="C42" s="389">
        <f t="shared" si="0"/>
        <v>36</v>
      </c>
      <c r="D42" s="455"/>
      <c r="E42" s="397"/>
      <c r="F42" s="469"/>
      <c r="G42" s="462"/>
      <c r="H42" s="398"/>
      <c r="I42" s="398"/>
      <c r="J42" s="400"/>
      <c r="K42" s="482"/>
      <c r="L42" s="481">
        <f>Table2[[#This Row],[No. of Attendees
(A)]]*Table2[[#This Row],[Length of Session
(B)]]</f>
        <v>0</v>
      </c>
      <c r="M42" s="398"/>
      <c r="N42" s="398"/>
    </row>
    <row r="43" spans="2:14" x14ac:dyDescent="0.2">
      <c r="B43" s="454"/>
      <c r="C43" s="389">
        <f t="shared" si="0"/>
        <v>37</v>
      </c>
      <c r="D43" s="455"/>
      <c r="E43" s="397"/>
      <c r="F43" s="469"/>
      <c r="G43" s="398"/>
      <c r="H43" s="398"/>
      <c r="I43" s="398"/>
      <c r="J43" s="400"/>
      <c r="K43" s="482"/>
      <c r="L43" s="481">
        <f>Table2[[#This Row],[No. of Attendees
(A)]]*Table2[[#This Row],[Length of Session
(B)]]</f>
        <v>0</v>
      </c>
      <c r="M43" s="398"/>
      <c r="N43" s="398"/>
    </row>
    <row r="44" spans="2:14" x14ac:dyDescent="0.2">
      <c r="B44" s="454"/>
      <c r="C44" s="389">
        <f t="shared" si="0"/>
        <v>38</v>
      </c>
      <c r="D44" s="455"/>
      <c r="E44" s="397"/>
      <c r="F44" s="469"/>
      <c r="G44" s="398"/>
      <c r="H44" s="398"/>
      <c r="I44" s="398"/>
      <c r="J44" s="400"/>
      <c r="K44" s="400"/>
      <c r="L44" s="524">
        <f>Table2[[#This Row],[No. of Attendees
(A)]]*Table2[[#This Row],[Length of Session
(B)]]</f>
        <v>0</v>
      </c>
      <c r="M44" s="398"/>
      <c r="N44" s="398"/>
    </row>
    <row r="45" spans="2:14" x14ac:dyDescent="0.2">
      <c r="B45" s="454"/>
      <c r="C45" s="389">
        <f t="shared" si="0"/>
        <v>39</v>
      </c>
      <c r="D45" s="455"/>
      <c r="E45" s="397"/>
      <c r="F45" s="469"/>
      <c r="G45" s="398"/>
      <c r="H45" s="398"/>
      <c r="I45" s="398"/>
      <c r="J45" s="400"/>
      <c r="K45" s="400"/>
      <c r="L45" s="524">
        <f>Table2[[#This Row],[No. of Attendees
(A)]]*Table2[[#This Row],[Length of Session
(B)]]</f>
        <v>0</v>
      </c>
      <c r="M45" s="398"/>
      <c r="N45" s="398"/>
    </row>
    <row r="46" spans="2:14" x14ac:dyDescent="0.2">
      <c r="B46" s="454"/>
      <c r="C46" s="389">
        <f t="shared" si="0"/>
        <v>40</v>
      </c>
      <c r="D46" s="455"/>
      <c r="E46" s="397"/>
      <c r="F46" s="469"/>
      <c r="G46" s="398"/>
      <c r="H46" s="398"/>
      <c r="I46" s="398"/>
      <c r="J46" s="400"/>
      <c r="K46" s="400"/>
      <c r="L46" s="524">
        <f>Table2[[#This Row],[No. of Attendees
(A)]]*Table2[[#This Row],[Length of Session
(B)]]</f>
        <v>0</v>
      </c>
      <c r="M46" s="398"/>
      <c r="N46" s="398"/>
    </row>
    <row r="47" spans="2:14" x14ac:dyDescent="0.2">
      <c r="B47" s="454"/>
      <c r="C47" s="389">
        <f t="shared" si="0"/>
        <v>41</v>
      </c>
      <c r="D47" s="455"/>
      <c r="E47" s="397"/>
      <c r="F47" s="469"/>
      <c r="G47" s="398"/>
      <c r="H47" s="398"/>
      <c r="I47" s="398"/>
      <c r="J47" s="400"/>
      <c r="K47" s="400"/>
      <c r="L47" s="524">
        <f>Table2[[#This Row],[No. of Attendees
(A)]]*Table2[[#This Row],[Length of Session
(B)]]</f>
        <v>0</v>
      </c>
      <c r="M47" s="398"/>
      <c r="N47" s="398"/>
    </row>
    <row r="48" spans="2:14" x14ac:dyDescent="0.2">
      <c r="B48" s="454"/>
      <c r="C48" s="389">
        <f t="shared" si="0"/>
        <v>42</v>
      </c>
      <c r="D48" s="455"/>
      <c r="E48" s="397"/>
      <c r="F48" s="469"/>
      <c r="G48" s="398"/>
      <c r="H48" s="398"/>
      <c r="I48" s="398"/>
      <c r="J48" s="400"/>
      <c r="K48" s="400"/>
      <c r="L48" s="524">
        <f>Table2[[#This Row],[No. of Attendees
(A)]]*Table2[[#This Row],[Length of Session
(B)]]</f>
        <v>0</v>
      </c>
      <c r="M48" s="398"/>
      <c r="N48" s="398"/>
    </row>
    <row r="49" spans="2:14" x14ac:dyDescent="0.2">
      <c r="B49" s="454"/>
      <c r="C49" s="389">
        <f t="shared" si="0"/>
        <v>43</v>
      </c>
      <c r="D49" s="455"/>
      <c r="E49" s="397"/>
      <c r="F49" s="469"/>
      <c r="G49" s="398"/>
      <c r="H49" s="398"/>
      <c r="I49" s="398"/>
      <c r="J49" s="400"/>
      <c r="K49" s="400"/>
      <c r="L49" s="524">
        <f>Table2[[#This Row],[No. of Attendees
(A)]]*Table2[[#This Row],[Length of Session
(B)]]</f>
        <v>0</v>
      </c>
      <c r="M49" s="398"/>
      <c r="N49" s="398"/>
    </row>
    <row r="50" spans="2:14" x14ac:dyDescent="0.2">
      <c r="B50" s="454"/>
      <c r="C50" s="389">
        <f t="shared" si="0"/>
        <v>44</v>
      </c>
      <c r="D50" s="455"/>
      <c r="E50" s="397"/>
      <c r="F50" s="469"/>
      <c r="G50" s="398"/>
      <c r="H50" s="398"/>
      <c r="I50" s="398"/>
      <c r="J50" s="400"/>
      <c r="K50" s="400"/>
      <c r="L50" s="524">
        <f>Table2[[#This Row],[No. of Attendees
(A)]]*Table2[[#This Row],[Length of Session
(B)]]</f>
        <v>0</v>
      </c>
      <c r="M50" s="398"/>
      <c r="N50" s="398"/>
    </row>
    <row r="51" spans="2:14" x14ac:dyDescent="0.2">
      <c r="B51" s="454"/>
      <c r="C51" s="389">
        <f t="shared" si="0"/>
        <v>45</v>
      </c>
      <c r="D51" s="455"/>
      <c r="E51" s="397"/>
      <c r="F51" s="469"/>
      <c r="G51" s="398"/>
      <c r="H51" s="398"/>
      <c r="I51" s="398"/>
      <c r="J51" s="400"/>
      <c r="K51" s="400"/>
      <c r="L51" s="524">
        <f>Table2[[#This Row],[No. of Attendees
(A)]]*Table2[[#This Row],[Length of Session
(B)]]</f>
        <v>0</v>
      </c>
      <c r="M51" s="398"/>
      <c r="N51" s="398"/>
    </row>
    <row r="52" spans="2:14" x14ac:dyDescent="0.2">
      <c r="B52" s="454"/>
      <c r="C52" s="389">
        <f t="shared" si="0"/>
        <v>46</v>
      </c>
      <c r="D52" s="455"/>
      <c r="E52" s="397"/>
      <c r="F52" s="469"/>
      <c r="G52" s="398"/>
      <c r="H52" s="398"/>
      <c r="I52" s="398"/>
      <c r="J52" s="400"/>
      <c r="K52" s="400"/>
      <c r="L52" s="524">
        <f>Table2[[#This Row],[No. of Attendees
(A)]]*Table2[[#This Row],[Length of Session
(B)]]</f>
        <v>0</v>
      </c>
      <c r="M52" s="398"/>
      <c r="N52" s="398"/>
    </row>
    <row r="53" spans="2:14" x14ac:dyDescent="0.2">
      <c r="B53" s="454"/>
      <c r="C53" s="389">
        <f t="shared" si="0"/>
        <v>47</v>
      </c>
      <c r="D53" s="455"/>
      <c r="E53" s="397"/>
      <c r="F53" s="461"/>
      <c r="G53" s="398"/>
      <c r="H53" s="398"/>
      <c r="I53" s="398"/>
      <c r="J53" s="400"/>
      <c r="K53" s="400"/>
      <c r="L53" s="524">
        <f>Table2[[#This Row],[No. of Attendees
(A)]]*Table2[[#This Row],[Length of Session
(B)]]</f>
        <v>0</v>
      </c>
      <c r="M53" s="398"/>
      <c r="N53" s="398"/>
    </row>
    <row r="54" spans="2:14" x14ac:dyDescent="0.2">
      <c r="B54" s="454"/>
      <c r="C54" s="389">
        <f t="shared" si="0"/>
        <v>48</v>
      </c>
      <c r="D54" s="455"/>
      <c r="E54" s="397"/>
      <c r="F54" s="469"/>
      <c r="G54" s="398"/>
      <c r="H54" s="398"/>
      <c r="I54" s="398"/>
      <c r="J54" s="400"/>
      <c r="K54" s="400"/>
      <c r="L54" s="524">
        <f>Table2[[#This Row],[No. of Attendees
(A)]]*Table2[[#This Row],[Length of Session
(B)]]</f>
        <v>0</v>
      </c>
      <c r="M54" s="398"/>
      <c r="N54" s="398"/>
    </row>
    <row r="55" spans="2:14" x14ac:dyDescent="0.2">
      <c r="B55" s="454"/>
      <c r="C55" s="389">
        <f t="shared" si="0"/>
        <v>49</v>
      </c>
      <c r="D55" s="455"/>
      <c r="E55" s="397"/>
      <c r="F55" s="469"/>
      <c r="G55" s="398"/>
      <c r="H55" s="464"/>
      <c r="I55" s="398"/>
      <c r="J55" s="400"/>
      <c r="K55" s="400"/>
      <c r="L55" s="524">
        <f>Table2[[#This Row],[No. of Attendees
(A)]]*Table2[[#This Row],[Length of Session
(B)]]</f>
        <v>0</v>
      </c>
      <c r="M55" s="398"/>
      <c r="N55" s="398"/>
    </row>
    <row r="56" spans="2:14" x14ac:dyDescent="0.2">
      <c r="B56" s="454"/>
      <c r="C56" s="389">
        <f t="shared" si="0"/>
        <v>50</v>
      </c>
      <c r="D56" s="455"/>
      <c r="E56" s="397"/>
      <c r="F56" s="469"/>
      <c r="G56" s="398"/>
      <c r="H56" s="398"/>
      <c r="I56" s="398"/>
      <c r="J56" s="400"/>
      <c r="K56" s="400"/>
      <c r="L56" s="524">
        <f>Table2[[#This Row],[No. of Attendees
(A)]]*Table2[[#This Row],[Length of Session
(B)]]</f>
        <v>0</v>
      </c>
      <c r="M56" s="398"/>
      <c r="N56" s="398"/>
    </row>
    <row r="57" spans="2:14" x14ac:dyDescent="0.2">
      <c r="B57" s="454"/>
      <c r="C57" s="389">
        <f t="shared" si="0"/>
        <v>51</v>
      </c>
      <c r="D57" s="455"/>
      <c r="E57" s="397"/>
      <c r="F57" s="469"/>
      <c r="G57" s="398"/>
      <c r="H57" s="398"/>
      <c r="I57" s="398"/>
      <c r="J57" s="400"/>
      <c r="K57" s="400"/>
      <c r="L57" s="524">
        <f>Table2[[#This Row],[No. of Attendees
(A)]]*Table2[[#This Row],[Length of Session
(B)]]</f>
        <v>0</v>
      </c>
      <c r="M57" s="398"/>
      <c r="N57" s="398"/>
    </row>
    <row r="58" spans="2:14" x14ac:dyDescent="0.2">
      <c r="B58" s="454"/>
      <c r="C58" s="389">
        <f t="shared" si="0"/>
        <v>52</v>
      </c>
      <c r="D58" s="455"/>
      <c r="E58" s="397"/>
      <c r="F58" s="469"/>
      <c r="G58" s="461"/>
      <c r="H58" s="398"/>
      <c r="I58" s="398"/>
      <c r="J58" s="400"/>
      <c r="K58" s="400"/>
      <c r="L58" s="524">
        <f>Table2[[#This Row],[No. of Attendees
(A)]]*Table2[[#This Row],[Length of Session
(B)]]</f>
        <v>0</v>
      </c>
      <c r="M58" s="398"/>
      <c r="N58" s="398"/>
    </row>
    <row r="59" spans="2:14" x14ac:dyDescent="0.2">
      <c r="B59" s="454"/>
      <c r="C59" s="389">
        <f t="shared" si="0"/>
        <v>53</v>
      </c>
      <c r="D59" s="455"/>
      <c r="E59" s="397"/>
      <c r="F59" s="469"/>
      <c r="G59" s="461"/>
      <c r="H59" s="398"/>
      <c r="I59" s="398"/>
      <c r="J59" s="400"/>
      <c r="K59" s="400"/>
      <c r="L59" s="524">
        <f>Table2[[#This Row],[No. of Attendees
(A)]]*Table2[[#This Row],[Length of Session
(B)]]</f>
        <v>0</v>
      </c>
      <c r="M59" s="398"/>
      <c r="N59" s="398"/>
    </row>
    <row r="60" spans="2:14" x14ac:dyDescent="0.2">
      <c r="B60" s="454"/>
      <c r="C60" s="389">
        <f t="shared" si="0"/>
        <v>54</v>
      </c>
      <c r="D60" s="455"/>
      <c r="E60" s="397"/>
      <c r="F60" s="469"/>
      <c r="G60" s="461"/>
      <c r="H60" s="398"/>
      <c r="I60" s="398"/>
      <c r="J60" s="400"/>
      <c r="K60" s="400"/>
      <c r="L60" s="524">
        <f>Table2[[#This Row],[No. of Attendees
(A)]]*Table2[[#This Row],[Length of Session
(B)]]</f>
        <v>0</v>
      </c>
      <c r="M60" s="398"/>
      <c r="N60" s="398"/>
    </row>
    <row r="61" spans="2:14" x14ac:dyDescent="0.2">
      <c r="B61" s="454"/>
      <c r="C61" s="389">
        <f t="shared" si="0"/>
        <v>55</v>
      </c>
      <c r="D61" s="455"/>
      <c r="E61" s="397"/>
      <c r="F61" s="469"/>
      <c r="G61" s="461"/>
      <c r="H61" s="398"/>
      <c r="I61" s="398"/>
      <c r="J61" s="400"/>
      <c r="K61" s="400"/>
      <c r="L61" s="524">
        <f>Table2[[#This Row],[No. of Attendees
(A)]]*Table2[[#This Row],[Length of Session
(B)]]</f>
        <v>0</v>
      </c>
      <c r="M61" s="398"/>
      <c r="N61" s="398"/>
    </row>
    <row r="62" spans="2:14" x14ac:dyDescent="0.2">
      <c r="B62" s="454"/>
      <c r="C62" s="389">
        <f t="shared" si="0"/>
        <v>56</v>
      </c>
      <c r="D62" s="455"/>
      <c r="E62" s="397"/>
      <c r="F62" s="469"/>
      <c r="G62" s="461"/>
      <c r="H62" s="398"/>
      <c r="I62" s="398"/>
      <c r="J62" s="400"/>
      <c r="K62" s="400"/>
      <c r="L62" s="524">
        <f>Table2[[#This Row],[No. of Attendees
(A)]]*Table2[[#This Row],[Length of Session
(B)]]</f>
        <v>0</v>
      </c>
      <c r="M62" s="398"/>
      <c r="N62" s="398"/>
    </row>
    <row r="63" spans="2:14" x14ac:dyDescent="0.2">
      <c r="B63" s="454"/>
      <c r="C63" s="389">
        <f t="shared" si="0"/>
        <v>57</v>
      </c>
      <c r="D63" s="455"/>
      <c r="E63" s="397"/>
      <c r="F63" s="469"/>
      <c r="G63" s="461"/>
      <c r="H63" s="398"/>
      <c r="I63" s="398"/>
      <c r="J63" s="400"/>
      <c r="K63" s="400"/>
      <c r="L63" s="524">
        <f>Table2[[#This Row],[No. of Attendees
(A)]]*Table2[[#This Row],[Length of Session
(B)]]</f>
        <v>0</v>
      </c>
      <c r="M63" s="398"/>
      <c r="N63" s="398"/>
    </row>
    <row r="64" spans="2:14" x14ac:dyDescent="0.2">
      <c r="B64" s="454"/>
      <c r="C64" s="389">
        <f t="shared" si="0"/>
        <v>58</v>
      </c>
      <c r="D64" s="455"/>
      <c r="E64" s="397"/>
      <c r="F64" s="469"/>
      <c r="G64" s="462"/>
      <c r="H64" s="398"/>
      <c r="I64" s="398"/>
      <c r="J64" s="400"/>
      <c r="K64" s="400"/>
      <c r="L64" s="524">
        <f>Table2[[#This Row],[No. of Attendees
(A)]]*Table2[[#This Row],[Length of Session
(B)]]</f>
        <v>0</v>
      </c>
      <c r="M64" s="398"/>
      <c r="N64" s="398"/>
    </row>
    <row r="65" spans="2:14" x14ac:dyDescent="0.2">
      <c r="B65" s="454"/>
      <c r="C65" s="389">
        <f t="shared" si="0"/>
        <v>59</v>
      </c>
      <c r="D65" s="455"/>
      <c r="E65" s="397"/>
      <c r="F65" s="469"/>
      <c r="G65" s="398"/>
      <c r="H65" s="398"/>
      <c r="I65" s="398"/>
      <c r="J65" s="400"/>
      <c r="K65" s="400"/>
      <c r="L65" s="524">
        <f>Table2[[#This Row],[No. of Attendees
(A)]]*Table2[[#This Row],[Length of Session
(B)]]</f>
        <v>0</v>
      </c>
      <c r="M65" s="398"/>
      <c r="N65" s="398"/>
    </row>
    <row r="66" spans="2:14" x14ac:dyDescent="0.2">
      <c r="B66" s="454"/>
      <c r="C66" s="389">
        <f t="shared" si="0"/>
        <v>60</v>
      </c>
      <c r="D66" s="455"/>
      <c r="E66" s="397"/>
      <c r="F66" s="469"/>
      <c r="G66" s="398"/>
      <c r="H66" s="398"/>
      <c r="I66" s="398"/>
      <c r="J66" s="400"/>
      <c r="K66" s="400"/>
      <c r="L66" s="524">
        <f>Table2[[#This Row],[No. of Attendees
(A)]]*Table2[[#This Row],[Length of Session
(B)]]</f>
        <v>0</v>
      </c>
      <c r="M66" s="398"/>
      <c r="N66" s="398"/>
    </row>
    <row r="67" spans="2:14" x14ac:dyDescent="0.2">
      <c r="B67" s="454"/>
      <c r="C67" s="389">
        <f t="shared" si="0"/>
        <v>61</v>
      </c>
      <c r="D67" s="455"/>
      <c r="E67" s="397"/>
      <c r="F67" s="469"/>
      <c r="G67" s="398"/>
      <c r="H67" s="398"/>
      <c r="I67" s="398"/>
      <c r="J67" s="400"/>
      <c r="K67" s="400"/>
      <c r="L67" s="524">
        <f>Table2[[#This Row],[No. of Attendees
(A)]]*Table2[[#This Row],[Length of Session
(B)]]</f>
        <v>0</v>
      </c>
      <c r="M67" s="398"/>
      <c r="N67" s="398"/>
    </row>
    <row r="68" spans="2:14" x14ac:dyDescent="0.2">
      <c r="B68" s="454"/>
      <c r="C68" s="389">
        <f t="shared" si="0"/>
        <v>62</v>
      </c>
      <c r="D68" s="455"/>
      <c r="E68" s="397"/>
      <c r="F68" s="469"/>
      <c r="G68" s="398"/>
      <c r="H68" s="398"/>
      <c r="I68" s="398"/>
      <c r="J68" s="400"/>
      <c r="K68" s="400"/>
      <c r="L68" s="524">
        <f>Table2[[#This Row],[No. of Attendees
(A)]]*Table2[[#This Row],[Length of Session
(B)]]</f>
        <v>0</v>
      </c>
      <c r="M68" s="398"/>
      <c r="N68" s="398"/>
    </row>
    <row r="69" spans="2:14" x14ac:dyDescent="0.2">
      <c r="B69" s="454"/>
      <c r="C69" s="389">
        <f t="shared" si="0"/>
        <v>63</v>
      </c>
      <c r="D69" s="455"/>
      <c r="E69" s="397"/>
      <c r="F69" s="469"/>
      <c r="G69" s="398"/>
      <c r="H69" s="398"/>
      <c r="I69" s="398"/>
      <c r="J69" s="400"/>
      <c r="K69" s="400"/>
      <c r="L69" s="524">
        <f>Table2[[#This Row],[No. of Attendees
(A)]]*Table2[[#This Row],[Length of Session
(B)]]</f>
        <v>0</v>
      </c>
      <c r="M69" s="398"/>
      <c r="N69" s="398"/>
    </row>
    <row r="70" spans="2:14" x14ac:dyDescent="0.2">
      <c r="B70" s="454"/>
      <c r="C70" s="389">
        <f t="shared" si="0"/>
        <v>64</v>
      </c>
      <c r="D70" s="455"/>
      <c r="E70" s="397"/>
      <c r="F70" s="469"/>
      <c r="G70" s="398"/>
      <c r="H70" s="398"/>
      <c r="I70" s="398"/>
      <c r="J70" s="400"/>
      <c r="K70" s="400"/>
      <c r="L70" s="524">
        <f>Table2[[#This Row],[No. of Attendees
(A)]]*Table2[[#This Row],[Length of Session
(B)]]</f>
        <v>0</v>
      </c>
      <c r="M70" s="398"/>
      <c r="N70" s="398"/>
    </row>
    <row r="71" spans="2:14" x14ac:dyDescent="0.2">
      <c r="B71" s="454"/>
      <c r="C71" s="389">
        <f t="shared" ref="C71:C84" si="1">ROW()-6</f>
        <v>65</v>
      </c>
      <c r="D71" s="455"/>
      <c r="E71" s="397"/>
      <c r="F71" s="469"/>
      <c r="G71" s="398"/>
      <c r="H71" s="398"/>
      <c r="I71" s="398"/>
      <c r="J71" s="400"/>
      <c r="K71" s="400"/>
      <c r="L71" s="524">
        <f>Table2[[#This Row],[No. of Attendees
(A)]]*Table2[[#This Row],[Length of Session
(B)]]</f>
        <v>0</v>
      </c>
      <c r="M71" s="398"/>
      <c r="N71" s="398"/>
    </row>
    <row r="72" spans="2:14" x14ac:dyDescent="0.2">
      <c r="B72" s="454"/>
      <c r="C72" s="389">
        <f t="shared" si="1"/>
        <v>66</v>
      </c>
      <c r="D72" s="455"/>
      <c r="E72" s="397"/>
      <c r="F72" s="461"/>
      <c r="G72" s="398"/>
      <c r="H72" s="398"/>
      <c r="I72" s="398"/>
      <c r="J72" s="400"/>
      <c r="K72" s="400"/>
      <c r="L72" s="524">
        <f>Table2[[#This Row],[No. of Attendees
(A)]]*Table2[[#This Row],[Length of Session
(B)]]</f>
        <v>0</v>
      </c>
      <c r="M72" s="398"/>
      <c r="N72" s="398"/>
    </row>
    <row r="73" spans="2:14" x14ac:dyDescent="0.2">
      <c r="B73" s="454"/>
      <c r="C73" s="389">
        <f t="shared" si="1"/>
        <v>67</v>
      </c>
      <c r="D73" s="455"/>
      <c r="E73" s="397"/>
      <c r="F73" s="469"/>
      <c r="G73" s="398"/>
      <c r="H73" s="398"/>
      <c r="I73" s="398"/>
      <c r="J73" s="400"/>
      <c r="K73" s="400"/>
      <c r="L73" s="524">
        <f>Table2[[#This Row],[No. of Attendees
(A)]]*Table2[[#This Row],[Length of Session
(B)]]</f>
        <v>0</v>
      </c>
      <c r="M73" s="398"/>
      <c r="N73" s="398"/>
    </row>
    <row r="74" spans="2:14" x14ac:dyDescent="0.2">
      <c r="B74" s="454"/>
      <c r="C74" s="389">
        <f t="shared" si="1"/>
        <v>68</v>
      </c>
      <c r="D74" s="455"/>
      <c r="E74" s="397"/>
      <c r="F74" s="469"/>
      <c r="G74" s="398"/>
      <c r="H74" s="398"/>
      <c r="I74" s="398"/>
      <c r="J74" s="400"/>
      <c r="K74" s="400"/>
      <c r="L74" s="524">
        <f>Table2[[#This Row],[No. of Attendees
(A)]]*Table2[[#This Row],[Length of Session
(B)]]</f>
        <v>0</v>
      </c>
      <c r="M74" s="398"/>
      <c r="N74" s="398"/>
    </row>
    <row r="75" spans="2:14" x14ac:dyDescent="0.2">
      <c r="B75" s="454"/>
      <c r="C75" s="389">
        <f t="shared" si="1"/>
        <v>69</v>
      </c>
      <c r="D75" s="455"/>
      <c r="E75" s="397"/>
      <c r="F75" s="469"/>
      <c r="G75" s="398"/>
      <c r="H75" s="398"/>
      <c r="I75" s="398"/>
      <c r="J75" s="400"/>
      <c r="K75" s="400"/>
      <c r="L75" s="524">
        <f>Table2[[#This Row],[No. of Attendees
(A)]]*Table2[[#This Row],[Length of Session
(B)]]</f>
        <v>0</v>
      </c>
      <c r="M75" s="398"/>
      <c r="N75" s="398"/>
    </row>
    <row r="76" spans="2:14" x14ac:dyDescent="0.2">
      <c r="B76" s="454"/>
      <c r="C76" s="389">
        <f t="shared" si="1"/>
        <v>70</v>
      </c>
      <c r="D76" s="455"/>
      <c r="E76" s="397"/>
      <c r="F76" s="469"/>
      <c r="G76" s="398"/>
      <c r="H76" s="398"/>
      <c r="I76" s="398"/>
      <c r="J76" s="400"/>
      <c r="K76" s="400"/>
      <c r="L76" s="524">
        <f>Table2[[#This Row],[No. of Attendees
(A)]]*Table2[[#This Row],[Length of Session
(B)]]</f>
        <v>0</v>
      </c>
      <c r="M76" s="398"/>
      <c r="N76" s="398"/>
    </row>
    <row r="77" spans="2:14" x14ac:dyDescent="0.2">
      <c r="B77" s="454"/>
      <c r="C77" s="389">
        <f t="shared" si="1"/>
        <v>71</v>
      </c>
      <c r="D77" s="455"/>
      <c r="E77" s="397"/>
      <c r="F77" s="469"/>
      <c r="G77" s="398"/>
      <c r="H77" s="398"/>
      <c r="I77" s="398"/>
      <c r="J77" s="400"/>
      <c r="K77" s="400"/>
      <c r="L77" s="524">
        <f>Table2[[#This Row],[No. of Attendees
(A)]]*Table2[[#This Row],[Length of Session
(B)]]</f>
        <v>0</v>
      </c>
      <c r="M77" s="398"/>
      <c r="N77" s="398"/>
    </row>
    <row r="78" spans="2:14" x14ac:dyDescent="0.2">
      <c r="B78" s="454"/>
      <c r="C78" s="389">
        <f t="shared" si="1"/>
        <v>72</v>
      </c>
      <c r="D78" s="455"/>
      <c r="E78" s="397"/>
      <c r="F78" s="469"/>
      <c r="G78" s="398"/>
      <c r="H78" s="398"/>
      <c r="I78" s="398"/>
      <c r="J78" s="400"/>
      <c r="K78" s="400"/>
      <c r="L78" s="524">
        <f>Table2[[#This Row],[No. of Attendees
(A)]]*Table2[[#This Row],[Length of Session
(B)]]</f>
        <v>0</v>
      </c>
      <c r="M78" s="398"/>
      <c r="N78" s="398"/>
    </row>
    <row r="79" spans="2:14" x14ac:dyDescent="0.2">
      <c r="B79" s="454"/>
      <c r="C79" s="389">
        <f t="shared" si="1"/>
        <v>73</v>
      </c>
      <c r="D79" s="455"/>
      <c r="E79" s="397"/>
      <c r="F79" s="469"/>
      <c r="G79" s="398"/>
      <c r="H79" s="398"/>
      <c r="I79" s="398"/>
      <c r="J79" s="400"/>
      <c r="K79" s="400"/>
      <c r="L79" s="524">
        <f>Table2[[#This Row],[No. of Attendees
(A)]]*Table2[[#This Row],[Length of Session
(B)]]</f>
        <v>0</v>
      </c>
      <c r="M79" s="398"/>
      <c r="N79" s="398"/>
    </row>
    <row r="80" spans="2:14" x14ac:dyDescent="0.2">
      <c r="B80" s="454"/>
      <c r="C80" s="389">
        <f t="shared" si="1"/>
        <v>74</v>
      </c>
      <c r="D80" s="455"/>
      <c r="E80" s="397"/>
      <c r="F80" s="469"/>
      <c r="G80" s="398"/>
      <c r="H80" s="398"/>
      <c r="I80" s="398"/>
      <c r="J80" s="400"/>
      <c r="K80" s="400"/>
      <c r="L80" s="524">
        <f>Table2[[#This Row],[No. of Attendees
(A)]]*Table2[[#This Row],[Length of Session
(B)]]</f>
        <v>0</v>
      </c>
      <c r="M80" s="398"/>
      <c r="N80" s="398"/>
    </row>
    <row r="81" spans="2:14" x14ac:dyDescent="0.2">
      <c r="B81" s="454"/>
      <c r="C81" s="389">
        <f t="shared" si="1"/>
        <v>75</v>
      </c>
      <c r="D81" s="455"/>
      <c r="E81" s="397"/>
      <c r="F81" s="469"/>
      <c r="G81" s="398"/>
      <c r="H81" s="398"/>
      <c r="I81" s="398"/>
      <c r="J81" s="400"/>
      <c r="K81" s="400"/>
      <c r="L81" s="524">
        <f>Table2[[#This Row],[No. of Attendees
(A)]]*Table2[[#This Row],[Length of Session
(B)]]</f>
        <v>0</v>
      </c>
      <c r="M81" s="398"/>
      <c r="N81" s="398"/>
    </row>
    <row r="82" spans="2:14" x14ac:dyDescent="0.2">
      <c r="B82" s="454"/>
      <c r="C82" s="389">
        <f t="shared" si="1"/>
        <v>76</v>
      </c>
      <c r="D82" s="455"/>
      <c r="E82" s="397"/>
      <c r="F82" s="469"/>
      <c r="G82" s="398"/>
      <c r="H82" s="398"/>
      <c r="I82" s="398"/>
      <c r="J82" s="400"/>
      <c r="K82" s="400"/>
      <c r="L82" s="524">
        <f>Table2[[#This Row],[No. of Attendees
(A)]]*Table2[[#This Row],[Length of Session
(B)]]</f>
        <v>0</v>
      </c>
      <c r="M82" s="398"/>
      <c r="N82" s="398"/>
    </row>
    <row r="83" spans="2:14" x14ac:dyDescent="0.2">
      <c r="B83" s="454"/>
      <c r="C83" s="389">
        <f t="shared" si="1"/>
        <v>77</v>
      </c>
      <c r="D83" s="455"/>
      <c r="E83" s="397"/>
      <c r="F83" s="461"/>
      <c r="G83" s="398"/>
      <c r="H83" s="398"/>
      <c r="I83" s="398"/>
      <c r="J83" s="400"/>
      <c r="K83" s="400"/>
      <c r="L83" s="524">
        <f>Table2[[#This Row],[No. of Attendees
(A)]]*Table2[[#This Row],[Length of Session
(B)]]</f>
        <v>0</v>
      </c>
      <c r="M83" s="398"/>
      <c r="N83" s="398"/>
    </row>
    <row r="84" spans="2:14" x14ac:dyDescent="0.2">
      <c r="B84" s="454"/>
      <c r="C84" s="389">
        <f t="shared" si="1"/>
        <v>78</v>
      </c>
      <c r="D84" s="455"/>
      <c r="E84" s="397"/>
      <c r="F84" s="469"/>
      <c r="G84" s="398"/>
      <c r="H84" s="398"/>
      <c r="I84" s="398"/>
      <c r="J84" s="400"/>
      <c r="K84" s="400"/>
      <c r="L84" s="524">
        <f>Table2[[#This Row],[No. of Attendees
(A)]]*Table2[[#This Row],[Length of Session
(B)]]</f>
        <v>0</v>
      </c>
      <c r="M84" s="398"/>
      <c r="N84" s="398"/>
    </row>
    <row r="85" spans="2:14" x14ac:dyDescent="0.2">
      <c r="B85" s="454"/>
      <c r="C85" s="389">
        <v>79</v>
      </c>
      <c r="D85" s="455"/>
      <c r="E85" s="397"/>
      <c r="F85" s="470"/>
      <c r="G85" s="465"/>
      <c r="H85" s="398"/>
      <c r="I85" s="472"/>
      <c r="J85" s="400"/>
      <c r="K85" s="400"/>
      <c r="L85" s="524">
        <f>Table2[[#This Row],[No. of Attendees
(A)]]*Table2[[#This Row],[Length of Session
(B)]]</f>
        <v>0</v>
      </c>
      <c r="M85" s="398"/>
      <c r="N85" s="398"/>
    </row>
    <row r="86" spans="2:14" x14ac:dyDescent="0.2">
      <c r="B86" s="454"/>
      <c r="C86" s="389">
        <v>80</v>
      </c>
      <c r="D86" s="455"/>
      <c r="E86" s="397"/>
      <c r="F86" s="452"/>
      <c r="G86" s="466"/>
      <c r="H86" s="398"/>
      <c r="I86" s="450"/>
      <c r="J86" s="400"/>
      <c r="K86" s="400"/>
      <c r="L86" s="524">
        <f>Table2[[#This Row],[No. of Attendees
(A)]]*Table2[[#This Row],[Length of Session
(B)]]</f>
        <v>0</v>
      </c>
      <c r="M86" s="398"/>
      <c r="N86" s="398"/>
    </row>
    <row r="87" spans="2:14" x14ac:dyDescent="0.2">
      <c r="B87" s="454"/>
      <c r="C87" s="389">
        <v>81</v>
      </c>
      <c r="D87" s="455"/>
      <c r="E87" s="397"/>
      <c r="F87" s="470"/>
      <c r="G87" s="466"/>
      <c r="H87" s="398"/>
      <c r="I87" s="473"/>
      <c r="J87" s="400"/>
      <c r="K87" s="400"/>
      <c r="L87" s="524">
        <f>Table2[[#This Row],[No. of Attendees
(A)]]*Table2[[#This Row],[Length of Session
(B)]]</f>
        <v>0</v>
      </c>
      <c r="M87" s="398"/>
      <c r="N87" s="398"/>
    </row>
    <row r="88" spans="2:14" x14ac:dyDescent="0.2">
      <c r="B88" s="454"/>
      <c r="C88" s="389">
        <v>82</v>
      </c>
      <c r="D88" s="455"/>
      <c r="E88" s="397"/>
      <c r="F88" s="452"/>
      <c r="G88" s="466"/>
      <c r="H88" s="398"/>
      <c r="I88" s="451"/>
      <c r="J88" s="400"/>
      <c r="K88" s="400"/>
      <c r="L88" s="524">
        <f>Table2[[#This Row],[No. of Attendees
(A)]]*Table2[[#This Row],[Length of Session
(B)]]</f>
        <v>0</v>
      </c>
      <c r="M88" s="398"/>
      <c r="N88" s="398"/>
    </row>
    <row r="89" spans="2:14" x14ac:dyDescent="0.2">
      <c r="B89" s="454"/>
      <c r="C89" s="389">
        <v>83</v>
      </c>
      <c r="D89" s="455"/>
      <c r="E89" s="397"/>
      <c r="F89" s="470"/>
      <c r="G89" s="460"/>
      <c r="H89" s="398"/>
      <c r="I89" s="474"/>
      <c r="J89" s="400"/>
      <c r="K89" s="400"/>
      <c r="L89" s="524">
        <f>Table2[[#This Row],[No. of Attendees
(A)]]*Table2[[#This Row],[Length of Session
(B)]]</f>
        <v>0</v>
      </c>
      <c r="M89" s="398"/>
      <c r="N89" s="398"/>
    </row>
    <row r="90" spans="2:14" x14ac:dyDescent="0.2">
      <c r="B90" s="454"/>
      <c r="C90" s="389">
        <v>84</v>
      </c>
      <c r="D90" s="455"/>
      <c r="E90" s="397"/>
      <c r="F90" s="470"/>
      <c r="G90" s="460"/>
      <c r="H90" s="398"/>
      <c r="I90" s="452"/>
      <c r="J90" s="400"/>
      <c r="K90" s="400"/>
      <c r="L90" s="524">
        <f>Table2[[#This Row],[No. of Attendees
(A)]]*Table2[[#This Row],[Length of Session
(B)]]</f>
        <v>0</v>
      </c>
      <c r="M90" s="398"/>
      <c r="N90" s="398"/>
    </row>
    <row r="91" spans="2:14" x14ac:dyDescent="0.2">
      <c r="B91" s="454"/>
      <c r="C91" s="389">
        <v>85</v>
      </c>
      <c r="D91" s="455"/>
      <c r="E91" s="397"/>
      <c r="F91" s="452"/>
      <c r="G91" s="460"/>
      <c r="H91" s="398"/>
      <c r="I91" s="473"/>
      <c r="J91" s="400"/>
      <c r="K91" s="400"/>
      <c r="L91" s="524">
        <f>Table2[[#This Row],[No. of Attendees
(A)]]*Table2[[#This Row],[Length of Session
(B)]]</f>
        <v>0</v>
      </c>
      <c r="M91" s="398"/>
      <c r="N91" s="398"/>
    </row>
    <row r="92" spans="2:14" x14ac:dyDescent="0.2">
      <c r="B92" s="454"/>
      <c r="C92" s="389">
        <v>86</v>
      </c>
      <c r="D92" s="455"/>
      <c r="E92" s="397"/>
      <c r="F92" s="452"/>
      <c r="G92" s="460"/>
      <c r="H92" s="398"/>
      <c r="I92" s="453"/>
      <c r="J92" s="400"/>
      <c r="K92" s="400"/>
      <c r="L92" s="524">
        <f>Table2[[#This Row],[No. of Attendees
(A)]]*Table2[[#This Row],[Length of Session
(B)]]</f>
        <v>0</v>
      </c>
      <c r="M92" s="398"/>
      <c r="N92" s="398"/>
    </row>
    <row r="93" spans="2:14" x14ac:dyDescent="0.2">
      <c r="B93" s="454"/>
      <c r="C93" s="389">
        <v>87</v>
      </c>
      <c r="D93" s="455"/>
      <c r="E93" s="397"/>
      <c r="F93" s="452"/>
      <c r="G93" s="460"/>
      <c r="H93" s="398"/>
      <c r="I93" s="451"/>
      <c r="J93" s="400"/>
      <c r="K93" s="400"/>
      <c r="L93" s="524">
        <f>Table2[[#This Row],[No. of Attendees
(A)]]*Table2[[#This Row],[Length of Session
(B)]]</f>
        <v>0</v>
      </c>
      <c r="M93" s="398"/>
      <c r="N93" s="398"/>
    </row>
    <row r="94" spans="2:14" x14ac:dyDescent="0.2">
      <c r="B94" s="454"/>
      <c r="C94" s="389">
        <v>88</v>
      </c>
      <c r="D94" s="455"/>
      <c r="E94" s="397"/>
      <c r="F94" s="452"/>
      <c r="G94" s="467"/>
      <c r="H94" s="398"/>
      <c r="I94" s="463"/>
      <c r="J94" s="400"/>
      <c r="K94" s="400"/>
      <c r="L94" s="524">
        <f>Table2[[#This Row],[No. of Attendees
(A)]]*Table2[[#This Row],[Length of Session
(B)]]</f>
        <v>0</v>
      </c>
      <c r="M94" s="398"/>
      <c r="N94" s="398"/>
    </row>
    <row r="95" spans="2:14" x14ac:dyDescent="0.2">
      <c r="B95" s="454"/>
      <c r="C95" s="389">
        <v>89</v>
      </c>
      <c r="D95" s="455"/>
      <c r="E95" s="397"/>
      <c r="F95" s="452"/>
      <c r="G95" s="467"/>
      <c r="H95" s="398"/>
      <c r="I95" s="463"/>
      <c r="J95" s="400"/>
      <c r="K95" s="400"/>
      <c r="L95" s="524">
        <f>Table2[[#This Row],[No. of Attendees
(A)]]*Table2[[#This Row],[Length of Session
(B)]]</f>
        <v>0</v>
      </c>
      <c r="M95" s="398"/>
      <c r="N95" s="398"/>
    </row>
    <row r="96" spans="2:14" x14ac:dyDescent="0.2">
      <c r="B96" s="454"/>
      <c r="C96" s="389">
        <v>90</v>
      </c>
      <c r="D96" s="455"/>
      <c r="E96" s="397"/>
      <c r="F96" s="452"/>
      <c r="G96" s="467"/>
      <c r="H96" s="398"/>
      <c r="I96" s="451"/>
      <c r="J96" s="400"/>
      <c r="K96" s="400"/>
      <c r="L96" s="524">
        <f>Table2[[#This Row],[No. of Attendees
(A)]]*Table2[[#This Row],[Length of Session
(B)]]</f>
        <v>0</v>
      </c>
      <c r="M96" s="398"/>
      <c r="N96" s="398"/>
    </row>
    <row r="97" spans="2:14" x14ac:dyDescent="0.2">
      <c r="B97" s="454"/>
      <c r="C97" s="389">
        <v>91</v>
      </c>
      <c r="D97" s="455"/>
      <c r="E97" s="397"/>
      <c r="F97" s="452"/>
      <c r="G97" s="467"/>
      <c r="H97" s="398"/>
      <c r="I97" s="452"/>
      <c r="J97" s="400"/>
      <c r="K97" s="400"/>
      <c r="L97" s="524">
        <f>Table2[[#This Row],[No. of Attendees
(A)]]*Table2[[#This Row],[Length of Session
(B)]]</f>
        <v>0</v>
      </c>
      <c r="M97" s="398"/>
      <c r="N97" s="398"/>
    </row>
    <row r="98" spans="2:14" x14ac:dyDescent="0.2">
      <c r="B98" s="454"/>
      <c r="C98" s="389">
        <v>92</v>
      </c>
      <c r="D98" s="455"/>
      <c r="E98" s="397"/>
      <c r="F98" s="452"/>
      <c r="G98" s="467"/>
      <c r="H98" s="398"/>
      <c r="I98" s="452"/>
      <c r="J98" s="400"/>
      <c r="K98" s="400"/>
      <c r="L98" s="524">
        <f>Table2[[#This Row],[No. of Attendees
(A)]]*Table2[[#This Row],[Length of Session
(B)]]</f>
        <v>0</v>
      </c>
      <c r="M98" s="398"/>
      <c r="N98" s="398"/>
    </row>
    <row r="99" spans="2:14" x14ac:dyDescent="0.2">
      <c r="B99" s="454"/>
      <c r="C99" s="389">
        <v>93</v>
      </c>
      <c r="D99" s="455"/>
      <c r="E99" s="397"/>
      <c r="F99" s="452"/>
      <c r="G99" s="467"/>
      <c r="H99" s="398"/>
      <c r="I99" s="452"/>
      <c r="J99" s="400"/>
      <c r="K99" s="400"/>
      <c r="L99" s="524">
        <f>Table2[[#This Row],[No. of Attendees
(A)]]*Table2[[#This Row],[Length of Session
(B)]]</f>
        <v>0</v>
      </c>
      <c r="M99" s="398"/>
      <c r="N99" s="398"/>
    </row>
    <row r="100" spans="2:14" x14ac:dyDescent="0.2">
      <c r="B100" s="454"/>
      <c r="C100" s="389">
        <v>94</v>
      </c>
      <c r="D100" s="455"/>
      <c r="E100" s="397"/>
      <c r="F100" s="452"/>
      <c r="G100" s="467"/>
      <c r="H100" s="398"/>
      <c r="I100" s="452"/>
      <c r="J100" s="400"/>
      <c r="K100" s="400"/>
      <c r="L100" s="524">
        <f>Table2[[#This Row],[No. of Attendees
(A)]]*Table2[[#This Row],[Length of Session
(B)]]</f>
        <v>0</v>
      </c>
      <c r="M100" s="398"/>
      <c r="N100" s="398"/>
    </row>
    <row r="101" spans="2:14" x14ac:dyDescent="0.2">
      <c r="B101" s="454"/>
      <c r="C101" s="389">
        <v>95</v>
      </c>
      <c r="D101" s="455"/>
      <c r="E101" s="397"/>
      <c r="F101" s="460"/>
      <c r="G101" s="467"/>
      <c r="H101" s="398"/>
      <c r="I101" s="452"/>
      <c r="J101" s="400"/>
      <c r="K101" s="400"/>
      <c r="L101" s="524">
        <f>Table2[[#This Row],[No. of Attendees
(A)]]*Table2[[#This Row],[Length of Session
(B)]]</f>
        <v>0</v>
      </c>
      <c r="M101" s="398"/>
      <c r="N101" s="398"/>
    </row>
    <row r="102" spans="2:14" x14ac:dyDescent="0.2">
      <c r="B102" s="454"/>
      <c r="C102" s="389"/>
      <c r="D102" s="455"/>
      <c r="E102" s="397"/>
      <c r="F102" s="456"/>
      <c r="G102" s="467"/>
      <c r="H102" s="398"/>
      <c r="I102" s="452"/>
      <c r="J102" s="456"/>
      <c r="K102" s="457"/>
      <c r="L102" s="524">
        <f>Table2[[#This Row],[No. of Attendees
(A)]]*Table2[[#This Row],[Length of Session
(B)]]</f>
        <v>0</v>
      </c>
      <c r="M102" s="398"/>
      <c r="N102" s="398"/>
    </row>
    <row r="103" spans="2:14" x14ac:dyDescent="0.2">
      <c r="B103" s="454"/>
      <c r="C103" s="389"/>
      <c r="D103" s="455"/>
      <c r="E103" s="397"/>
      <c r="F103" s="456"/>
      <c r="G103" s="467"/>
      <c r="H103" s="398"/>
      <c r="I103" s="452"/>
      <c r="J103" s="456"/>
      <c r="K103" s="457"/>
      <c r="L103" s="524">
        <f>Table2[[#This Row],[No. of Attendees
(A)]]*Table2[[#This Row],[Length of Session
(B)]]</f>
        <v>0</v>
      </c>
      <c r="M103" s="398"/>
      <c r="N103" s="398"/>
    </row>
    <row r="104" spans="2:14" x14ac:dyDescent="0.2">
      <c r="B104" s="454"/>
      <c r="C104" s="389"/>
      <c r="D104" s="455"/>
      <c r="E104" s="397"/>
      <c r="F104" s="456"/>
      <c r="G104" s="467"/>
      <c r="H104" s="398"/>
      <c r="I104" s="452"/>
      <c r="J104" s="456"/>
      <c r="K104" s="457"/>
      <c r="L104" s="524">
        <f>Table2[[#This Row],[No. of Attendees
(A)]]*Table2[[#This Row],[Length of Session
(B)]]</f>
        <v>0</v>
      </c>
      <c r="M104" s="398"/>
      <c r="N104" s="398"/>
    </row>
    <row r="105" spans="2:14" x14ac:dyDescent="0.2">
      <c r="B105" s="454"/>
      <c r="C105" s="389"/>
      <c r="D105" s="455"/>
      <c r="E105" s="397"/>
      <c r="F105" s="456"/>
      <c r="G105" s="467"/>
      <c r="H105" s="398"/>
      <c r="I105" s="452"/>
      <c r="J105" s="456"/>
      <c r="K105" s="457"/>
      <c r="L105" s="524">
        <f>Table2[[#This Row],[No. of Attendees
(A)]]*Table2[[#This Row],[Length of Session
(B)]]</f>
        <v>0</v>
      </c>
      <c r="M105" s="398"/>
      <c r="N105" s="398"/>
    </row>
    <row r="106" spans="2:14" x14ac:dyDescent="0.2">
      <c r="B106" s="454"/>
      <c r="C106" s="389"/>
      <c r="D106" s="455"/>
      <c r="E106" s="397"/>
      <c r="F106" s="456"/>
      <c r="G106" s="467"/>
      <c r="H106" s="398"/>
      <c r="I106" s="452"/>
      <c r="J106" s="456"/>
      <c r="K106" s="457"/>
      <c r="L106" s="524">
        <f>Table2[[#This Row],[No. of Attendees
(A)]]*Table2[[#This Row],[Length of Session
(B)]]</f>
        <v>0</v>
      </c>
      <c r="M106" s="398"/>
      <c r="N106" s="398"/>
    </row>
    <row r="107" spans="2:14" x14ac:dyDescent="0.2">
      <c r="B107" s="454"/>
      <c r="C107" s="389"/>
      <c r="D107" s="455"/>
      <c r="E107" s="397"/>
      <c r="F107" s="456"/>
      <c r="G107" s="467"/>
      <c r="H107" s="398"/>
      <c r="I107" s="452"/>
      <c r="J107" s="456"/>
      <c r="K107" s="457"/>
      <c r="L107" s="524">
        <f>Table2[[#This Row],[No. of Attendees
(A)]]*Table2[[#This Row],[Length of Session
(B)]]</f>
        <v>0</v>
      </c>
      <c r="M107" s="398"/>
      <c r="N107" s="398"/>
    </row>
    <row r="108" spans="2:14" x14ac:dyDescent="0.2">
      <c r="B108" s="454"/>
      <c r="C108" s="389"/>
      <c r="D108" s="455"/>
      <c r="E108" s="397"/>
      <c r="F108" s="456"/>
      <c r="G108" s="467"/>
      <c r="H108" s="398"/>
      <c r="I108" s="452"/>
      <c r="J108" s="456"/>
      <c r="K108" s="457"/>
      <c r="L108" s="524">
        <f>Table2[[#This Row],[No. of Attendees
(A)]]*Table2[[#This Row],[Length of Session
(B)]]</f>
        <v>0</v>
      </c>
      <c r="M108" s="398"/>
      <c r="N108" s="398"/>
    </row>
    <row r="109" spans="2:14" x14ac:dyDescent="0.2">
      <c r="B109" s="454"/>
      <c r="C109" s="389"/>
      <c r="D109" s="455"/>
      <c r="E109" s="397"/>
      <c r="F109" s="456"/>
      <c r="G109" s="467"/>
      <c r="H109" s="398"/>
      <c r="I109" s="452"/>
      <c r="J109" s="456"/>
      <c r="K109" s="457"/>
      <c r="L109" s="524">
        <f>Table2[[#This Row],[No. of Attendees
(A)]]*Table2[[#This Row],[Length of Session
(B)]]</f>
        <v>0</v>
      </c>
      <c r="M109" s="398"/>
      <c r="N109" s="398"/>
    </row>
    <row r="110" spans="2:14" x14ac:dyDescent="0.2">
      <c r="B110" s="454"/>
      <c r="C110" s="389"/>
      <c r="D110" s="455"/>
      <c r="E110" s="397"/>
      <c r="F110" s="456"/>
      <c r="G110" s="467"/>
      <c r="H110" s="398"/>
      <c r="I110" s="452"/>
      <c r="J110" s="456"/>
      <c r="K110" s="457"/>
      <c r="L110" s="524">
        <f>Table2[[#This Row],[No. of Attendees
(A)]]*Table2[[#This Row],[Length of Session
(B)]]</f>
        <v>0</v>
      </c>
      <c r="M110" s="398"/>
      <c r="N110" s="398"/>
    </row>
    <row r="111" spans="2:14" x14ac:dyDescent="0.2">
      <c r="B111" s="454"/>
      <c r="C111" s="389"/>
      <c r="D111" s="455"/>
      <c r="E111" s="397"/>
      <c r="F111" s="456"/>
      <c r="G111" s="467"/>
      <c r="H111" s="398"/>
      <c r="I111" s="452"/>
      <c r="J111" s="456"/>
      <c r="K111" s="457"/>
      <c r="L111" s="524">
        <f>Table2[[#This Row],[No. of Attendees
(A)]]*Table2[[#This Row],[Length of Session
(B)]]</f>
        <v>0</v>
      </c>
      <c r="M111" s="398"/>
      <c r="N111" s="398"/>
    </row>
    <row r="112" spans="2:14" x14ac:dyDescent="0.2">
      <c r="B112" s="454"/>
      <c r="C112" s="389"/>
      <c r="D112" s="455"/>
      <c r="E112" s="397"/>
      <c r="F112" s="456"/>
      <c r="G112" s="467"/>
      <c r="H112" s="398"/>
      <c r="I112" s="452"/>
      <c r="J112" s="456"/>
      <c r="K112" s="457"/>
      <c r="L112" s="524">
        <f>Table2[[#This Row],[No. of Attendees
(A)]]*Table2[[#This Row],[Length of Session
(B)]]</f>
        <v>0</v>
      </c>
      <c r="M112" s="398"/>
      <c r="N112" s="398"/>
    </row>
    <row r="113" spans="2:14" x14ac:dyDescent="0.2">
      <c r="B113" s="454"/>
      <c r="C113" s="389"/>
      <c r="D113" s="455"/>
      <c r="E113" s="397"/>
      <c r="F113" s="456"/>
      <c r="G113" s="467"/>
      <c r="H113" s="398"/>
      <c r="I113" s="452"/>
      <c r="J113" s="456"/>
      <c r="K113" s="457"/>
      <c r="L113" s="524">
        <f>Table2[[#This Row],[No. of Attendees
(A)]]*Table2[[#This Row],[Length of Session
(B)]]</f>
        <v>0</v>
      </c>
      <c r="M113" s="398"/>
      <c r="N113" s="398"/>
    </row>
    <row r="114" spans="2:14" x14ac:dyDescent="0.2">
      <c r="B114" s="454"/>
      <c r="C114" s="389"/>
      <c r="D114" s="455"/>
      <c r="E114" s="397"/>
      <c r="F114" s="456"/>
      <c r="G114" s="467"/>
      <c r="H114" s="398"/>
      <c r="I114" s="452"/>
      <c r="J114" s="456"/>
      <c r="K114" s="457"/>
      <c r="L114" s="524">
        <f>Table2[[#This Row],[No. of Attendees
(A)]]*Table2[[#This Row],[Length of Session
(B)]]</f>
        <v>0</v>
      </c>
      <c r="M114" s="398"/>
      <c r="N114" s="398"/>
    </row>
    <row r="115" spans="2:14" x14ac:dyDescent="0.2">
      <c r="B115" s="454"/>
      <c r="C115" s="389"/>
      <c r="D115" s="455"/>
      <c r="E115" s="397"/>
      <c r="F115" s="456"/>
      <c r="G115" s="467"/>
      <c r="H115" s="398"/>
      <c r="I115" s="452"/>
      <c r="J115" s="456"/>
      <c r="K115" s="457"/>
      <c r="L115" s="524">
        <f>Table2[[#This Row],[No. of Attendees
(A)]]*Table2[[#This Row],[Length of Session
(B)]]</f>
        <v>0</v>
      </c>
      <c r="M115" s="398"/>
      <c r="N115" s="398"/>
    </row>
    <row r="116" spans="2:14" x14ac:dyDescent="0.2">
      <c r="B116" s="454"/>
      <c r="C116" s="389"/>
      <c r="D116" s="455"/>
      <c r="E116" s="397"/>
      <c r="F116" s="456"/>
      <c r="G116" s="467"/>
      <c r="H116" s="398"/>
      <c r="I116" s="452"/>
      <c r="J116" s="456"/>
      <c r="K116" s="457"/>
      <c r="L116" s="524">
        <f>Table2[[#This Row],[No. of Attendees
(A)]]*Table2[[#This Row],[Length of Session
(B)]]</f>
        <v>0</v>
      </c>
      <c r="M116" s="398"/>
      <c r="N116" s="398"/>
    </row>
    <row r="117" spans="2:14" x14ac:dyDescent="0.2">
      <c r="B117" s="454"/>
      <c r="C117" s="389"/>
      <c r="D117" s="455"/>
      <c r="E117" s="397"/>
      <c r="F117" s="456"/>
      <c r="G117" s="467"/>
      <c r="H117" s="398"/>
      <c r="I117" s="452"/>
      <c r="J117" s="456"/>
      <c r="K117" s="457"/>
      <c r="L117" s="524">
        <f>Table2[[#This Row],[No. of Attendees
(A)]]*Table2[[#This Row],[Length of Session
(B)]]</f>
        <v>0</v>
      </c>
      <c r="M117" s="398"/>
      <c r="N117" s="398"/>
    </row>
    <row r="118" spans="2:14" x14ac:dyDescent="0.2">
      <c r="B118" s="454"/>
      <c r="C118" s="389"/>
      <c r="D118" s="455"/>
      <c r="E118" s="397"/>
      <c r="F118" s="456"/>
      <c r="G118" s="467"/>
      <c r="H118" s="398"/>
      <c r="I118" s="452"/>
      <c r="J118" s="456"/>
      <c r="K118" s="457"/>
      <c r="L118" s="524">
        <f>Table2[[#This Row],[No. of Attendees
(A)]]*Table2[[#This Row],[Length of Session
(B)]]</f>
        <v>0</v>
      </c>
      <c r="M118" s="398"/>
      <c r="N118" s="398"/>
    </row>
    <row r="119" spans="2:14" x14ac:dyDescent="0.2">
      <c r="B119" s="454"/>
      <c r="C119" s="389"/>
      <c r="D119" s="455"/>
      <c r="E119" s="397"/>
      <c r="F119" s="456"/>
      <c r="G119" s="467"/>
      <c r="H119" s="398"/>
      <c r="I119" s="452"/>
      <c r="J119" s="456"/>
      <c r="K119" s="457"/>
      <c r="L119" s="524">
        <f>Table2[[#This Row],[No. of Attendees
(A)]]*Table2[[#This Row],[Length of Session
(B)]]</f>
        <v>0</v>
      </c>
      <c r="M119" s="398"/>
      <c r="N119" s="398"/>
    </row>
    <row r="120" spans="2:14" x14ac:dyDescent="0.2">
      <c r="B120" s="454"/>
      <c r="C120" s="389"/>
      <c r="D120" s="455"/>
      <c r="E120" s="397"/>
      <c r="F120" s="456"/>
      <c r="G120" s="467"/>
      <c r="H120" s="398"/>
      <c r="I120" s="452"/>
      <c r="J120" s="456"/>
      <c r="K120" s="457"/>
      <c r="L120" s="524"/>
      <c r="M120" s="398"/>
      <c r="N120" s="398"/>
    </row>
    <row r="121" spans="2:14" x14ac:dyDescent="0.2">
      <c r="B121" s="454"/>
      <c r="C121" s="389"/>
      <c r="D121" s="455"/>
      <c r="E121" s="397"/>
      <c r="F121" s="456"/>
      <c r="G121" s="467"/>
      <c r="H121" s="398"/>
      <c r="I121" s="452"/>
      <c r="J121" s="456"/>
      <c r="K121" s="457"/>
      <c r="L121" s="524"/>
      <c r="M121" s="398"/>
      <c r="N121" s="398"/>
    </row>
    <row r="122" spans="2:14" x14ac:dyDescent="0.2">
      <c r="B122" s="454"/>
      <c r="C122" s="389"/>
      <c r="D122" s="455"/>
      <c r="E122" s="397"/>
      <c r="F122" s="456"/>
      <c r="G122" s="467"/>
      <c r="H122" s="398"/>
      <c r="I122" s="452"/>
      <c r="J122" s="456"/>
      <c r="K122" s="457"/>
      <c r="L122" s="524"/>
      <c r="M122" s="398"/>
      <c r="N122" s="398"/>
    </row>
    <row r="123" spans="2:14" x14ac:dyDescent="0.2">
      <c r="B123" s="454"/>
      <c r="C123" s="389"/>
      <c r="D123" s="455"/>
      <c r="E123" s="397"/>
      <c r="F123" s="456"/>
      <c r="G123" s="467"/>
      <c r="H123" s="398"/>
      <c r="I123" s="452"/>
      <c r="J123" s="456"/>
      <c r="K123" s="457"/>
      <c r="L123" s="524"/>
      <c r="M123" s="398"/>
      <c r="N123" s="398"/>
    </row>
    <row r="124" spans="2:14" x14ac:dyDescent="0.2">
      <c r="B124" s="454"/>
      <c r="C124" s="389"/>
      <c r="D124" s="455"/>
      <c r="E124" s="397"/>
      <c r="F124" s="456"/>
      <c r="G124" s="467"/>
      <c r="H124" s="398"/>
      <c r="I124" s="452"/>
      <c r="J124" s="456"/>
      <c r="K124" s="457"/>
      <c r="L124" s="524"/>
      <c r="M124" s="398"/>
      <c r="N124" s="398"/>
    </row>
    <row r="125" spans="2:14" x14ac:dyDescent="0.2">
      <c r="B125" s="454"/>
      <c r="C125" s="389"/>
      <c r="D125" s="455"/>
      <c r="E125" s="397"/>
      <c r="F125" s="456"/>
      <c r="G125" s="467"/>
      <c r="H125" s="398"/>
      <c r="I125" s="452"/>
      <c r="J125" s="456"/>
      <c r="K125" s="457"/>
      <c r="L125" s="524"/>
      <c r="M125" s="398"/>
      <c r="N125" s="398"/>
    </row>
    <row r="126" spans="2:14" x14ac:dyDescent="0.2">
      <c r="B126" s="454"/>
      <c r="C126" s="389"/>
      <c r="D126" s="455"/>
      <c r="E126" s="397"/>
      <c r="F126" s="456"/>
      <c r="G126" s="467"/>
      <c r="H126" s="398"/>
      <c r="I126" s="452"/>
      <c r="J126" s="456"/>
      <c r="K126" s="457"/>
      <c r="L126" s="524"/>
      <c r="M126" s="398"/>
      <c r="N126" s="398"/>
    </row>
    <row r="127" spans="2:14" x14ac:dyDescent="0.2">
      <c r="B127" s="454"/>
      <c r="C127" s="389"/>
      <c r="D127" s="455"/>
      <c r="E127" s="397"/>
      <c r="F127" s="456"/>
      <c r="G127" s="467"/>
      <c r="H127" s="398"/>
      <c r="I127" s="452"/>
      <c r="J127" s="456"/>
      <c r="K127" s="457"/>
      <c r="L127" s="524"/>
      <c r="M127" s="398"/>
      <c r="N127" s="398"/>
    </row>
    <row r="128" spans="2:14" x14ac:dyDescent="0.2">
      <c r="B128" s="454"/>
      <c r="C128" s="389"/>
      <c r="D128" s="455"/>
      <c r="E128" s="397"/>
      <c r="F128" s="456"/>
      <c r="G128" s="467"/>
      <c r="H128" s="398"/>
      <c r="I128" s="452"/>
      <c r="J128" s="456"/>
      <c r="K128" s="457"/>
      <c r="L128" s="524"/>
      <c r="M128" s="398"/>
      <c r="N128" s="398"/>
    </row>
    <row r="129" spans="2:14" x14ac:dyDescent="0.2">
      <c r="B129" s="454"/>
      <c r="C129" s="389"/>
      <c r="D129" s="455"/>
      <c r="E129" s="397"/>
      <c r="F129" s="456"/>
      <c r="G129" s="467"/>
      <c r="H129" s="398"/>
      <c r="I129" s="452"/>
      <c r="J129" s="456"/>
      <c r="K129" s="457"/>
      <c r="L129" s="524"/>
      <c r="M129" s="398"/>
      <c r="N129" s="398"/>
    </row>
    <row r="130" spans="2:14" x14ac:dyDescent="0.2">
      <c r="B130" s="454"/>
      <c r="C130" s="389"/>
      <c r="D130" s="455"/>
      <c r="E130" s="397"/>
      <c r="F130" s="456"/>
      <c r="G130" s="467"/>
      <c r="H130" s="398"/>
      <c r="I130" s="452"/>
      <c r="J130" s="456"/>
      <c r="K130" s="457"/>
      <c r="L130" s="524"/>
      <c r="M130" s="398"/>
      <c r="N130" s="398"/>
    </row>
    <row r="131" spans="2:14" x14ac:dyDescent="0.2">
      <c r="B131" s="454"/>
      <c r="C131" s="389"/>
      <c r="D131" s="455"/>
      <c r="E131" s="397"/>
      <c r="F131" s="456"/>
      <c r="G131" s="467"/>
      <c r="H131" s="398"/>
      <c r="I131" s="452"/>
      <c r="J131" s="456"/>
      <c r="K131" s="457"/>
      <c r="L131" s="524"/>
      <c r="M131" s="398"/>
      <c r="N131" s="398"/>
    </row>
    <row r="132" spans="2:14" x14ac:dyDescent="0.2">
      <c r="B132" s="454"/>
      <c r="C132" s="389"/>
      <c r="D132" s="455"/>
      <c r="E132" s="397"/>
      <c r="F132" s="456"/>
      <c r="G132" s="467"/>
      <c r="H132" s="398"/>
      <c r="I132" s="452"/>
      <c r="J132" s="456"/>
      <c r="K132" s="457"/>
      <c r="L132" s="524"/>
      <c r="M132" s="398"/>
      <c r="N132" s="398"/>
    </row>
    <row r="133" spans="2:14" x14ac:dyDescent="0.2">
      <c r="B133" s="454"/>
      <c r="C133" s="389"/>
      <c r="D133" s="455"/>
      <c r="E133" s="397"/>
      <c r="F133" s="456"/>
      <c r="G133" s="467"/>
      <c r="H133" s="398"/>
      <c r="I133" s="452"/>
      <c r="J133" s="456"/>
      <c r="K133" s="457"/>
      <c r="L133" s="524"/>
      <c r="M133" s="398"/>
      <c r="N133" s="398"/>
    </row>
    <row r="134" spans="2:14" x14ac:dyDescent="0.2">
      <c r="B134" s="454"/>
      <c r="C134" s="389"/>
      <c r="D134" s="455"/>
      <c r="E134" s="397"/>
      <c r="F134" s="456"/>
      <c r="G134" s="467"/>
      <c r="H134" s="398"/>
      <c r="I134" s="452"/>
      <c r="J134" s="456"/>
      <c r="K134" s="457"/>
      <c r="L134" s="524"/>
      <c r="M134" s="398"/>
      <c r="N134" s="398"/>
    </row>
    <row r="135" spans="2:14" x14ac:dyDescent="0.2">
      <c r="B135" s="454"/>
      <c r="C135" s="389"/>
      <c r="D135" s="455"/>
      <c r="E135" s="397"/>
      <c r="F135" s="456"/>
      <c r="G135" s="467"/>
      <c r="H135" s="398"/>
      <c r="I135" s="452"/>
      <c r="J135" s="456"/>
      <c r="K135" s="457"/>
      <c r="L135" s="524"/>
      <c r="M135" s="398"/>
      <c r="N135" s="398"/>
    </row>
    <row r="136" spans="2:14" ht="22.35" customHeight="1" x14ac:dyDescent="0.2">
      <c r="B136" s="454"/>
      <c r="C136" s="389"/>
      <c r="D136" s="455"/>
      <c r="E136" s="397"/>
      <c r="F136" s="456"/>
      <c r="G136" s="467"/>
      <c r="H136" s="398"/>
      <c r="I136" s="452"/>
      <c r="J136" s="456"/>
      <c r="K136" s="457"/>
      <c r="L136" s="524"/>
      <c r="M136" s="398"/>
      <c r="N136" s="398"/>
    </row>
    <row r="137" spans="2:14" ht="41.45" customHeight="1" x14ac:dyDescent="0.2">
      <c r="B137" s="454"/>
      <c r="C137" s="389"/>
      <c r="D137" s="455"/>
      <c r="E137" s="397"/>
      <c r="F137" s="456"/>
      <c r="G137" s="467"/>
      <c r="H137" s="398"/>
      <c r="I137" s="452"/>
      <c r="J137" s="456"/>
      <c r="K137" s="457"/>
      <c r="L137" s="524"/>
      <c r="M137" s="398"/>
      <c r="N137" s="398"/>
    </row>
    <row r="138" spans="2:14" x14ac:dyDescent="0.2">
      <c r="B138" s="454"/>
      <c r="C138" s="389"/>
      <c r="D138" s="455"/>
      <c r="E138" s="397"/>
      <c r="F138" s="456"/>
      <c r="G138" s="467"/>
      <c r="H138" s="398"/>
      <c r="I138" s="452"/>
      <c r="J138" s="456"/>
      <c r="K138" s="457"/>
      <c r="L138" s="524"/>
      <c r="M138" s="398"/>
      <c r="N138" s="398"/>
    </row>
    <row r="139" spans="2:14" x14ac:dyDescent="0.2">
      <c r="B139" s="454"/>
      <c r="C139" s="389"/>
      <c r="D139" s="455"/>
      <c r="E139" s="397"/>
      <c r="F139" s="456"/>
      <c r="G139" s="467"/>
      <c r="H139" s="398"/>
      <c r="I139" s="452"/>
      <c r="J139" s="456"/>
      <c r="K139" s="457"/>
      <c r="L139" s="524"/>
      <c r="M139" s="398"/>
      <c r="N139" s="398"/>
    </row>
    <row r="140" spans="2:14" x14ac:dyDescent="0.2">
      <c r="B140" s="454"/>
      <c r="C140" s="389"/>
      <c r="D140" s="455"/>
      <c r="E140" s="397"/>
      <c r="F140" s="456"/>
      <c r="G140" s="467"/>
      <c r="H140" s="398"/>
      <c r="I140" s="452"/>
      <c r="J140" s="456"/>
      <c r="K140" s="457"/>
      <c r="L140" s="524"/>
      <c r="M140" s="398"/>
      <c r="N140" s="398"/>
    </row>
    <row r="141" spans="2:14" x14ac:dyDescent="0.2">
      <c r="B141" s="454"/>
      <c r="C141" s="389"/>
      <c r="D141" s="455"/>
      <c r="E141" s="397"/>
      <c r="F141" s="456"/>
      <c r="G141" s="467"/>
      <c r="H141" s="399"/>
      <c r="I141" s="452"/>
      <c r="J141" s="456"/>
      <c r="K141" s="457"/>
      <c r="L141" s="524"/>
      <c r="M141" s="398"/>
      <c r="N141" s="398"/>
    </row>
    <row r="142" spans="2:14" x14ac:dyDescent="0.2">
      <c r="B142" s="454"/>
      <c r="C142" s="389"/>
      <c r="D142" s="455"/>
      <c r="E142" s="397"/>
      <c r="F142" s="456"/>
      <c r="G142" s="467"/>
      <c r="H142" s="398"/>
      <c r="I142" s="452"/>
      <c r="J142" s="456"/>
      <c r="K142" s="457"/>
      <c r="L142" s="524"/>
      <c r="M142" s="398"/>
      <c r="N142" s="398"/>
    </row>
    <row r="143" spans="2:14" x14ac:dyDescent="0.2">
      <c r="B143" s="454"/>
      <c r="C143" s="389"/>
      <c r="D143" s="455"/>
      <c r="E143" s="397"/>
      <c r="F143" s="456"/>
      <c r="G143" s="467"/>
      <c r="H143" s="398"/>
      <c r="I143" s="452"/>
      <c r="J143" s="456"/>
      <c r="K143" s="457"/>
      <c r="L143" s="524"/>
      <c r="M143" s="398"/>
      <c r="N143" s="398"/>
    </row>
    <row r="144" spans="2:14" x14ac:dyDescent="0.2">
      <c r="B144" s="454"/>
      <c r="C144" s="389"/>
      <c r="D144" s="455"/>
      <c r="E144" s="397"/>
      <c r="F144" s="456"/>
      <c r="G144" s="467"/>
      <c r="H144" s="398"/>
      <c r="I144" s="452"/>
      <c r="J144" s="456"/>
      <c r="K144" s="457"/>
      <c r="L144" s="524"/>
      <c r="M144" s="398"/>
      <c r="N144" s="398"/>
    </row>
    <row r="145" spans="2:14" x14ac:dyDescent="0.2">
      <c r="B145" s="454"/>
      <c r="C145" s="389"/>
      <c r="D145" s="455"/>
      <c r="E145" s="397"/>
      <c r="F145" s="456"/>
      <c r="G145" s="467"/>
      <c r="H145" s="398"/>
      <c r="I145" s="452"/>
      <c r="J145" s="456"/>
      <c r="K145" s="457"/>
      <c r="L145" s="524"/>
      <c r="M145" s="398"/>
      <c r="N145" s="398"/>
    </row>
    <row r="146" spans="2:14" x14ac:dyDescent="0.2">
      <c r="B146" s="454"/>
      <c r="C146" s="389"/>
      <c r="D146" s="455"/>
      <c r="E146" s="397"/>
      <c r="F146" s="456"/>
      <c r="G146" s="467"/>
      <c r="H146" s="398"/>
      <c r="I146" s="452"/>
      <c r="J146" s="456"/>
      <c r="K146" s="457"/>
      <c r="L146" s="524"/>
      <c r="M146" s="398"/>
      <c r="N146" s="398"/>
    </row>
    <row r="147" spans="2:14" x14ac:dyDescent="0.2">
      <c r="B147" s="454"/>
      <c r="C147" s="389"/>
      <c r="D147" s="455"/>
      <c r="E147" s="397"/>
      <c r="F147" s="456"/>
      <c r="G147" s="467"/>
      <c r="H147" s="398"/>
      <c r="I147" s="452"/>
      <c r="J147" s="456"/>
      <c r="K147" s="457"/>
      <c r="L147" s="524"/>
      <c r="M147" s="398"/>
      <c r="N147" s="398"/>
    </row>
    <row r="148" spans="2:14" x14ac:dyDescent="0.2">
      <c r="B148" s="454"/>
      <c r="C148" s="389"/>
      <c r="D148" s="455"/>
      <c r="E148" s="397"/>
      <c r="F148" s="456"/>
      <c r="G148" s="467"/>
      <c r="H148" s="398"/>
      <c r="I148" s="452"/>
      <c r="J148" s="456"/>
      <c r="K148" s="457"/>
      <c r="L148" s="524"/>
      <c r="M148" s="398"/>
      <c r="N148" s="398"/>
    </row>
    <row r="149" spans="2:14" x14ac:dyDescent="0.2">
      <c r="B149" s="454"/>
      <c r="C149" s="389"/>
      <c r="D149" s="455"/>
      <c r="E149" s="397"/>
      <c r="F149" s="456"/>
      <c r="G149" s="467"/>
      <c r="H149" s="398"/>
      <c r="I149" s="452"/>
      <c r="J149" s="456"/>
      <c r="K149" s="457"/>
      <c r="L149" s="524"/>
      <c r="M149" s="398"/>
      <c r="N149" s="398"/>
    </row>
    <row r="150" spans="2:14" x14ac:dyDescent="0.2">
      <c r="B150" s="454"/>
      <c r="C150" s="389"/>
      <c r="D150" s="455"/>
      <c r="E150" s="397"/>
      <c r="F150" s="456"/>
      <c r="G150" s="467"/>
      <c r="H150" s="398"/>
      <c r="I150" s="452"/>
      <c r="J150" s="456"/>
      <c r="K150" s="457"/>
      <c r="L150" s="524"/>
      <c r="M150" s="398"/>
      <c r="N150" s="398"/>
    </row>
    <row r="151" spans="2:14" x14ac:dyDescent="0.2">
      <c r="B151" s="454"/>
      <c r="C151" s="389"/>
      <c r="D151" s="455"/>
      <c r="E151" s="397"/>
      <c r="F151" s="456"/>
      <c r="G151" s="467"/>
      <c r="H151" s="398"/>
      <c r="I151" s="452"/>
      <c r="J151" s="456"/>
      <c r="K151" s="457"/>
      <c r="L151" s="524"/>
      <c r="M151" s="398"/>
      <c r="N151" s="398"/>
    </row>
    <row r="152" spans="2:14" x14ac:dyDescent="0.2">
      <c r="B152" s="454"/>
      <c r="C152" s="389"/>
      <c r="D152" s="455"/>
      <c r="E152" s="397"/>
      <c r="F152" s="456"/>
      <c r="G152" s="467"/>
      <c r="H152" s="398"/>
      <c r="I152" s="452"/>
      <c r="J152" s="456"/>
      <c r="K152" s="457"/>
      <c r="L152" s="524"/>
      <c r="M152" s="398"/>
      <c r="N152" s="398"/>
    </row>
    <row r="153" spans="2:14" x14ac:dyDescent="0.2">
      <c r="B153" s="454"/>
      <c r="C153" s="389"/>
      <c r="D153" s="455"/>
      <c r="E153" s="397"/>
      <c r="F153" s="456"/>
      <c r="G153" s="467"/>
      <c r="H153" s="398"/>
      <c r="I153" s="452"/>
      <c r="J153" s="456"/>
      <c r="K153" s="457"/>
      <c r="L153" s="524"/>
      <c r="M153" s="398"/>
      <c r="N153" s="398"/>
    </row>
    <row r="154" spans="2:14" x14ac:dyDescent="0.2">
      <c r="B154" s="454"/>
      <c r="C154" s="389"/>
      <c r="D154" s="455"/>
      <c r="E154" s="397"/>
      <c r="F154" s="456"/>
      <c r="G154" s="467"/>
      <c r="H154" s="398"/>
      <c r="I154" s="452"/>
      <c r="J154" s="456"/>
      <c r="K154" s="457"/>
      <c r="L154" s="524"/>
      <c r="M154" s="398"/>
      <c r="N154" s="398"/>
    </row>
    <row r="155" spans="2:14" x14ac:dyDescent="0.2">
      <c r="B155" s="454"/>
      <c r="C155" s="389"/>
      <c r="D155" s="455"/>
      <c r="E155" s="397"/>
      <c r="F155" s="456"/>
      <c r="G155" s="467"/>
      <c r="H155" s="398"/>
      <c r="I155" s="452"/>
      <c r="J155" s="456"/>
      <c r="K155" s="457"/>
      <c r="L155" s="524"/>
      <c r="M155" s="398"/>
      <c r="N155" s="398"/>
    </row>
    <row r="156" spans="2:14" x14ac:dyDescent="0.2">
      <c r="B156" s="454"/>
      <c r="C156" s="389"/>
      <c r="D156" s="455"/>
      <c r="E156" s="397"/>
      <c r="F156" s="456"/>
      <c r="G156" s="467"/>
      <c r="H156" s="398"/>
      <c r="I156" s="452"/>
      <c r="J156" s="456"/>
      <c r="K156" s="457"/>
      <c r="L156" s="524"/>
      <c r="M156" s="398"/>
      <c r="N156" s="398"/>
    </row>
    <row r="157" spans="2:14" x14ac:dyDescent="0.2">
      <c r="B157" s="454"/>
      <c r="C157" s="389"/>
      <c r="D157" s="455"/>
      <c r="E157" s="397"/>
      <c r="F157" s="456"/>
      <c r="G157" s="467"/>
      <c r="H157" s="398"/>
      <c r="I157" s="452"/>
      <c r="J157" s="456"/>
      <c r="K157" s="457"/>
      <c r="L157" s="524"/>
      <c r="M157" s="398"/>
      <c r="N157" s="398"/>
    </row>
    <row r="158" spans="2:14" x14ac:dyDescent="0.2">
      <c r="B158" s="454"/>
      <c r="C158" s="389"/>
      <c r="D158" s="455"/>
      <c r="E158" s="397"/>
      <c r="F158" s="456"/>
      <c r="G158" s="467"/>
      <c r="H158" s="398"/>
      <c r="I158" s="452"/>
      <c r="J158" s="456"/>
      <c r="K158" s="457"/>
      <c r="L158" s="524"/>
      <c r="M158" s="398"/>
      <c r="N158" s="398"/>
    </row>
    <row r="159" spans="2:14" x14ac:dyDescent="0.2">
      <c r="B159" s="454"/>
      <c r="C159" s="389"/>
      <c r="D159" s="455"/>
      <c r="E159" s="397"/>
      <c r="F159" s="456"/>
      <c r="G159" s="467"/>
      <c r="H159" s="398"/>
      <c r="I159" s="452"/>
      <c r="J159" s="456"/>
      <c r="K159" s="457"/>
      <c r="L159" s="524"/>
      <c r="M159" s="398"/>
      <c r="N159" s="398"/>
    </row>
    <row r="160" spans="2:14" x14ac:dyDescent="0.2">
      <c r="B160" s="454"/>
      <c r="C160" s="389"/>
      <c r="D160" s="455"/>
      <c r="E160" s="397"/>
      <c r="F160" s="456"/>
      <c r="G160" s="467"/>
      <c r="H160" s="398"/>
      <c r="I160" s="452"/>
      <c r="J160" s="456"/>
      <c r="K160" s="457"/>
      <c r="L160" s="524"/>
      <c r="M160" s="398"/>
      <c r="N160" s="398"/>
    </row>
    <row r="161" spans="2:14" x14ac:dyDescent="0.2">
      <c r="B161" s="454"/>
      <c r="C161" s="389"/>
      <c r="D161" s="455"/>
      <c r="E161" s="397"/>
      <c r="F161" s="456"/>
      <c r="G161" s="467"/>
      <c r="H161" s="398"/>
      <c r="I161" s="452"/>
      <c r="J161" s="456"/>
      <c r="K161" s="457"/>
      <c r="L161" s="524"/>
      <c r="M161" s="398"/>
      <c r="N161" s="398"/>
    </row>
    <row r="162" spans="2:14" x14ac:dyDescent="0.2">
      <c r="B162" s="454"/>
      <c r="C162" s="389"/>
      <c r="D162" s="455"/>
      <c r="E162" s="397"/>
      <c r="F162" s="456"/>
      <c r="G162" s="467"/>
      <c r="H162" s="398"/>
      <c r="I162" s="452"/>
      <c r="J162" s="456"/>
      <c r="K162" s="457"/>
      <c r="L162" s="524"/>
      <c r="M162" s="398"/>
      <c r="N162" s="398"/>
    </row>
    <row r="163" spans="2:14" x14ac:dyDescent="0.2">
      <c r="B163" s="454"/>
      <c r="C163" s="389"/>
      <c r="D163" s="455"/>
      <c r="E163" s="397"/>
      <c r="F163" s="456"/>
      <c r="G163" s="467"/>
      <c r="H163" s="398"/>
      <c r="I163" s="452"/>
      <c r="J163" s="456"/>
      <c r="K163" s="457"/>
      <c r="L163" s="524"/>
      <c r="M163" s="398"/>
      <c r="N163" s="398"/>
    </row>
    <row r="164" spans="2:14" x14ac:dyDescent="0.2">
      <c r="B164" s="454"/>
      <c r="C164" s="389"/>
      <c r="D164" s="455"/>
      <c r="E164" s="397"/>
      <c r="F164" s="456"/>
      <c r="G164" s="467"/>
      <c r="H164" s="398"/>
      <c r="I164" s="452"/>
      <c r="J164" s="456"/>
      <c r="K164" s="457"/>
      <c r="L164" s="524"/>
      <c r="M164" s="398"/>
      <c r="N164" s="398"/>
    </row>
    <row r="165" spans="2:14" x14ac:dyDescent="0.2">
      <c r="B165" s="454"/>
      <c r="C165" s="389"/>
      <c r="D165" s="455"/>
      <c r="E165" s="397"/>
      <c r="F165" s="456"/>
      <c r="G165" s="467"/>
      <c r="H165" s="398"/>
      <c r="I165" s="452"/>
      <c r="J165" s="456"/>
      <c r="K165" s="457"/>
      <c r="L165" s="524"/>
      <c r="M165" s="398"/>
      <c r="N165" s="398"/>
    </row>
    <row r="166" spans="2:14" x14ac:dyDescent="0.2">
      <c r="B166" s="454"/>
      <c r="C166" s="389"/>
      <c r="D166" s="455"/>
      <c r="E166" s="397"/>
      <c r="F166" s="456"/>
      <c r="G166" s="467"/>
      <c r="H166" s="398"/>
      <c r="I166" s="452"/>
      <c r="J166" s="456"/>
      <c r="K166" s="456"/>
      <c r="L166" s="524"/>
      <c r="M166" s="398"/>
      <c r="N166" s="398"/>
    </row>
    <row r="167" spans="2:14" x14ac:dyDescent="0.2">
      <c r="B167" s="454"/>
      <c r="C167" s="389"/>
      <c r="D167" s="455"/>
      <c r="E167" s="397"/>
      <c r="F167" s="456"/>
      <c r="G167" s="467"/>
      <c r="H167" s="398"/>
      <c r="I167" s="452"/>
      <c r="J167" s="456"/>
      <c r="K167" s="457"/>
      <c r="L167" s="524"/>
      <c r="M167" s="398"/>
      <c r="N167" s="398"/>
    </row>
    <row r="168" spans="2:14" x14ac:dyDescent="0.2">
      <c r="B168" s="454"/>
      <c r="C168" s="389"/>
      <c r="D168" s="455"/>
      <c r="E168" s="397"/>
      <c r="F168" s="456"/>
      <c r="G168" s="467"/>
      <c r="H168" s="398"/>
      <c r="I168" s="452"/>
      <c r="J168" s="456"/>
      <c r="K168" s="457"/>
      <c r="L168" s="524"/>
      <c r="M168" s="398"/>
      <c r="N168" s="398"/>
    </row>
    <row r="169" spans="2:14" x14ac:dyDescent="0.2">
      <c r="B169" s="454"/>
      <c r="C169" s="389"/>
      <c r="D169" s="455"/>
      <c r="E169" s="397"/>
      <c r="F169" s="456"/>
      <c r="G169" s="467"/>
      <c r="H169" s="398"/>
      <c r="I169" s="452"/>
      <c r="J169" s="456"/>
      <c r="K169" s="457"/>
      <c r="L169" s="524"/>
      <c r="M169" s="398"/>
      <c r="N169" s="398"/>
    </row>
    <row r="170" spans="2:14" x14ac:dyDescent="0.2">
      <c r="B170" s="454"/>
      <c r="C170" s="389"/>
      <c r="D170" s="455"/>
      <c r="E170" s="397"/>
      <c r="F170" s="456"/>
      <c r="G170" s="467"/>
      <c r="H170" s="398"/>
      <c r="I170" s="452"/>
      <c r="J170" s="456"/>
      <c r="K170" s="457"/>
      <c r="L170" s="524"/>
      <c r="M170" s="398"/>
      <c r="N170" s="398"/>
    </row>
    <row r="171" spans="2:14" x14ac:dyDescent="0.2">
      <c r="B171" s="454"/>
      <c r="C171" s="389"/>
      <c r="D171" s="455"/>
      <c r="E171" s="397"/>
      <c r="F171" s="456"/>
      <c r="G171" s="467"/>
      <c r="H171" s="398"/>
      <c r="I171" s="452"/>
      <c r="J171" s="456"/>
      <c r="K171" s="457"/>
      <c r="L171" s="524"/>
      <c r="M171" s="398"/>
      <c r="N171" s="398"/>
    </row>
    <row r="172" spans="2:14" x14ac:dyDescent="0.2">
      <c r="B172" s="454"/>
      <c r="C172" s="389"/>
      <c r="D172" s="455"/>
      <c r="E172" s="397"/>
      <c r="F172" s="456"/>
      <c r="G172" s="467"/>
      <c r="H172" s="398"/>
      <c r="I172" s="452"/>
      <c r="J172" s="456"/>
      <c r="K172" s="457"/>
      <c r="L172" s="524"/>
      <c r="M172" s="398"/>
      <c r="N172" s="398"/>
    </row>
    <row r="173" spans="2:14" x14ac:dyDescent="0.2">
      <c r="B173" s="454"/>
      <c r="C173" s="389"/>
      <c r="D173" s="455"/>
      <c r="E173" s="397"/>
      <c r="F173" s="456"/>
      <c r="G173" s="467"/>
      <c r="H173" s="398"/>
      <c r="I173" s="452"/>
      <c r="J173" s="456"/>
      <c r="K173" s="457"/>
      <c r="L173" s="524"/>
      <c r="M173" s="398"/>
      <c r="N173" s="398"/>
    </row>
    <row r="174" spans="2:14" x14ac:dyDescent="0.2">
      <c r="B174" s="454"/>
      <c r="C174" s="389"/>
      <c r="D174" s="455"/>
      <c r="E174" s="397"/>
      <c r="F174" s="456"/>
      <c r="G174" s="468"/>
      <c r="H174" s="398"/>
      <c r="I174" s="452"/>
      <c r="J174" s="456"/>
      <c r="K174" s="457"/>
      <c r="L174" s="524"/>
      <c r="M174" s="398"/>
      <c r="N174" s="398"/>
    </row>
    <row r="175" spans="2:14" x14ac:dyDescent="0.2">
      <c r="B175" s="454"/>
      <c r="C175" s="389"/>
      <c r="D175" s="455"/>
      <c r="E175" s="397"/>
      <c r="F175" s="456"/>
      <c r="G175" s="467"/>
      <c r="H175" s="398"/>
      <c r="I175" s="452"/>
      <c r="J175" s="456"/>
      <c r="K175" s="457"/>
      <c r="L175" s="524"/>
      <c r="M175" s="398"/>
      <c r="N175" s="398"/>
    </row>
    <row r="176" spans="2:14" x14ac:dyDescent="0.2">
      <c r="B176" s="454"/>
      <c r="C176" s="389"/>
      <c r="D176" s="455"/>
      <c r="E176" s="397"/>
      <c r="F176" s="456"/>
      <c r="G176" s="467"/>
      <c r="H176" s="398"/>
      <c r="I176" s="452"/>
      <c r="J176" s="456"/>
      <c r="K176" s="457"/>
      <c r="L176" s="524"/>
      <c r="M176" s="398"/>
      <c r="N176" s="398"/>
    </row>
    <row r="177" spans="2:14" x14ac:dyDescent="0.2">
      <c r="B177" s="454"/>
      <c r="C177" s="389"/>
      <c r="D177" s="455"/>
      <c r="E177" s="397"/>
      <c r="F177" s="456"/>
      <c r="G177" s="467"/>
      <c r="H177" s="398"/>
      <c r="I177" s="452"/>
      <c r="J177" s="456"/>
      <c r="K177" s="457"/>
      <c r="L177" s="524"/>
      <c r="M177" s="398"/>
      <c r="N177" s="398"/>
    </row>
    <row r="178" spans="2:14" x14ac:dyDescent="0.2">
      <c r="B178" s="454"/>
      <c r="C178" s="389"/>
      <c r="D178" s="455"/>
      <c r="E178" s="397"/>
      <c r="F178" s="456"/>
      <c r="G178" s="467"/>
      <c r="H178" s="398"/>
      <c r="I178" s="452"/>
      <c r="J178" s="456"/>
      <c r="K178" s="457"/>
      <c r="L178" s="524"/>
      <c r="M178" s="398"/>
      <c r="N178" s="398"/>
    </row>
    <row r="179" spans="2:14" x14ac:dyDescent="0.2">
      <c r="B179" s="454"/>
      <c r="C179" s="389"/>
      <c r="D179" s="455"/>
      <c r="E179" s="397"/>
      <c r="F179" s="456"/>
      <c r="G179" s="467"/>
      <c r="H179" s="398"/>
      <c r="I179" s="452"/>
      <c r="J179" s="456"/>
      <c r="K179" s="457"/>
      <c r="L179" s="524"/>
      <c r="M179" s="398"/>
      <c r="N179" s="398"/>
    </row>
    <row r="180" spans="2:14" x14ac:dyDescent="0.2">
      <c r="B180" s="454"/>
      <c r="C180" s="389"/>
      <c r="D180" s="455"/>
      <c r="E180" s="397"/>
      <c r="F180" s="456"/>
      <c r="G180" s="467"/>
      <c r="H180" s="398"/>
      <c r="I180" s="452"/>
      <c r="J180" s="456"/>
      <c r="K180" s="457"/>
      <c r="L180" s="524"/>
      <c r="M180" s="398"/>
      <c r="N180" s="398"/>
    </row>
    <row r="181" spans="2:14" x14ac:dyDescent="0.2">
      <c r="B181" s="454"/>
      <c r="C181" s="389"/>
      <c r="D181" s="455"/>
      <c r="E181" s="397"/>
      <c r="F181" s="456"/>
      <c r="G181" s="467"/>
      <c r="H181" s="398"/>
      <c r="I181" s="452"/>
      <c r="J181" s="456"/>
      <c r="K181" s="457"/>
      <c r="L181" s="524"/>
      <c r="M181" s="398"/>
      <c r="N181" s="398"/>
    </row>
    <row r="182" spans="2:14" x14ac:dyDescent="0.2">
      <c r="B182" s="454"/>
      <c r="C182" s="389"/>
      <c r="D182" s="455"/>
      <c r="E182" s="397"/>
      <c r="F182" s="456"/>
      <c r="G182" s="467"/>
      <c r="H182" s="398"/>
      <c r="I182" s="452"/>
      <c r="J182" s="456"/>
      <c r="K182" s="457"/>
      <c r="L182" s="524"/>
      <c r="M182" s="398"/>
      <c r="N182" s="398"/>
    </row>
    <row r="183" spans="2:14" x14ac:dyDescent="0.2">
      <c r="B183" s="454"/>
      <c r="C183" s="389"/>
      <c r="D183" s="455"/>
      <c r="E183" s="397"/>
      <c r="F183" s="456"/>
      <c r="G183" s="467"/>
      <c r="H183" s="398"/>
      <c r="I183" s="452"/>
      <c r="J183" s="456"/>
      <c r="K183" s="457"/>
      <c r="L183" s="524"/>
      <c r="M183" s="398"/>
      <c r="N183" s="398"/>
    </row>
    <row r="184" spans="2:14" x14ac:dyDescent="0.2">
      <c r="B184" s="454"/>
      <c r="C184" s="389"/>
      <c r="D184" s="455"/>
      <c r="E184" s="397"/>
      <c r="F184" s="456"/>
      <c r="G184" s="467"/>
      <c r="H184" s="398"/>
      <c r="I184" s="452"/>
      <c r="J184" s="456"/>
      <c r="K184" s="457"/>
      <c r="L184" s="524"/>
      <c r="M184" s="398"/>
      <c r="N184" s="398"/>
    </row>
    <row r="185" spans="2:14" x14ac:dyDescent="0.2">
      <c r="B185" s="454"/>
      <c r="C185" s="389"/>
      <c r="D185" s="455"/>
      <c r="E185" s="397"/>
      <c r="F185" s="456"/>
      <c r="G185" s="467"/>
      <c r="H185" s="398"/>
      <c r="I185" s="452"/>
      <c r="J185" s="456"/>
      <c r="K185" s="457"/>
      <c r="L185" s="524"/>
      <c r="M185" s="398"/>
      <c r="N185" s="398"/>
    </row>
    <row r="186" spans="2:14" x14ac:dyDescent="0.2">
      <c r="B186" s="454"/>
      <c r="C186" s="389"/>
      <c r="D186" s="455"/>
      <c r="E186" s="397"/>
      <c r="F186" s="456"/>
      <c r="G186" s="467"/>
      <c r="H186" s="398"/>
      <c r="I186" s="452"/>
      <c r="J186" s="456"/>
      <c r="K186" s="457"/>
      <c r="L186" s="524"/>
      <c r="M186" s="398"/>
      <c r="N186" s="398"/>
    </row>
    <row r="187" spans="2:14" x14ac:dyDescent="0.2">
      <c r="B187" s="454"/>
      <c r="C187" s="389"/>
      <c r="D187" s="455"/>
      <c r="E187" s="397"/>
      <c r="F187" s="456"/>
      <c r="G187" s="467"/>
      <c r="H187" s="398"/>
      <c r="I187" s="452"/>
      <c r="J187" s="456"/>
      <c r="K187" s="457"/>
      <c r="L187" s="524"/>
      <c r="M187" s="398"/>
      <c r="N187" s="398"/>
    </row>
    <row r="188" spans="2:14" x14ac:dyDescent="0.2">
      <c r="B188" s="454"/>
      <c r="C188" s="389"/>
      <c r="D188" s="455"/>
      <c r="E188" s="397"/>
      <c r="F188" s="456"/>
      <c r="G188" s="467"/>
      <c r="H188" s="398"/>
      <c r="I188" s="452"/>
      <c r="J188" s="456"/>
      <c r="K188" s="457"/>
      <c r="L188" s="524"/>
      <c r="M188" s="398"/>
      <c r="N188" s="398"/>
    </row>
    <row r="189" spans="2:14" x14ac:dyDescent="0.2">
      <c r="B189" s="454"/>
      <c r="C189" s="389"/>
      <c r="D189" s="455"/>
      <c r="E189" s="397"/>
      <c r="F189" s="456"/>
      <c r="G189" s="467"/>
      <c r="H189" s="398"/>
      <c r="I189" s="452"/>
      <c r="J189" s="456"/>
      <c r="K189" s="457"/>
      <c r="L189" s="524"/>
      <c r="M189" s="398"/>
      <c r="N189" s="398"/>
    </row>
    <row r="190" spans="2:14" x14ac:dyDescent="0.2">
      <c r="B190" s="454"/>
      <c r="C190" s="389"/>
      <c r="D190" s="455"/>
      <c r="E190" s="397"/>
      <c r="F190" s="456"/>
      <c r="G190" s="467"/>
      <c r="H190" s="398"/>
      <c r="I190" s="452"/>
      <c r="J190" s="456"/>
      <c r="K190" s="457"/>
      <c r="L190" s="524"/>
      <c r="M190" s="398"/>
      <c r="N190" s="398"/>
    </row>
    <row r="191" spans="2:14" x14ac:dyDescent="0.2">
      <c r="B191" s="454"/>
      <c r="C191" s="389"/>
      <c r="D191" s="455"/>
      <c r="E191" s="397"/>
      <c r="F191" s="456"/>
      <c r="G191" s="467"/>
      <c r="H191" s="398"/>
      <c r="I191" s="452"/>
      <c r="J191" s="456"/>
      <c r="K191" s="457"/>
      <c r="L191" s="524"/>
      <c r="M191" s="398"/>
      <c r="N191" s="398"/>
    </row>
    <row r="192" spans="2:14" x14ac:dyDescent="0.2">
      <c r="B192" s="454"/>
      <c r="C192" s="389"/>
      <c r="D192" s="455"/>
      <c r="E192" s="397"/>
      <c r="F192" s="456"/>
      <c r="G192" s="467"/>
      <c r="H192" s="398"/>
      <c r="I192" s="452"/>
      <c r="J192" s="456"/>
      <c r="K192" s="457"/>
      <c r="L192" s="524"/>
      <c r="M192" s="398"/>
      <c r="N192" s="398"/>
    </row>
    <row r="193" spans="2:14" x14ac:dyDescent="0.2">
      <c r="B193" s="454"/>
      <c r="C193" s="389"/>
      <c r="D193" s="455"/>
      <c r="E193" s="397"/>
      <c r="F193" s="456"/>
      <c r="G193" s="467"/>
      <c r="H193" s="398"/>
      <c r="I193" s="452"/>
      <c r="J193" s="456"/>
      <c r="K193" s="457"/>
      <c r="L193" s="524"/>
      <c r="M193" s="398"/>
      <c r="N193" s="398"/>
    </row>
    <row r="194" spans="2:14" x14ac:dyDescent="0.2">
      <c r="B194" s="454"/>
      <c r="C194" s="389"/>
      <c r="D194" s="455"/>
      <c r="E194" s="397"/>
      <c r="F194" s="456"/>
      <c r="G194" s="467"/>
      <c r="H194" s="398"/>
      <c r="I194" s="452"/>
      <c r="J194" s="456"/>
      <c r="K194" s="457"/>
      <c r="L194" s="524"/>
      <c r="M194" s="398"/>
      <c r="N194" s="398"/>
    </row>
    <row r="195" spans="2:14" x14ac:dyDescent="0.2">
      <c r="B195" s="454"/>
      <c r="C195" s="389"/>
      <c r="D195" s="455"/>
      <c r="E195" s="397"/>
      <c r="F195" s="456"/>
      <c r="G195" s="467"/>
      <c r="H195" s="398"/>
      <c r="I195" s="452"/>
      <c r="J195" s="456"/>
      <c r="K195" s="457"/>
      <c r="L195" s="524"/>
      <c r="M195" s="398"/>
      <c r="N195" s="398"/>
    </row>
    <row r="196" spans="2:14" x14ac:dyDescent="0.2">
      <c r="B196" s="454"/>
      <c r="C196" s="389"/>
      <c r="D196" s="455"/>
      <c r="E196" s="397"/>
      <c r="F196" s="456"/>
      <c r="G196" s="467"/>
      <c r="H196" s="398"/>
      <c r="I196" s="452"/>
      <c r="J196" s="456"/>
      <c r="K196" s="457"/>
      <c r="L196" s="524"/>
      <c r="M196" s="398"/>
      <c r="N196" s="398"/>
    </row>
    <row r="197" spans="2:14" x14ac:dyDescent="0.2">
      <c r="B197" s="454"/>
      <c r="C197" s="389"/>
      <c r="D197" s="455"/>
      <c r="E197" s="397"/>
      <c r="F197" s="456"/>
      <c r="G197" s="467"/>
      <c r="H197" s="398"/>
      <c r="I197" s="452"/>
      <c r="J197" s="456"/>
      <c r="K197" s="457"/>
      <c r="L197" s="524"/>
      <c r="M197" s="398"/>
      <c r="N197" s="398"/>
    </row>
    <row r="198" spans="2:14" x14ac:dyDescent="0.2">
      <c r="B198" s="454"/>
      <c r="C198" s="389"/>
      <c r="D198" s="455"/>
      <c r="E198" s="397"/>
      <c r="F198" s="456"/>
      <c r="G198" s="467"/>
      <c r="H198" s="398"/>
      <c r="I198" s="452"/>
      <c r="J198" s="456"/>
      <c r="K198" s="457"/>
      <c r="L198" s="524"/>
      <c r="M198" s="398"/>
      <c r="N198" s="398"/>
    </row>
    <row r="199" spans="2:14" x14ac:dyDescent="0.2">
      <c r="B199" s="454"/>
      <c r="C199" s="389"/>
      <c r="D199" s="455"/>
      <c r="E199" s="397"/>
      <c r="F199" s="456"/>
      <c r="G199" s="467"/>
      <c r="H199" s="398"/>
      <c r="I199" s="452"/>
      <c r="J199" s="456"/>
      <c r="K199" s="457"/>
      <c r="L199" s="524"/>
      <c r="M199" s="398"/>
      <c r="N199" s="398"/>
    </row>
    <row r="200" spans="2:14" x14ac:dyDescent="0.2">
      <c r="B200" s="454"/>
      <c r="C200" s="389"/>
      <c r="D200" s="455"/>
      <c r="E200" s="397"/>
      <c r="F200" s="456"/>
      <c r="G200" s="467"/>
      <c r="H200" s="398"/>
      <c r="I200" s="452"/>
      <c r="J200" s="456"/>
      <c r="K200" s="457"/>
      <c r="L200" s="524"/>
      <c r="M200" s="398"/>
      <c r="N200" s="398"/>
    </row>
    <row r="201" spans="2:14" x14ac:dyDescent="0.2">
      <c r="B201" s="454"/>
      <c r="C201" s="389"/>
      <c r="D201" s="455"/>
      <c r="E201" s="397"/>
      <c r="F201" s="456"/>
      <c r="G201" s="467"/>
      <c r="H201" s="398"/>
      <c r="I201" s="452"/>
      <c r="J201" s="456"/>
      <c r="K201" s="457"/>
      <c r="L201" s="524"/>
      <c r="M201" s="398"/>
      <c r="N201" s="398"/>
    </row>
    <row r="202" spans="2:14" x14ac:dyDescent="0.2">
      <c r="B202" s="454"/>
      <c r="C202" s="389"/>
      <c r="D202" s="455"/>
      <c r="E202" s="397"/>
      <c r="F202" s="456"/>
      <c r="G202" s="467"/>
      <c r="H202" s="398"/>
      <c r="I202" s="452"/>
      <c r="J202" s="456"/>
      <c r="K202" s="457"/>
      <c r="L202" s="524"/>
      <c r="M202" s="398"/>
      <c r="N202" s="398"/>
    </row>
    <row r="203" spans="2:14" x14ac:dyDescent="0.2">
      <c r="B203" s="454"/>
      <c r="C203" s="389"/>
      <c r="D203" s="455"/>
      <c r="E203" s="397"/>
      <c r="F203" s="456"/>
      <c r="G203" s="467"/>
      <c r="H203" s="398"/>
      <c r="I203" s="452"/>
      <c r="J203" s="456"/>
      <c r="K203" s="457"/>
      <c r="L203" s="524"/>
      <c r="M203" s="398"/>
      <c r="N203" s="398"/>
    </row>
    <row r="204" spans="2:14" x14ac:dyDescent="0.2">
      <c r="B204" s="454"/>
      <c r="C204" s="389"/>
      <c r="D204" s="455"/>
      <c r="E204" s="397"/>
      <c r="F204" s="456"/>
      <c r="G204" s="467"/>
      <c r="H204" s="398"/>
      <c r="I204" s="452"/>
      <c r="J204" s="456"/>
      <c r="K204" s="457"/>
      <c r="L204" s="524"/>
      <c r="M204" s="398"/>
      <c r="N204" s="398"/>
    </row>
    <row r="205" spans="2:14" x14ac:dyDescent="0.2">
      <c r="B205" s="454"/>
      <c r="C205" s="389"/>
      <c r="D205" s="455"/>
      <c r="E205" s="397"/>
      <c r="F205" s="456"/>
      <c r="G205" s="467"/>
      <c r="H205" s="398"/>
      <c r="I205" s="452"/>
      <c r="J205" s="456"/>
      <c r="K205" s="457"/>
      <c r="L205" s="524"/>
      <c r="M205" s="398"/>
      <c r="N205" s="398"/>
    </row>
    <row r="206" spans="2:14" x14ac:dyDescent="0.2">
      <c r="B206" s="454"/>
      <c r="C206" s="389"/>
      <c r="D206" s="455"/>
      <c r="E206" s="397"/>
      <c r="F206" s="456"/>
      <c r="G206" s="467"/>
      <c r="H206" s="398"/>
      <c r="I206" s="452"/>
      <c r="J206" s="456"/>
      <c r="K206" s="457"/>
      <c r="L206" s="524"/>
      <c r="M206" s="398"/>
      <c r="N206" s="398"/>
    </row>
    <row r="207" spans="2:14" x14ac:dyDescent="0.2">
      <c r="B207" s="454"/>
      <c r="C207" s="389"/>
      <c r="D207" s="455"/>
      <c r="E207" s="397"/>
      <c r="F207" s="456"/>
      <c r="G207" s="467"/>
      <c r="H207" s="398"/>
      <c r="I207" s="452"/>
      <c r="J207" s="456"/>
      <c r="K207" s="457"/>
      <c r="L207" s="524"/>
      <c r="M207" s="398"/>
      <c r="N207" s="398"/>
    </row>
    <row r="208" spans="2:14" x14ac:dyDescent="0.2">
      <c r="B208" s="454"/>
      <c r="C208" s="389"/>
      <c r="D208" s="455"/>
      <c r="E208" s="397"/>
      <c r="F208" s="456"/>
      <c r="G208" s="467"/>
      <c r="H208" s="398"/>
      <c r="I208" s="452"/>
      <c r="J208" s="456"/>
      <c r="K208" s="457"/>
      <c r="L208" s="524"/>
      <c r="M208" s="398"/>
      <c r="N208" s="398"/>
    </row>
    <row r="209" spans="2:14" x14ac:dyDescent="0.2">
      <c r="B209" s="454"/>
      <c r="C209" s="389"/>
      <c r="D209" s="455"/>
      <c r="E209" s="397"/>
      <c r="F209" s="456"/>
      <c r="G209" s="467"/>
      <c r="H209" s="398"/>
      <c r="I209" s="452"/>
      <c r="J209" s="456"/>
      <c r="K209" s="457"/>
      <c r="L209" s="524"/>
      <c r="M209" s="398"/>
      <c r="N209" s="398"/>
    </row>
    <row r="210" spans="2:14" x14ac:dyDescent="0.2">
      <c r="B210" s="454"/>
      <c r="C210" s="389"/>
      <c r="D210" s="455"/>
      <c r="E210" s="397"/>
      <c r="F210" s="456"/>
      <c r="G210" s="467"/>
      <c r="H210" s="398"/>
      <c r="I210" s="452"/>
      <c r="J210" s="456"/>
      <c r="K210" s="457"/>
      <c r="L210" s="524"/>
      <c r="M210" s="398"/>
      <c r="N210" s="398"/>
    </row>
    <row r="211" spans="2:14" x14ac:dyDescent="0.2">
      <c r="B211" s="454"/>
      <c r="C211" s="389"/>
      <c r="D211" s="455"/>
      <c r="E211" s="397"/>
      <c r="F211" s="456"/>
      <c r="G211" s="467"/>
      <c r="H211" s="398"/>
      <c r="I211" s="452"/>
      <c r="J211" s="456"/>
      <c r="K211" s="457"/>
      <c r="L211" s="524"/>
      <c r="M211" s="398"/>
      <c r="N211" s="398"/>
    </row>
    <row r="212" spans="2:14" x14ac:dyDescent="0.2">
      <c r="B212" s="454"/>
      <c r="C212" s="389"/>
      <c r="D212" s="455"/>
      <c r="E212" s="397"/>
      <c r="F212" s="456"/>
      <c r="G212" s="467"/>
      <c r="H212" s="398"/>
      <c r="I212" s="452"/>
      <c r="J212" s="456"/>
      <c r="K212" s="456"/>
      <c r="L212" s="524"/>
      <c r="M212" s="398"/>
      <c r="N212" s="398"/>
    </row>
    <row r="213" spans="2:14" x14ac:dyDescent="0.2">
      <c r="B213" s="454"/>
      <c r="C213" s="389"/>
      <c r="D213" s="455"/>
      <c r="E213" s="397"/>
      <c r="F213" s="456"/>
      <c r="G213" s="467"/>
      <c r="H213" s="398"/>
      <c r="I213" s="452"/>
      <c r="J213" s="456"/>
      <c r="K213" s="457"/>
      <c r="L213" s="524"/>
      <c r="M213" s="398"/>
      <c r="N213" s="398"/>
    </row>
    <row r="214" spans="2:14" x14ac:dyDescent="0.2">
      <c r="B214" s="454"/>
      <c r="C214" s="389"/>
      <c r="D214" s="455"/>
      <c r="E214" s="397"/>
      <c r="F214" s="456"/>
      <c r="G214" s="467"/>
      <c r="H214" s="398"/>
      <c r="I214" s="452"/>
      <c r="J214" s="456"/>
      <c r="K214" s="457"/>
      <c r="L214" s="524"/>
      <c r="M214" s="398"/>
      <c r="N214" s="398"/>
    </row>
    <row r="215" spans="2:14" x14ac:dyDescent="0.2">
      <c r="B215" s="454"/>
      <c r="C215" s="389"/>
      <c r="D215" s="455"/>
      <c r="E215" s="397"/>
      <c r="F215" s="456"/>
      <c r="G215" s="467"/>
      <c r="H215" s="398"/>
      <c r="I215" s="452"/>
      <c r="J215" s="456"/>
      <c r="K215" s="457"/>
      <c r="L215" s="524"/>
      <c r="M215" s="398"/>
      <c r="N215" s="398"/>
    </row>
    <row r="216" spans="2:14" x14ac:dyDescent="0.2">
      <c r="B216" s="454"/>
      <c r="C216" s="389"/>
      <c r="D216" s="455"/>
      <c r="E216" s="397"/>
      <c r="F216" s="456"/>
      <c r="G216" s="467"/>
      <c r="H216" s="398"/>
      <c r="I216" s="452"/>
      <c r="J216" s="456"/>
      <c r="K216" s="457"/>
      <c r="L216" s="524"/>
      <c r="M216" s="398"/>
      <c r="N216" s="398"/>
    </row>
    <row r="217" spans="2:14" x14ac:dyDescent="0.2">
      <c r="B217" s="454"/>
      <c r="C217" s="389"/>
      <c r="D217" s="455"/>
      <c r="E217" s="397"/>
      <c r="F217" s="456"/>
      <c r="G217" s="467"/>
      <c r="H217" s="398"/>
      <c r="I217" s="452"/>
      <c r="J217" s="456"/>
      <c r="K217" s="457"/>
      <c r="L217" s="524"/>
      <c r="M217" s="398"/>
      <c r="N217" s="398"/>
    </row>
    <row r="218" spans="2:14" x14ac:dyDescent="0.2">
      <c r="B218" s="454"/>
      <c r="C218" s="389"/>
      <c r="D218" s="455"/>
      <c r="E218" s="397"/>
      <c r="F218" s="456"/>
      <c r="G218" s="467"/>
      <c r="H218" s="398"/>
      <c r="I218" s="452"/>
      <c r="J218" s="456"/>
      <c r="K218" s="457"/>
      <c r="L218" s="524"/>
      <c r="M218" s="398"/>
      <c r="N218" s="398"/>
    </row>
    <row r="219" spans="2:14" x14ac:dyDescent="0.2">
      <c r="B219" s="454"/>
      <c r="C219" s="389"/>
      <c r="D219" s="455"/>
      <c r="E219" s="397"/>
      <c r="F219" s="456"/>
      <c r="G219" s="467"/>
      <c r="H219" s="398"/>
      <c r="I219" s="452"/>
      <c r="J219" s="456"/>
      <c r="K219" s="457"/>
      <c r="L219" s="524"/>
      <c r="M219" s="398"/>
      <c r="N219" s="398"/>
    </row>
    <row r="220" spans="2:14" x14ac:dyDescent="0.2">
      <c r="B220" s="454"/>
      <c r="C220" s="389"/>
      <c r="D220" s="455"/>
      <c r="E220" s="397"/>
      <c r="F220" s="456"/>
      <c r="G220" s="467"/>
      <c r="H220" s="398"/>
      <c r="I220" s="452"/>
      <c r="J220" s="456"/>
      <c r="K220" s="457"/>
      <c r="L220" s="524"/>
      <c r="M220" s="398"/>
      <c r="N220" s="398"/>
    </row>
    <row r="221" spans="2:14" x14ac:dyDescent="0.2">
      <c r="B221" s="454"/>
      <c r="C221" s="389"/>
      <c r="D221" s="455"/>
      <c r="E221" s="397"/>
      <c r="F221" s="456"/>
      <c r="G221" s="467"/>
      <c r="H221" s="398"/>
      <c r="I221" s="452"/>
      <c r="J221" s="456"/>
      <c r="K221" s="457"/>
      <c r="L221" s="524"/>
      <c r="M221" s="398"/>
      <c r="N221" s="398"/>
    </row>
    <row r="222" spans="2:14" x14ac:dyDescent="0.2">
      <c r="B222" s="454"/>
      <c r="C222" s="389"/>
      <c r="D222" s="455"/>
      <c r="E222" s="397"/>
      <c r="F222" s="456"/>
      <c r="G222" s="467"/>
      <c r="H222" s="398"/>
      <c r="I222" s="452"/>
      <c r="J222" s="456"/>
      <c r="K222" s="457"/>
      <c r="L222" s="524"/>
      <c r="M222" s="398"/>
      <c r="N222" s="398"/>
    </row>
    <row r="223" spans="2:14" x14ac:dyDescent="0.2">
      <c r="B223" s="454"/>
      <c r="C223" s="389"/>
      <c r="D223" s="455"/>
      <c r="E223" s="397"/>
      <c r="F223" s="456"/>
      <c r="G223" s="467"/>
      <c r="H223" s="398"/>
      <c r="I223" s="452"/>
      <c r="J223" s="456"/>
      <c r="K223" s="457"/>
      <c r="L223" s="524"/>
      <c r="M223" s="398"/>
      <c r="N223" s="398"/>
    </row>
    <row r="224" spans="2:14" x14ac:dyDescent="0.2">
      <c r="B224" s="454"/>
      <c r="C224" s="389"/>
      <c r="D224" s="455"/>
      <c r="E224" s="397"/>
      <c r="F224" s="456"/>
      <c r="G224" s="467"/>
      <c r="H224" s="398"/>
      <c r="I224" s="452"/>
      <c r="J224" s="456"/>
      <c r="K224" s="457"/>
      <c r="L224" s="524"/>
      <c r="M224" s="398"/>
      <c r="N224" s="398"/>
    </row>
    <row r="225" spans="2:14" x14ac:dyDescent="0.2">
      <c r="B225" s="454"/>
      <c r="C225" s="389"/>
      <c r="D225" s="455"/>
      <c r="E225" s="397"/>
      <c r="F225" s="456"/>
      <c r="G225" s="467"/>
      <c r="H225" s="398"/>
      <c r="I225" s="452"/>
      <c r="J225" s="456"/>
      <c r="K225" s="457"/>
      <c r="L225" s="524"/>
      <c r="M225" s="398"/>
      <c r="N225" s="398"/>
    </row>
    <row r="226" spans="2:14" x14ac:dyDescent="0.2">
      <c r="B226" s="454"/>
      <c r="C226" s="389"/>
      <c r="D226" s="455"/>
      <c r="E226" s="397"/>
      <c r="F226" s="456"/>
      <c r="G226" s="467"/>
      <c r="H226" s="398"/>
      <c r="I226" s="452"/>
      <c r="J226" s="456"/>
      <c r="K226" s="457"/>
      <c r="L226" s="524"/>
      <c r="M226" s="398"/>
      <c r="N226" s="398"/>
    </row>
    <row r="227" spans="2:14" x14ac:dyDescent="0.2">
      <c r="B227" s="454"/>
      <c r="C227" s="389"/>
      <c r="D227" s="455"/>
      <c r="E227" s="397"/>
      <c r="F227" s="456"/>
      <c r="G227" s="467"/>
      <c r="H227" s="398"/>
      <c r="I227" s="452"/>
      <c r="J227" s="456"/>
      <c r="K227" s="457"/>
      <c r="L227" s="524"/>
      <c r="M227" s="398"/>
      <c r="N227" s="398"/>
    </row>
    <row r="228" spans="2:14" x14ac:dyDescent="0.2">
      <c r="B228" s="454"/>
      <c r="C228" s="389"/>
      <c r="D228" s="455"/>
      <c r="E228" s="397"/>
      <c r="F228" s="456"/>
      <c r="G228" s="467"/>
      <c r="H228" s="398"/>
      <c r="I228" s="452"/>
      <c r="J228" s="456"/>
      <c r="K228" s="457"/>
      <c r="L228" s="524"/>
      <c r="M228" s="398"/>
      <c r="N228" s="398"/>
    </row>
    <row r="229" spans="2:14" x14ac:dyDescent="0.2">
      <c r="B229" s="454"/>
      <c r="C229" s="389"/>
      <c r="D229" s="455"/>
      <c r="E229" s="397"/>
      <c r="F229" s="456"/>
      <c r="G229" s="467"/>
      <c r="H229" s="398"/>
      <c r="I229" s="452"/>
      <c r="J229" s="456"/>
      <c r="K229" s="457"/>
      <c r="L229" s="524"/>
      <c r="M229" s="398"/>
      <c r="N229" s="398"/>
    </row>
    <row r="230" spans="2:14" x14ac:dyDescent="0.2">
      <c r="B230" s="454"/>
      <c r="C230" s="389"/>
      <c r="D230" s="455"/>
      <c r="E230" s="397"/>
      <c r="F230" s="456"/>
      <c r="G230" s="467"/>
      <c r="H230" s="398"/>
      <c r="I230" s="452"/>
      <c r="J230" s="456"/>
      <c r="K230" s="457"/>
      <c r="L230" s="524"/>
      <c r="M230" s="398"/>
      <c r="N230" s="398"/>
    </row>
    <row r="231" spans="2:14" x14ac:dyDescent="0.2">
      <c r="B231" s="454"/>
      <c r="C231" s="389"/>
      <c r="D231" s="455"/>
      <c r="E231" s="397"/>
      <c r="F231" s="456"/>
      <c r="G231" s="467"/>
      <c r="H231" s="398"/>
      <c r="I231" s="452"/>
      <c r="J231" s="456"/>
      <c r="K231" s="457"/>
      <c r="L231" s="524"/>
      <c r="M231" s="398"/>
      <c r="N231" s="398"/>
    </row>
    <row r="232" spans="2:14" x14ac:dyDescent="0.2">
      <c r="B232" s="454"/>
      <c r="C232" s="389"/>
      <c r="D232" s="455"/>
      <c r="E232" s="397"/>
      <c r="F232" s="456"/>
      <c r="G232" s="467"/>
      <c r="H232" s="398"/>
      <c r="I232" s="452"/>
      <c r="J232" s="456"/>
      <c r="K232" s="457"/>
      <c r="L232" s="524"/>
      <c r="M232" s="398"/>
      <c r="N232" s="398"/>
    </row>
    <row r="233" spans="2:14" x14ac:dyDescent="0.2">
      <c r="B233" s="454"/>
      <c r="C233" s="389"/>
      <c r="D233" s="455"/>
      <c r="E233" s="397"/>
      <c r="F233" s="456"/>
      <c r="G233" s="467"/>
      <c r="H233" s="398"/>
      <c r="I233" s="452"/>
      <c r="J233" s="456"/>
      <c r="K233" s="457"/>
      <c r="L233" s="524"/>
      <c r="M233" s="398"/>
      <c r="N233" s="398"/>
    </row>
    <row r="234" spans="2:14" x14ac:dyDescent="0.2">
      <c r="B234" s="454"/>
      <c r="C234" s="389"/>
      <c r="D234" s="455"/>
      <c r="E234" s="397"/>
      <c r="F234" s="456"/>
      <c r="G234" s="467"/>
      <c r="H234" s="398"/>
      <c r="I234" s="452"/>
      <c r="J234" s="456"/>
      <c r="K234" s="457"/>
      <c r="L234" s="524"/>
      <c r="M234" s="398"/>
      <c r="N234" s="398"/>
    </row>
    <row r="235" spans="2:14" x14ac:dyDescent="0.2">
      <c r="B235" s="454"/>
      <c r="C235" s="389"/>
      <c r="D235" s="455"/>
      <c r="E235" s="397"/>
      <c r="F235" s="456"/>
      <c r="G235" s="467"/>
      <c r="H235" s="398"/>
      <c r="I235" s="452"/>
      <c r="J235" s="456"/>
      <c r="K235" s="457"/>
      <c r="L235" s="524"/>
      <c r="M235" s="398"/>
      <c r="N235" s="398"/>
    </row>
    <row r="236" spans="2:14" x14ac:dyDescent="0.2">
      <c r="B236" s="454"/>
      <c r="C236" s="389"/>
      <c r="D236" s="455"/>
      <c r="E236" s="397"/>
      <c r="F236" s="456"/>
      <c r="G236" s="467"/>
      <c r="H236" s="398"/>
      <c r="I236" s="452"/>
      <c r="J236" s="456"/>
      <c r="K236" s="457"/>
      <c r="L236" s="524"/>
      <c r="M236" s="398"/>
      <c r="N236" s="398"/>
    </row>
    <row r="237" spans="2:14" x14ac:dyDescent="0.2">
      <c r="B237" s="454"/>
      <c r="C237" s="389"/>
      <c r="D237" s="455"/>
      <c r="E237" s="397"/>
      <c r="F237" s="456"/>
      <c r="G237" s="467"/>
      <c r="H237" s="398"/>
      <c r="I237" s="452"/>
      <c r="J237" s="456"/>
      <c r="K237" s="457"/>
      <c r="L237" s="524"/>
      <c r="M237" s="398"/>
      <c r="N237" s="398"/>
    </row>
    <row r="238" spans="2:14" x14ac:dyDescent="0.2">
      <c r="B238" s="454"/>
      <c r="C238" s="389"/>
      <c r="D238" s="455"/>
      <c r="E238" s="397"/>
      <c r="F238" s="456"/>
      <c r="G238" s="467"/>
      <c r="H238" s="398"/>
      <c r="I238" s="452"/>
      <c r="J238" s="456"/>
      <c r="K238" s="457"/>
      <c r="L238" s="524"/>
      <c r="M238" s="398"/>
      <c r="N238" s="398"/>
    </row>
    <row r="239" spans="2:14" x14ac:dyDescent="0.2">
      <c r="B239" s="454"/>
      <c r="C239" s="389"/>
      <c r="D239" s="455"/>
      <c r="E239" s="397"/>
      <c r="F239" s="456"/>
      <c r="G239" s="467"/>
      <c r="H239" s="398"/>
      <c r="I239" s="452"/>
      <c r="J239" s="456"/>
      <c r="K239" s="457"/>
      <c r="L239" s="524"/>
      <c r="M239" s="398"/>
      <c r="N239" s="398"/>
    </row>
    <row r="240" spans="2:14" x14ac:dyDescent="0.2">
      <c r="B240" s="454"/>
      <c r="C240" s="389"/>
      <c r="D240" s="455"/>
      <c r="E240" s="397"/>
      <c r="F240" s="456"/>
      <c r="G240" s="467"/>
      <c r="H240" s="398"/>
      <c r="I240" s="452"/>
      <c r="J240" s="456"/>
      <c r="K240" s="457"/>
      <c r="L240" s="524"/>
      <c r="M240" s="398"/>
      <c r="N240" s="398"/>
    </row>
    <row r="241" spans="2:14" x14ac:dyDescent="0.2">
      <c r="B241" s="454"/>
      <c r="C241" s="389"/>
      <c r="D241" s="455"/>
      <c r="E241" s="397"/>
      <c r="F241" s="458"/>
      <c r="G241" s="467"/>
      <c r="H241" s="398"/>
      <c r="I241" s="452"/>
      <c r="J241" s="456"/>
      <c r="K241" s="457"/>
      <c r="L241" s="524"/>
      <c r="M241" s="398"/>
      <c r="N241" s="398"/>
    </row>
    <row r="242" spans="2:14" x14ac:dyDescent="0.2">
      <c r="B242" s="454"/>
      <c r="C242" s="389"/>
      <c r="D242" s="455"/>
      <c r="E242" s="397"/>
      <c r="F242" s="456"/>
      <c r="G242" s="467"/>
      <c r="H242" s="398"/>
      <c r="I242" s="452"/>
      <c r="J242" s="456"/>
      <c r="K242" s="457"/>
      <c r="L242" s="524"/>
      <c r="M242" s="398"/>
      <c r="N242" s="398"/>
    </row>
    <row r="243" spans="2:14" x14ac:dyDescent="0.2">
      <c r="B243" s="454"/>
      <c r="C243" s="389"/>
      <c r="D243" s="455"/>
      <c r="E243" s="397"/>
      <c r="F243" s="456"/>
      <c r="G243" s="467"/>
      <c r="H243" s="398"/>
      <c r="I243" s="452"/>
      <c r="J243" s="458"/>
      <c r="K243" s="459"/>
      <c r="L243" s="524"/>
      <c r="M243" s="398"/>
      <c r="N243" s="398"/>
    </row>
    <row r="244" spans="2:14" x14ac:dyDescent="0.2">
      <c r="B244" s="454"/>
      <c r="C244" s="389"/>
      <c r="D244" s="455"/>
      <c r="E244" s="397"/>
      <c r="F244" s="456"/>
      <c r="G244" s="467"/>
      <c r="H244" s="398"/>
      <c r="I244" s="452"/>
      <c r="J244" s="456"/>
      <c r="K244" s="457"/>
      <c r="L244" s="524"/>
      <c r="M244" s="398"/>
      <c r="N244" s="398"/>
    </row>
    <row r="245" spans="2:14" x14ac:dyDescent="0.2">
      <c r="B245" s="454"/>
      <c r="C245" s="389"/>
      <c r="D245" s="455"/>
      <c r="E245" s="397"/>
      <c r="F245" s="456"/>
      <c r="G245" s="467"/>
      <c r="H245" s="398"/>
      <c r="I245" s="452"/>
      <c r="J245" s="456"/>
      <c r="K245" s="457"/>
      <c r="L245" s="524"/>
      <c r="M245" s="398"/>
      <c r="N245" s="398"/>
    </row>
    <row r="246" spans="2:14" x14ac:dyDescent="0.2">
      <c r="B246" s="454"/>
      <c r="C246" s="389"/>
      <c r="D246" s="455"/>
      <c r="E246" s="397"/>
      <c r="F246" s="456"/>
      <c r="G246" s="467"/>
      <c r="H246" s="398"/>
      <c r="I246" s="452"/>
      <c r="J246" s="456"/>
      <c r="K246" s="457"/>
      <c r="L246" s="524"/>
      <c r="M246" s="398"/>
      <c r="N246" s="398"/>
    </row>
    <row r="247" spans="2:14" x14ac:dyDescent="0.2">
      <c r="B247" s="454"/>
      <c r="C247" s="389"/>
      <c r="D247" s="455"/>
      <c r="E247" s="397"/>
      <c r="F247" s="456"/>
      <c r="G247" s="467"/>
      <c r="H247" s="398"/>
      <c r="I247" s="452"/>
      <c r="J247" s="456"/>
      <c r="K247" s="457"/>
      <c r="L247" s="524"/>
      <c r="M247" s="398"/>
      <c r="N247" s="398"/>
    </row>
    <row r="248" spans="2:14" x14ac:dyDescent="0.2">
      <c r="B248" s="454"/>
      <c r="C248" s="389"/>
      <c r="D248" s="455"/>
      <c r="E248" s="397"/>
      <c r="F248" s="456"/>
      <c r="G248" s="467"/>
      <c r="H248" s="398"/>
      <c r="I248" s="452"/>
      <c r="J248" s="456"/>
      <c r="K248" s="457"/>
      <c r="L248" s="524"/>
      <c r="M248" s="398"/>
      <c r="N248" s="398"/>
    </row>
    <row r="249" spans="2:14" x14ac:dyDescent="0.2">
      <c r="B249" s="454"/>
      <c r="C249" s="389"/>
      <c r="D249" s="455"/>
      <c r="E249" s="397"/>
      <c r="F249" s="456"/>
      <c r="G249" s="467"/>
      <c r="H249" s="398"/>
      <c r="I249" s="452"/>
      <c r="J249" s="456"/>
      <c r="K249" s="457"/>
      <c r="L249" s="524"/>
      <c r="M249" s="398"/>
      <c r="N249" s="398"/>
    </row>
    <row r="250" spans="2:14" x14ac:dyDescent="0.2">
      <c r="B250" s="454"/>
      <c r="C250" s="389"/>
      <c r="D250" s="455"/>
      <c r="E250" s="397"/>
      <c r="F250" s="456"/>
      <c r="G250" s="467"/>
      <c r="H250" s="398"/>
      <c r="I250" s="452"/>
      <c r="J250" s="456"/>
      <c r="K250" s="457"/>
      <c r="L250" s="524"/>
      <c r="M250" s="398"/>
      <c r="N250" s="398"/>
    </row>
    <row r="251" spans="2:14" x14ac:dyDescent="0.2">
      <c r="B251" s="454"/>
      <c r="C251" s="389"/>
      <c r="D251" s="455"/>
      <c r="E251" s="397"/>
      <c r="F251" s="456"/>
      <c r="G251" s="467"/>
      <c r="H251" s="398"/>
      <c r="I251" s="452"/>
      <c r="J251" s="456"/>
      <c r="K251" s="457"/>
      <c r="L251" s="524"/>
      <c r="M251" s="398"/>
      <c r="N251" s="398"/>
    </row>
    <row r="252" spans="2:14" x14ac:dyDescent="0.2">
      <c r="B252" s="454"/>
      <c r="C252" s="389"/>
      <c r="D252" s="455"/>
      <c r="E252" s="397"/>
      <c r="F252" s="456"/>
      <c r="G252" s="467"/>
      <c r="H252" s="398"/>
      <c r="I252" s="452"/>
      <c r="J252" s="456"/>
      <c r="K252" s="457"/>
      <c r="L252" s="524"/>
      <c r="M252" s="398"/>
      <c r="N252" s="398"/>
    </row>
    <row r="253" spans="2:14" x14ac:dyDescent="0.2">
      <c r="B253" s="454"/>
      <c r="C253" s="389"/>
      <c r="D253" s="455"/>
      <c r="E253" s="397"/>
      <c r="F253" s="456"/>
      <c r="G253" s="467"/>
      <c r="H253" s="398"/>
      <c r="I253" s="452"/>
      <c r="J253" s="456"/>
      <c r="K253" s="457"/>
      <c r="L253" s="524"/>
      <c r="M253" s="398"/>
      <c r="N253" s="398"/>
    </row>
    <row r="254" spans="2:14" x14ac:dyDescent="0.2">
      <c r="B254" s="454"/>
      <c r="C254" s="389"/>
      <c r="D254" s="455"/>
      <c r="E254" s="397"/>
      <c r="F254" s="456"/>
      <c r="G254" s="467"/>
      <c r="H254" s="398"/>
      <c r="I254" s="452"/>
      <c r="J254" s="456"/>
      <c r="K254" s="457"/>
      <c r="L254" s="524"/>
      <c r="M254" s="398"/>
      <c r="N254" s="398"/>
    </row>
    <row r="255" spans="2:14" x14ac:dyDescent="0.2">
      <c r="B255" s="454"/>
      <c r="C255" s="389"/>
      <c r="D255" s="455"/>
      <c r="E255" s="397"/>
      <c r="F255" s="456"/>
      <c r="G255" s="467"/>
      <c r="H255" s="398"/>
      <c r="I255" s="452"/>
      <c r="J255" s="456"/>
      <c r="K255" s="457"/>
      <c r="L255" s="524"/>
      <c r="M255" s="398"/>
      <c r="N255" s="398"/>
    </row>
    <row r="256" spans="2:14" x14ac:dyDescent="0.2">
      <c r="B256" s="454"/>
      <c r="C256" s="389"/>
      <c r="D256" s="455"/>
      <c r="E256" s="397"/>
      <c r="F256" s="456"/>
      <c r="G256" s="467"/>
      <c r="H256" s="398"/>
      <c r="I256" s="452"/>
      <c r="J256" s="456"/>
      <c r="K256" s="457"/>
      <c r="L256" s="524"/>
      <c r="M256" s="398"/>
      <c r="N256" s="398"/>
    </row>
    <row r="257" spans="2:14" x14ac:dyDescent="0.2">
      <c r="B257" s="454"/>
      <c r="C257" s="389"/>
      <c r="D257" s="455"/>
      <c r="E257" s="397"/>
      <c r="F257" s="456"/>
      <c r="G257" s="467"/>
      <c r="H257" s="398"/>
      <c r="I257" s="452"/>
      <c r="J257" s="456"/>
      <c r="K257" s="457"/>
      <c r="L257" s="524"/>
      <c r="M257" s="398"/>
      <c r="N257" s="398"/>
    </row>
    <row r="258" spans="2:14" x14ac:dyDescent="0.2">
      <c r="B258" s="454"/>
      <c r="C258" s="389"/>
      <c r="D258" s="455"/>
      <c r="E258" s="397"/>
      <c r="F258" s="456"/>
      <c r="G258" s="467"/>
      <c r="H258" s="398"/>
      <c r="I258" s="452"/>
      <c r="J258" s="456"/>
      <c r="K258" s="457"/>
      <c r="L258" s="524"/>
      <c r="M258" s="398"/>
      <c r="N258" s="398"/>
    </row>
    <row r="259" spans="2:14" x14ac:dyDescent="0.2">
      <c r="B259" s="454"/>
      <c r="C259" s="389"/>
      <c r="D259" s="455"/>
      <c r="E259" s="397"/>
      <c r="F259" s="456"/>
      <c r="G259" s="467"/>
      <c r="H259" s="398"/>
      <c r="I259" s="452"/>
      <c r="J259" s="456"/>
      <c r="K259" s="457"/>
      <c r="L259" s="524"/>
      <c r="M259" s="398"/>
      <c r="N259" s="398"/>
    </row>
    <row r="260" spans="2:14" x14ac:dyDescent="0.2">
      <c r="B260" s="454"/>
      <c r="C260" s="389"/>
      <c r="D260" s="455"/>
      <c r="E260" s="397"/>
      <c r="F260" s="456"/>
      <c r="G260" s="460"/>
      <c r="H260" s="398"/>
      <c r="I260" s="452"/>
      <c r="J260" s="456"/>
      <c r="K260" s="457"/>
      <c r="L260" s="524"/>
      <c r="M260" s="398"/>
      <c r="N260" s="398"/>
    </row>
    <row r="261" spans="2:14" x14ac:dyDescent="0.2">
      <c r="B261" s="454"/>
      <c r="C261" s="389"/>
      <c r="D261" s="455"/>
      <c r="E261" s="397"/>
      <c r="F261" s="456"/>
      <c r="G261" s="460"/>
      <c r="H261" s="398"/>
      <c r="I261" s="452"/>
      <c r="J261" s="456"/>
      <c r="K261" s="457"/>
      <c r="L261" s="524"/>
      <c r="M261" s="398"/>
      <c r="N261" s="398"/>
    </row>
    <row r="262" spans="2:14" x14ac:dyDescent="0.2">
      <c r="B262" s="454"/>
      <c r="C262" s="389"/>
      <c r="D262" s="455"/>
      <c r="E262" s="397"/>
      <c r="F262" s="456"/>
      <c r="G262" s="460"/>
      <c r="H262" s="398"/>
      <c r="I262" s="452"/>
      <c r="J262" s="456"/>
      <c r="K262" s="457"/>
      <c r="L262" s="524"/>
      <c r="M262" s="398"/>
      <c r="N262" s="398"/>
    </row>
    <row r="263" spans="2:14" x14ac:dyDescent="0.2">
      <c r="B263" s="454"/>
      <c r="C263" s="389"/>
      <c r="D263" s="455"/>
      <c r="E263" s="397"/>
      <c r="F263" s="456"/>
      <c r="G263" s="460"/>
      <c r="H263" s="398"/>
      <c r="I263" s="452"/>
      <c r="J263" s="456"/>
      <c r="K263" s="457"/>
      <c r="L263" s="524"/>
      <c r="M263" s="398"/>
      <c r="N263" s="398"/>
    </row>
    <row r="264" spans="2:14" x14ac:dyDescent="0.2">
      <c r="B264" s="454"/>
      <c r="C264" s="389"/>
      <c r="D264" s="455"/>
      <c r="E264" s="397"/>
      <c r="F264" s="456"/>
      <c r="G264" s="460"/>
      <c r="H264" s="398"/>
      <c r="I264" s="452"/>
      <c r="J264" s="456"/>
      <c r="K264" s="457"/>
      <c r="L264" s="524"/>
      <c r="M264" s="398"/>
      <c r="N264" s="398"/>
    </row>
    <row r="265" spans="2:14" x14ac:dyDescent="0.2">
      <c r="B265" s="454"/>
      <c r="C265" s="389"/>
      <c r="D265" s="455"/>
      <c r="E265" s="397"/>
      <c r="F265" s="456"/>
      <c r="G265" s="460"/>
      <c r="H265" s="398"/>
      <c r="I265" s="452"/>
      <c r="J265" s="456"/>
      <c r="K265" s="457"/>
      <c r="L265" s="524"/>
      <c r="M265" s="398"/>
      <c r="N265" s="398"/>
    </row>
    <row r="266" spans="2:14" x14ac:dyDescent="0.2">
      <c r="B266" s="454"/>
      <c r="C266" s="389"/>
      <c r="D266" s="455"/>
      <c r="E266" s="397"/>
      <c r="F266" s="456"/>
      <c r="G266" s="460"/>
      <c r="H266" s="398"/>
      <c r="I266" s="452"/>
      <c r="J266" s="456"/>
      <c r="K266" s="457"/>
      <c r="L266" s="524"/>
      <c r="M266" s="398"/>
      <c r="N266" s="398"/>
    </row>
    <row r="267" spans="2:14" x14ac:dyDescent="0.2">
      <c r="B267" s="454"/>
      <c r="C267" s="389"/>
      <c r="D267" s="455"/>
      <c r="E267" s="397"/>
      <c r="F267" s="456"/>
      <c r="G267" s="460"/>
      <c r="H267" s="398"/>
      <c r="I267" s="452"/>
      <c r="J267" s="456"/>
      <c r="K267" s="457"/>
      <c r="L267" s="524"/>
      <c r="M267" s="398"/>
      <c r="N267" s="398"/>
    </row>
    <row r="268" spans="2:14" x14ac:dyDescent="0.2">
      <c r="B268" s="454"/>
      <c r="C268" s="389"/>
      <c r="D268" s="455"/>
      <c r="E268" s="397"/>
      <c r="F268" s="456"/>
      <c r="G268" s="460"/>
      <c r="H268" s="398"/>
      <c r="I268" s="452"/>
      <c r="J268" s="456"/>
      <c r="K268" s="457"/>
      <c r="L268" s="524"/>
      <c r="M268" s="398"/>
      <c r="N268" s="398"/>
    </row>
    <row r="269" spans="2:14" x14ac:dyDescent="0.2">
      <c r="B269" s="454"/>
      <c r="C269" s="389"/>
      <c r="D269" s="455"/>
      <c r="E269" s="397"/>
      <c r="F269" s="456"/>
      <c r="G269" s="460"/>
      <c r="H269" s="398"/>
      <c r="I269" s="452"/>
      <c r="J269" s="456"/>
      <c r="K269" s="457"/>
      <c r="L269" s="524"/>
      <c r="M269" s="398"/>
      <c r="N269" s="398"/>
    </row>
    <row r="270" spans="2:14" x14ac:dyDescent="0.2">
      <c r="B270" s="454"/>
      <c r="C270" s="389"/>
      <c r="D270" s="455"/>
      <c r="E270" s="397"/>
      <c r="F270" s="456"/>
      <c r="G270" s="460"/>
      <c r="H270" s="398"/>
      <c r="I270" s="452"/>
      <c r="J270" s="456"/>
      <c r="K270" s="457"/>
      <c r="L270" s="524"/>
      <c r="M270" s="398"/>
      <c r="N270" s="398"/>
    </row>
    <row r="271" spans="2:14" x14ac:dyDescent="0.2">
      <c r="C271" s="389"/>
      <c r="D271" s="18"/>
      <c r="E271" s="397"/>
      <c r="F271" s="398"/>
      <c r="G271" s="399"/>
      <c r="H271" s="398"/>
      <c r="I271" s="398"/>
      <c r="J271" s="448"/>
      <c r="K271" s="449"/>
      <c r="L271" s="524"/>
      <c r="M271" s="398"/>
      <c r="N271" s="398"/>
    </row>
    <row r="272" spans="2:14" x14ac:dyDescent="0.2">
      <c r="C272" s="389"/>
      <c r="D272" s="18"/>
      <c r="E272" s="397"/>
      <c r="F272" s="398"/>
      <c r="G272" s="399"/>
      <c r="H272" s="398"/>
      <c r="I272" s="398"/>
      <c r="J272" s="448"/>
      <c r="K272" s="449"/>
      <c r="L272" s="524"/>
      <c r="M272" s="398"/>
      <c r="N272" s="398"/>
    </row>
    <row r="273" spans="3:14" x14ac:dyDescent="0.2">
      <c r="C273" s="392" t="s">
        <v>292</v>
      </c>
      <c r="D273" s="396">
        <f>SUM(Table2[Test])</f>
        <v>0</v>
      </c>
      <c r="E273" s="392" t="s">
        <v>293</v>
      </c>
      <c r="F273" s="393">
        <f>COUNTA(Table2[Class])</f>
        <v>32</v>
      </c>
      <c r="G273" s="394"/>
      <c r="H273" s="394"/>
      <c r="I273" s="394"/>
      <c r="J273" s="395">
        <f>SUM(J7:J272)</f>
        <v>39</v>
      </c>
      <c r="K273" s="394"/>
      <c r="L273" s="395">
        <f>SUM(L7:L272)</f>
        <v>134</v>
      </c>
      <c r="M273" s="394"/>
      <c r="N273" s="395">
        <f>SUM(N7:N272)</f>
        <v>0</v>
      </c>
    </row>
  </sheetData>
  <sheetProtection formatCells="0" formatRows="0" insertRows="0"/>
  <mergeCells count="1">
    <mergeCell ref="B2:O2"/>
  </mergeCells>
  <phoneticPr fontId="70" type="noConversion"/>
  <pageMargins left="0.25" right="0.25" top="0.5" bottom="0.5" header="0.3" footer="0.3"/>
  <pageSetup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O135"/>
  <sheetViews>
    <sheetView showGridLines="0" zoomScaleNormal="100" workbookViewId="0">
      <pane ySplit="6" topLeftCell="A59" activePane="bottomLeft" state="frozen"/>
      <selection pane="bottomLeft" activeCell="A7" sqref="A7"/>
    </sheetView>
  </sheetViews>
  <sheetFormatPr defaultColWidth="9.140625" defaultRowHeight="12.75" x14ac:dyDescent="0.2"/>
  <cols>
    <col min="1" max="1" width="1" style="2" customWidth="1"/>
    <col min="2" max="2" width="1.85546875" style="2" customWidth="1"/>
    <col min="3" max="3" width="11.140625" style="2" customWidth="1"/>
    <col min="4" max="4" width="8.85546875" style="2" hidden="1" customWidth="1"/>
    <col min="5" max="5" width="12.5703125" style="2" customWidth="1"/>
    <col min="6" max="6" width="18.140625" style="2" customWidth="1"/>
    <col min="7" max="7" width="68" style="2" bestFit="1" customWidth="1"/>
    <col min="8" max="8" width="17.140625" style="2" customWidth="1"/>
    <col min="9" max="9" width="28" style="2" bestFit="1" customWidth="1"/>
    <col min="10" max="10" width="11.140625" style="2" customWidth="1"/>
    <col min="11" max="12" width="9.85546875" style="2" customWidth="1"/>
    <col min="13" max="13" width="10" style="2" customWidth="1"/>
    <col min="14" max="14" width="10.42578125" style="2" customWidth="1"/>
    <col min="15" max="15" width="2.85546875" style="2" customWidth="1"/>
    <col min="16" max="16" width="1" style="2" customWidth="1"/>
    <col min="17" max="16384" width="9.140625" style="2"/>
  </cols>
  <sheetData>
    <row r="1" spans="2:15" ht="5.0999999999999996" customHeight="1" thickBot="1" x14ac:dyDescent="0.25"/>
    <row r="2" spans="2:15" ht="38.25" customHeight="1" thickBot="1" x14ac:dyDescent="0.25">
      <c r="B2" s="671" t="s">
        <v>294</v>
      </c>
      <c r="C2" s="671"/>
      <c r="D2" s="671"/>
      <c r="E2" s="671"/>
      <c r="F2" s="671"/>
      <c r="G2" s="671"/>
      <c r="H2" s="671"/>
      <c r="I2" s="671"/>
      <c r="J2" s="671"/>
      <c r="K2" s="671"/>
      <c r="L2" s="671"/>
      <c r="M2" s="671"/>
      <c r="N2" s="671"/>
      <c r="O2" s="671"/>
    </row>
    <row r="3" spans="2:15" ht="45" customHeight="1" x14ac:dyDescent="0.2"/>
    <row r="4" spans="2:15" ht="14.25" customHeight="1" x14ac:dyDescent="0.2">
      <c r="E4" s="350" t="str">
        <f>IF(D135&gt;0,"Incomplete - All required information for each training must be completed.","")</f>
        <v/>
      </c>
    </row>
    <row r="5" spans="2:15" ht="7.5" customHeight="1" x14ac:dyDescent="0.2"/>
    <row r="6" spans="2:15" ht="51" x14ac:dyDescent="0.2">
      <c r="C6" s="390" t="s">
        <v>217</v>
      </c>
      <c r="D6" s="390" t="s">
        <v>218</v>
      </c>
      <c r="E6" s="390" t="s">
        <v>219</v>
      </c>
      <c r="F6" s="390" t="s">
        <v>220</v>
      </c>
      <c r="G6" s="390" t="s">
        <v>221</v>
      </c>
      <c r="H6" s="390" t="s">
        <v>222</v>
      </c>
      <c r="I6" s="390" t="s">
        <v>223</v>
      </c>
      <c r="J6" s="390" t="s">
        <v>224</v>
      </c>
      <c r="K6" s="390" t="s">
        <v>225</v>
      </c>
      <c r="L6" s="390" t="s">
        <v>226</v>
      </c>
      <c r="M6" s="390" t="s">
        <v>227</v>
      </c>
      <c r="N6" s="391" t="s">
        <v>228</v>
      </c>
    </row>
    <row r="7" spans="2:15" ht="51" x14ac:dyDescent="0.2">
      <c r="C7" s="389">
        <f t="shared" ref="C7:C46" si="0">ROW()-6</f>
        <v>1</v>
      </c>
      <c r="D7" s="18">
        <f>IF(AND(ISBLANK(Table22[[#This Row],[Start Date]]),ISBLANK(Table22[[#This Row],[Class]]),ISBLANK(Table22[[#This Row],[Class Description]]),ISBLANK(Table22[[#This Row],[No. of Attendees
(A)]])),0,IF(OR(ISBLANK(Table22[[#This Row],[Class]]),ISBLANK(Table22[[#This Row],[No. of Attendees
(A)]]),ISBLANK(Table22[[#This Row],[Length of Session
(B)]])),1,0))</f>
        <v>0</v>
      </c>
      <c r="E7" s="442">
        <v>45694</v>
      </c>
      <c r="F7" s="443" t="s">
        <v>295</v>
      </c>
      <c r="G7" s="443" t="s">
        <v>296</v>
      </c>
      <c r="H7" s="443" t="s">
        <v>265</v>
      </c>
      <c r="I7" s="444" t="s">
        <v>243</v>
      </c>
      <c r="J7">
        <v>1</v>
      </c>
      <c r="K7" s="444">
        <v>1</v>
      </c>
      <c r="L7" s="481">
        <f t="shared" ref="L7:L46" si="1">J7*K7</f>
        <v>1</v>
      </c>
      <c r="M7" s="480" t="s">
        <v>233</v>
      </c>
      <c r="N7">
        <v>0</v>
      </c>
    </row>
    <row r="8" spans="2:15" ht="23.25" customHeight="1" x14ac:dyDescent="0.2">
      <c r="C8" s="389">
        <f t="shared" si="0"/>
        <v>2</v>
      </c>
      <c r="D8" s="18">
        <f>IF(AND(ISBLANK(Table22[[#This Row],[Start Date]]),ISBLANK(Table22[[#This Row],[Class]]),ISBLANK(Table22[[#This Row],[Class Description]]),ISBLANK(Table22[[#This Row],[No. of Attendees
(A)]])),0,IF(OR(ISBLANK(Table22[[#This Row],[Class]]),ISBLANK(Table22[[#This Row],[No. of Attendees
(A)]]),ISBLANK(Table22[[#This Row],[Length of Session
(B)]])),1,0))</f>
        <v>0</v>
      </c>
      <c r="E8" s="477">
        <v>45713</v>
      </c>
      <c r="F8" s="480" t="s">
        <v>297</v>
      </c>
      <c r="G8" s="480" t="s">
        <v>298</v>
      </c>
      <c r="H8" s="402" t="s">
        <v>299</v>
      </c>
      <c r="I8" s="480" t="s">
        <v>254</v>
      </c>
      <c r="J8">
        <v>1</v>
      </c>
      <c r="K8" s="402">
        <v>2</v>
      </c>
      <c r="L8" s="481">
        <f t="shared" si="1"/>
        <v>2</v>
      </c>
      <c r="M8" s="480" t="s">
        <v>233</v>
      </c>
      <c r="N8">
        <v>0</v>
      </c>
    </row>
    <row r="9" spans="2:15" ht="12.75" customHeight="1" x14ac:dyDescent="0.2">
      <c r="C9" s="389">
        <f t="shared" si="0"/>
        <v>3</v>
      </c>
      <c r="D9" s="18">
        <f>IF(AND(ISBLANK(Table22[[#This Row],[Start Date]]),ISBLANK(Table22[[#This Row],[Class]]),ISBLANK(Table22[[#This Row],[Class Description]]),ISBLANK(Table22[[#This Row],[No. of Attendees
(A)]])),0,IF(OR(ISBLANK(Table22[[#This Row],[Class]]),ISBLANK(Table22[[#This Row],[No. of Attendees
(A)]]),ISBLANK(Table22[[#This Row],[Length of Session
(B)]])),1,0))</f>
        <v>0</v>
      </c>
      <c r="E9" s="624">
        <v>45713</v>
      </c>
      <c r="F9" s="625" t="s">
        <v>300</v>
      </c>
      <c r="G9" s="625" t="s">
        <v>301</v>
      </c>
      <c r="H9" s="626" t="s">
        <v>231</v>
      </c>
      <c r="I9" s="627" t="s">
        <v>302</v>
      </c>
      <c r="J9">
        <v>1</v>
      </c>
      <c r="K9" s="444">
        <v>1.5</v>
      </c>
      <c r="L9" s="481">
        <f t="shared" si="1"/>
        <v>1.5</v>
      </c>
      <c r="M9" s="480" t="s">
        <v>233</v>
      </c>
      <c r="N9">
        <v>0</v>
      </c>
    </row>
    <row r="10" spans="2:15" ht="38.25" x14ac:dyDescent="0.2">
      <c r="C10" s="389">
        <f t="shared" si="0"/>
        <v>4</v>
      </c>
      <c r="D10" s="18">
        <f>IF(AND(ISBLANK(Table22[[#This Row],[Start Date]]),ISBLANK(Table22[[#This Row],[Class]]),ISBLANK(Table22[[#This Row],[Class Description]]),ISBLANK(Table22[[#This Row],[No. of Attendees
(A)]])),0,IF(OR(ISBLANK(Table22[[#This Row],[Class]]),ISBLANK(Table22[[#This Row],[No. of Attendees
(A)]]),ISBLANK(Table22[[#This Row],[Length of Session
(B)]])),1,0))</f>
        <v>0</v>
      </c>
      <c r="E10" s="624">
        <v>45713</v>
      </c>
      <c r="F10" s="625" t="s">
        <v>303</v>
      </c>
      <c r="G10" s="625" t="s">
        <v>304</v>
      </c>
      <c r="H10" s="626" t="s">
        <v>231</v>
      </c>
      <c r="I10" s="627" t="s">
        <v>302</v>
      </c>
      <c r="J10">
        <v>1</v>
      </c>
      <c r="K10" s="444">
        <v>1.5</v>
      </c>
      <c r="L10" s="481">
        <f t="shared" si="1"/>
        <v>1.5</v>
      </c>
      <c r="M10" s="480" t="s">
        <v>233</v>
      </c>
      <c r="N10">
        <v>0</v>
      </c>
    </row>
    <row r="11" spans="2:15" ht="38.25" x14ac:dyDescent="0.2">
      <c r="C11" s="389">
        <f t="shared" si="0"/>
        <v>5</v>
      </c>
      <c r="D11" s="18">
        <f>IF(AND(ISBLANK(Table22[[#This Row],[Start Date]]),ISBLANK(Table22[[#This Row],[Class]]),ISBLANK(Table22[[#This Row],[Class Description]]),ISBLANK(Table22[[#This Row],[No. of Attendees
(A)]])),0,IF(OR(ISBLANK(Table22[[#This Row],[Class]]),ISBLANK(Table22[[#This Row],[No. of Attendees
(A)]]),ISBLANK(Table22[[#This Row],[Length of Session
(B)]])),1,0))</f>
        <v>0</v>
      </c>
      <c r="E11" s="624">
        <v>45713</v>
      </c>
      <c r="F11" s="625" t="s">
        <v>305</v>
      </c>
      <c r="G11" s="625" t="s">
        <v>306</v>
      </c>
      <c r="H11" s="626" t="s">
        <v>231</v>
      </c>
      <c r="I11" s="627" t="s">
        <v>302</v>
      </c>
      <c r="J11">
        <v>1</v>
      </c>
      <c r="K11" s="444">
        <v>1.5</v>
      </c>
      <c r="L11" s="481">
        <f t="shared" si="1"/>
        <v>1.5</v>
      </c>
      <c r="M11" s="480" t="s">
        <v>233</v>
      </c>
      <c r="N11">
        <v>0</v>
      </c>
    </row>
    <row r="12" spans="2:15" ht="38.25" x14ac:dyDescent="0.2">
      <c r="C12" s="389">
        <f t="shared" si="0"/>
        <v>6</v>
      </c>
      <c r="D12" s="18">
        <f>IF(AND(ISBLANK(Table22[[#This Row],[Start Date]]),ISBLANK(Table22[[#This Row],[Class]]),ISBLANK(Table22[[#This Row],[Class Description]]),ISBLANK(Table22[[#This Row],[No. of Attendees
(A)]])),0,IF(OR(ISBLANK(Table22[[#This Row],[Class]]),ISBLANK(Table22[[#This Row],[No. of Attendees
(A)]]),ISBLANK(Table22[[#This Row],[Length of Session
(B)]])),1,0))</f>
        <v>0</v>
      </c>
      <c r="E12" s="624">
        <v>45713</v>
      </c>
      <c r="F12" s="625" t="s">
        <v>307</v>
      </c>
      <c r="G12" s="625" t="s">
        <v>308</v>
      </c>
      <c r="H12" s="626" t="s">
        <v>231</v>
      </c>
      <c r="I12" s="627" t="s">
        <v>302</v>
      </c>
      <c r="J12">
        <v>1</v>
      </c>
      <c r="K12" s="444">
        <v>1.5</v>
      </c>
      <c r="L12" s="481">
        <f t="shared" si="1"/>
        <v>1.5</v>
      </c>
      <c r="M12" s="480" t="s">
        <v>233</v>
      </c>
      <c r="N12">
        <v>0</v>
      </c>
    </row>
    <row r="13" spans="2:15" ht="51" x14ac:dyDescent="0.2">
      <c r="C13" s="389">
        <f t="shared" ref="C13:C14" si="2">ROW()-6</f>
        <v>7</v>
      </c>
      <c r="D13" s="18">
        <f>IF(AND(ISBLANK(Table22[[#This Row],[Start Date]]),ISBLANK(Table22[[#This Row],[Class]]),ISBLANK(Table22[[#This Row],[Class Description]]),ISBLANK(Table22[[#This Row],[No. of Attendees
(A)]])),0,IF(OR(ISBLANK(Table22[[#This Row],[Class]]),ISBLANK(Table22[[#This Row],[No. of Attendees
(A)]]),ISBLANK(Table22[[#This Row],[Length of Session
(B)]])),1,0))</f>
        <v>0</v>
      </c>
      <c r="E13" s="624">
        <v>45714</v>
      </c>
      <c r="F13" s="625" t="s">
        <v>309</v>
      </c>
      <c r="G13" s="625" t="s">
        <v>310</v>
      </c>
      <c r="H13" s="626" t="s">
        <v>231</v>
      </c>
      <c r="I13" s="627" t="s">
        <v>302</v>
      </c>
      <c r="J13">
        <v>1</v>
      </c>
      <c r="K13" s="444">
        <v>1</v>
      </c>
      <c r="L13" s="481">
        <f t="shared" ref="L13:L14" si="3">J13*K13</f>
        <v>1</v>
      </c>
      <c r="M13" s="480" t="s">
        <v>233</v>
      </c>
      <c r="N13">
        <v>0</v>
      </c>
    </row>
    <row r="14" spans="2:15" ht="25.5" x14ac:dyDescent="0.2">
      <c r="C14" s="389">
        <f t="shared" si="2"/>
        <v>8</v>
      </c>
      <c r="D14" s="18">
        <f>IF(AND(ISBLANK(Table22[[#This Row],[Start Date]]),ISBLANK(Table22[[#This Row],[Class]]),ISBLANK(Table22[[#This Row],[Class Description]]),ISBLANK(Table22[[#This Row],[No. of Attendees
(A)]])),0,IF(OR(ISBLANK(Table22[[#This Row],[Class]]),ISBLANK(Table22[[#This Row],[No. of Attendees
(A)]]),ISBLANK(Table22[[#This Row],[Length of Session
(B)]])),1,0))</f>
        <v>0</v>
      </c>
      <c r="E14" s="624">
        <v>45714</v>
      </c>
      <c r="F14" s="625" t="s">
        <v>311</v>
      </c>
      <c r="G14" s="625" t="s">
        <v>312</v>
      </c>
      <c r="H14" s="626" t="s">
        <v>231</v>
      </c>
      <c r="I14" s="627" t="s">
        <v>302</v>
      </c>
      <c r="J14">
        <v>1</v>
      </c>
      <c r="K14" s="444">
        <v>1</v>
      </c>
      <c r="L14" s="481">
        <f t="shared" si="3"/>
        <v>1</v>
      </c>
      <c r="M14" s="480" t="s">
        <v>233</v>
      </c>
      <c r="N14">
        <v>0</v>
      </c>
    </row>
    <row r="15" spans="2:15" ht="38.25" x14ac:dyDescent="0.2">
      <c r="C15" s="389">
        <f t="shared" ref="C15:C30" si="4">ROW()-6</f>
        <v>9</v>
      </c>
      <c r="D15" s="18">
        <f>IF(AND(ISBLANK(Table22[[#This Row],[Start Date]]),ISBLANK(Table22[[#This Row],[Class]]),ISBLANK(Table22[[#This Row],[Class Description]]),ISBLANK(Table22[[#This Row],[No. of Attendees
(A)]])),0,IF(OR(ISBLANK(Table22[[#This Row],[Class]]),ISBLANK(Table22[[#This Row],[No. of Attendees
(A)]]),ISBLANK(Table22[[#This Row],[Length of Session
(B)]])),1,0))</f>
        <v>0</v>
      </c>
      <c r="E15" s="477">
        <v>45720</v>
      </c>
      <c r="F15" s="480" t="s">
        <v>313</v>
      </c>
      <c r="G15" s="480" t="s">
        <v>314</v>
      </c>
      <c r="H15" s="402" t="s">
        <v>246</v>
      </c>
      <c r="I15" s="402" t="s">
        <v>315</v>
      </c>
      <c r="J15">
        <v>1</v>
      </c>
      <c r="K15" s="402">
        <v>1</v>
      </c>
      <c r="L15" s="481">
        <f t="shared" ref="L15:L30" si="5">J15*K15</f>
        <v>1</v>
      </c>
      <c r="M15" s="480" t="s">
        <v>233</v>
      </c>
      <c r="N15">
        <v>0</v>
      </c>
    </row>
    <row r="16" spans="2:15" ht="25.5" x14ac:dyDescent="0.2">
      <c r="C16" s="389">
        <f t="shared" si="4"/>
        <v>10</v>
      </c>
      <c r="D16" s="18">
        <f>IF(AND(ISBLANK(Table22[[#This Row],[Start Date]]),ISBLANK(Table22[[#This Row],[Class]]),ISBLANK(Table22[[#This Row],[Class Description]]),ISBLANK(Table22[[#This Row],[No. of Attendees
(A)]])),0,IF(OR(ISBLANK(Table22[[#This Row],[Class]]),ISBLANK(Table22[[#This Row],[No. of Attendees
(A)]]),ISBLANK(Table22[[#This Row],[Length of Session
(B)]])),1,0))</f>
        <v>0</v>
      </c>
      <c r="E16" s="477">
        <v>45726</v>
      </c>
      <c r="F16" s="480" t="s">
        <v>316</v>
      </c>
      <c r="G16" s="480" t="s">
        <v>317</v>
      </c>
      <c r="H16" s="402" t="s">
        <v>318</v>
      </c>
      <c r="I16" s="402" t="s">
        <v>243</v>
      </c>
      <c r="J16">
        <v>1</v>
      </c>
      <c r="K16" s="402">
        <v>2</v>
      </c>
      <c r="L16" s="481">
        <f t="shared" si="5"/>
        <v>2</v>
      </c>
      <c r="M16" s="480" t="s">
        <v>233</v>
      </c>
      <c r="N16">
        <v>0</v>
      </c>
    </row>
    <row r="17" spans="3:14" x14ac:dyDescent="0.2">
      <c r="C17" s="389">
        <f t="shared" si="4"/>
        <v>11</v>
      </c>
      <c r="D17" s="18">
        <f>IF(AND(ISBLANK(Table22[[#This Row],[Start Date]]),ISBLANK(Table22[[#This Row],[Class]]),ISBLANK(Table22[[#This Row],[Class Description]]),ISBLANK(Table22[[#This Row],[No. of Attendees
(A)]])),0,IF(OR(ISBLANK(Table22[[#This Row],[Class]]),ISBLANK(Table22[[#This Row],[No. of Attendees
(A)]]),ISBLANK(Table22[[#This Row],[Length of Session
(B)]])),1,0))</f>
        <v>0</v>
      </c>
      <c r="E17" s="442">
        <v>45726</v>
      </c>
      <c r="F17" s="443" t="s">
        <v>319</v>
      </c>
      <c r="G17" s="443" t="s">
        <v>320</v>
      </c>
      <c r="H17" s="443" t="s">
        <v>242</v>
      </c>
      <c r="I17" s="444" t="s">
        <v>243</v>
      </c>
      <c r="J17">
        <v>1</v>
      </c>
      <c r="K17" s="444">
        <v>1.5</v>
      </c>
      <c r="L17" s="481">
        <f t="shared" si="5"/>
        <v>1.5</v>
      </c>
      <c r="M17" s="480" t="s">
        <v>233</v>
      </c>
      <c r="N17">
        <v>0</v>
      </c>
    </row>
    <row r="18" spans="3:14" ht="51" x14ac:dyDescent="0.2">
      <c r="C18" s="389">
        <f t="shared" si="4"/>
        <v>12</v>
      </c>
      <c r="D18" s="18">
        <f>IF(AND(ISBLANK(Table22[[#This Row],[Start Date]]),ISBLANK(Table22[[#This Row],[Class]]),ISBLANK(Table22[[#This Row],[Class Description]]),ISBLANK(Table22[[#This Row],[No. of Attendees
(A)]])),0,IF(OR(ISBLANK(Table22[[#This Row],[Class]]),ISBLANK(Table22[[#This Row],[No. of Attendees
(A)]]),ISBLANK(Table22[[#This Row],[Length of Session
(B)]])),1,0))</f>
        <v>0</v>
      </c>
      <c r="E18" s="477">
        <v>45727</v>
      </c>
      <c r="F18" s="480" t="s">
        <v>321</v>
      </c>
      <c r="G18" s="480" t="s">
        <v>322</v>
      </c>
      <c r="H18" s="402" t="s">
        <v>318</v>
      </c>
      <c r="I18" s="402" t="s">
        <v>243</v>
      </c>
      <c r="J18">
        <v>1</v>
      </c>
      <c r="K18" s="402">
        <v>1.25</v>
      </c>
      <c r="L18" s="481">
        <f t="shared" si="5"/>
        <v>1.25</v>
      </c>
      <c r="M18" s="480" t="s">
        <v>233</v>
      </c>
      <c r="N18">
        <v>0</v>
      </c>
    </row>
    <row r="19" spans="3:14" ht="51" x14ac:dyDescent="0.2">
      <c r="C19" s="389">
        <f t="shared" si="4"/>
        <v>13</v>
      </c>
      <c r="D19" s="18">
        <f>IF(AND(ISBLANK(Table22[[#This Row],[Start Date]]),ISBLANK(Table22[[#This Row],[Class]]),ISBLANK(Table22[[#This Row],[Class Description]]),ISBLANK(Table22[[#This Row],[No. of Attendees
(A)]])),0,IF(OR(ISBLANK(Table22[[#This Row],[Class]]),ISBLANK(Table22[[#This Row],[No. of Attendees
(A)]]),ISBLANK(Table22[[#This Row],[Length of Session
(B)]])),1,0))</f>
        <v>0</v>
      </c>
      <c r="E19" s="477">
        <v>45727</v>
      </c>
      <c r="F19" s="480" t="s">
        <v>323</v>
      </c>
      <c r="G19" s="480" t="s">
        <v>324</v>
      </c>
      <c r="H19" s="402" t="s">
        <v>318</v>
      </c>
      <c r="I19" s="402" t="s">
        <v>243</v>
      </c>
      <c r="J19">
        <v>1</v>
      </c>
      <c r="K19" s="402">
        <v>1.25</v>
      </c>
      <c r="L19" s="481">
        <f t="shared" si="5"/>
        <v>1.25</v>
      </c>
      <c r="M19" s="480" t="s">
        <v>233</v>
      </c>
      <c r="N19">
        <v>0</v>
      </c>
    </row>
    <row r="20" spans="3:14" ht="38.25" x14ac:dyDescent="0.2">
      <c r="C20" s="389">
        <f t="shared" si="4"/>
        <v>14</v>
      </c>
      <c r="D20" s="18">
        <f>IF(AND(ISBLANK(Table22[[#This Row],[Start Date]]),ISBLANK(Table22[[#This Row],[Class]]),ISBLANK(Table22[[#This Row],[Class Description]]),ISBLANK(Table22[[#This Row],[No. of Attendees
(A)]])),0,IF(OR(ISBLANK(Table22[[#This Row],[Class]]),ISBLANK(Table22[[#This Row],[No. of Attendees
(A)]]),ISBLANK(Table22[[#This Row],[Length of Session
(B)]])),1,0))</f>
        <v>0</v>
      </c>
      <c r="E20" s="477">
        <v>45727</v>
      </c>
      <c r="F20" s="480" t="s">
        <v>325</v>
      </c>
      <c r="G20" s="480" t="s">
        <v>326</v>
      </c>
      <c r="H20" s="402" t="s">
        <v>318</v>
      </c>
      <c r="I20" s="402" t="s">
        <v>243</v>
      </c>
      <c r="J20">
        <v>1</v>
      </c>
      <c r="K20" s="402">
        <v>1.25</v>
      </c>
      <c r="L20" s="481">
        <f t="shared" si="5"/>
        <v>1.25</v>
      </c>
      <c r="M20" s="480" t="s">
        <v>233</v>
      </c>
      <c r="N20">
        <v>0</v>
      </c>
    </row>
    <row r="21" spans="3:14" ht="51" x14ac:dyDescent="0.2">
      <c r="C21" s="389">
        <f t="shared" si="4"/>
        <v>15</v>
      </c>
      <c r="D21" s="18">
        <f>IF(AND(ISBLANK(Table22[[#This Row],[Start Date]]),ISBLANK(Table22[[#This Row],[Class]]),ISBLANK(Table22[[#This Row],[Class Description]]),ISBLANK(Table22[[#This Row],[No. of Attendees
(A)]])),0,IF(OR(ISBLANK(Table22[[#This Row],[Class]]),ISBLANK(Table22[[#This Row],[No. of Attendees
(A)]]),ISBLANK(Table22[[#This Row],[Length of Session
(B)]])),1,0))</f>
        <v>0</v>
      </c>
      <c r="E21" s="442">
        <v>45727</v>
      </c>
      <c r="F21" s="443" t="s">
        <v>321</v>
      </c>
      <c r="G21" s="443" t="s">
        <v>327</v>
      </c>
      <c r="H21" s="444" t="s">
        <v>242</v>
      </c>
      <c r="I21" s="444" t="s">
        <v>243</v>
      </c>
      <c r="J21">
        <v>1</v>
      </c>
      <c r="K21" s="444">
        <v>1.25</v>
      </c>
      <c r="L21" s="481">
        <f t="shared" si="5"/>
        <v>1.25</v>
      </c>
      <c r="M21" s="480" t="s">
        <v>233</v>
      </c>
      <c r="N21">
        <v>0</v>
      </c>
    </row>
    <row r="22" spans="3:14" ht="25.5" x14ac:dyDescent="0.2">
      <c r="C22" s="389">
        <f t="shared" si="4"/>
        <v>16</v>
      </c>
      <c r="D22" s="18">
        <f>IF(AND(ISBLANK(Table22[[#This Row],[Start Date]]),ISBLANK(Table22[[#This Row],[Class]]),ISBLANK(Table22[[#This Row],[Class Description]]),ISBLANK(Table22[[#This Row],[No. of Attendees
(A)]])),0,IF(OR(ISBLANK(Table22[[#This Row],[Class]]),ISBLANK(Table22[[#This Row],[No. of Attendees
(A)]]),ISBLANK(Table22[[#This Row],[Length of Session
(B)]])),1,0))</f>
        <v>0</v>
      </c>
      <c r="E22" s="442">
        <v>45727</v>
      </c>
      <c r="F22" s="443" t="s">
        <v>328</v>
      </c>
      <c r="G22" s="443" t="s">
        <v>329</v>
      </c>
      <c r="H22" s="444" t="s">
        <v>242</v>
      </c>
      <c r="I22" s="444" t="s">
        <v>243</v>
      </c>
      <c r="J22">
        <v>1</v>
      </c>
      <c r="K22" s="444">
        <v>1.25</v>
      </c>
      <c r="L22" s="481">
        <f t="shared" si="5"/>
        <v>1.25</v>
      </c>
      <c r="M22" s="480" t="s">
        <v>233</v>
      </c>
      <c r="N22">
        <v>0</v>
      </c>
    </row>
    <row r="23" spans="3:14" ht="38.25" x14ac:dyDescent="0.2">
      <c r="C23" s="389">
        <f t="shared" si="4"/>
        <v>17</v>
      </c>
      <c r="D23" s="18">
        <f>IF(AND(ISBLANK(Table22[[#This Row],[Start Date]]),ISBLANK(Table22[[#This Row],[Class]]),ISBLANK(Table22[[#This Row],[Class Description]]),ISBLANK(Table22[[#This Row],[No. of Attendees
(A)]])),0,IF(OR(ISBLANK(Table22[[#This Row],[Class]]),ISBLANK(Table22[[#This Row],[No. of Attendees
(A)]]),ISBLANK(Table22[[#This Row],[Length of Session
(B)]])),1,0))</f>
        <v>0</v>
      </c>
      <c r="E23" s="442">
        <v>45727</v>
      </c>
      <c r="F23" s="443" t="s">
        <v>330</v>
      </c>
      <c r="G23" s="443" t="s">
        <v>331</v>
      </c>
      <c r="H23" s="444" t="s">
        <v>242</v>
      </c>
      <c r="I23" s="444" t="s">
        <v>243</v>
      </c>
      <c r="J23">
        <v>1</v>
      </c>
      <c r="K23" s="444">
        <v>1.25</v>
      </c>
      <c r="L23" s="481">
        <f t="shared" si="5"/>
        <v>1.25</v>
      </c>
      <c r="M23" s="480" t="s">
        <v>233</v>
      </c>
      <c r="N23">
        <v>0</v>
      </c>
    </row>
    <row r="24" spans="3:14" ht="63.75" x14ac:dyDescent="0.2">
      <c r="C24" s="389">
        <f t="shared" si="4"/>
        <v>18</v>
      </c>
      <c r="D24" s="18">
        <f>IF(AND(ISBLANK(Table22[[#This Row],[Start Date]]),ISBLANK(Table22[[#This Row],[Class]]),ISBLANK(Table22[[#This Row],[Class Description]]),ISBLANK(Table22[[#This Row],[No. of Attendees
(A)]])),0,IF(OR(ISBLANK(Table22[[#This Row],[Class]]),ISBLANK(Table22[[#This Row],[No. of Attendees
(A)]]),ISBLANK(Table22[[#This Row],[Length of Session
(B)]])),1,0))</f>
        <v>0</v>
      </c>
      <c r="E24" s="477">
        <v>45728</v>
      </c>
      <c r="F24" s="480" t="s">
        <v>332</v>
      </c>
      <c r="G24" s="480" t="s">
        <v>333</v>
      </c>
      <c r="H24" s="402" t="s">
        <v>318</v>
      </c>
      <c r="I24" s="402" t="s">
        <v>243</v>
      </c>
      <c r="J24">
        <v>1</v>
      </c>
      <c r="K24" s="402">
        <v>1.25</v>
      </c>
      <c r="L24" s="481">
        <f t="shared" si="5"/>
        <v>1.25</v>
      </c>
      <c r="M24" s="480" t="s">
        <v>233</v>
      </c>
      <c r="N24">
        <v>0</v>
      </c>
    </row>
    <row r="25" spans="3:14" ht="38.25" x14ac:dyDescent="0.2">
      <c r="C25" s="389">
        <f t="shared" si="4"/>
        <v>19</v>
      </c>
      <c r="D25" s="18">
        <f>IF(AND(ISBLANK(Table22[[#This Row],[Start Date]]),ISBLANK(Table22[[#This Row],[Class]]),ISBLANK(Table22[[#This Row],[Class Description]]),ISBLANK(Table22[[#This Row],[No. of Attendees
(A)]])),0,IF(OR(ISBLANK(Table22[[#This Row],[Class]]),ISBLANK(Table22[[#This Row],[No. of Attendees
(A)]]),ISBLANK(Table22[[#This Row],[Length of Session
(B)]])),1,0))</f>
        <v>0</v>
      </c>
      <c r="E25" s="477">
        <v>45728</v>
      </c>
      <c r="F25" s="480" t="s">
        <v>334</v>
      </c>
      <c r="G25" s="480" t="s">
        <v>335</v>
      </c>
      <c r="H25" s="402" t="s">
        <v>318</v>
      </c>
      <c r="I25" s="402" t="s">
        <v>243</v>
      </c>
      <c r="J25">
        <v>1</v>
      </c>
      <c r="K25" s="402">
        <v>1.25</v>
      </c>
      <c r="L25" s="481">
        <f t="shared" si="5"/>
        <v>1.25</v>
      </c>
      <c r="M25" s="480" t="s">
        <v>233</v>
      </c>
      <c r="N25">
        <v>0</v>
      </c>
    </row>
    <row r="26" spans="3:14" ht="63.75" x14ac:dyDescent="0.2">
      <c r="C26" s="389">
        <f t="shared" si="4"/>
        <v>20</v>
      </c>
      <c r="D26" s="18">
        <f>IF(AND(ISBLANK(Table22[[#This Row],[Start Date]]),ISBLANK(Table22[[#This Row],[Class]]),ISBLANK(Table22[[#This Row],[Class Description]]),ISBLANK(Table22[[#This Row],[No. of Attendees
(A)]])),0,IF(OR(ISBLANK(Table22[[#This Row],[Class]]),ISBLANK(Table22[[#This Row],[No. of Attendees
(A)]]),ISBLANK(Table22[[#This Row],[Length of Session
(B)]])),1,0))</f>
        <v>0</v>
      </c>
      <c r="E26" s="477">
        <v>45728</v>
      </c>
      <c r="F26" s="480" t="s">
        <v>336</v>
      </c>
      <c r="G26" s="480" t="s">
        <v>337</v>
      </c>
      <c r="H26" s="402" t="s">
        <v>318</v>
      </c>
      <c r="I26" s="402" t="s">
        <v>243</v>
      </c>
      <c r="J26">
        <v>1</v>
      </c>
      <c r="K26" s="402">
        <v>1.25</v>
      </c>
      <c r="L26" s="481">
        <f t="shared" si="5"/>
        <v>1.25</v>
      </c>
      <c r="M26" s="480" t="s">
        <v>233</v>
      </c>
      <c r="N26">
        <v>0</v>
      </c>
    </row>
    <row r="27" spans="3:14" ht="51" x14ac:dyDescent="0.2">
      <c r="C27" s="389">
        <f t="shared" si="4"/>
        <v>21</v>
      </c>
      <c r="D27" s="18">
        <f>IF(AND(ISBLANK(Table22[[#This Row],[Start Date]]),ISBLANK(Table22[[#This Row],[Class]]),ISBLANK(Table22[[#This Row],[Class Description]]),ISBLANK(Table22[[#This Row],[No. of Attendees
(A)]])),0,IF(OR(ISBLANK(Table22[[#This Row],[Class]]),ISBLANK(Table22[[#This Row],[No. of Attendees
(A)]]),ISBLANK(Table22[[#This Row],[Length of Session
(B)]])),1,0))</f>
        <v>0</v>
      </c>
      <c r="E27" s="477">
        <v>45728</v>
      </c>
      <c r="F27" s="480" t="s">
        <v>338</v>
      </c>
      <c r="G27" s="480" t="s">
        <v>339</v>
      </c>
      <c r="H27" s="402" t="s">
        <v>318</v>
      </c>
      <c r="I27" s="402" t="s">
        <v>243</v>
      </c>
      <c r="J27">
        <v>1</v>
      </c>
      <c r="K27" s="402">
        <v>1.25</v>
      </c>
      <c r="L27" s="481">
        <f t="shared" si="5"/>
        <v>1.25</v>
      </c>
      <c r="M27" s="480" t="s">
        <v>233</v>
      </c>
      <c r="N27">
        <v>0</v>
      </c>
    </row>
    <row r="28" spans="3:14" ht="63.75" x14ac:dyDescent="0.2">
      <c r="C28" s="389">
        <f t="shared" si="4"/>
        <v>22</v>
      </c>
      <c r="D28" s="18">
        <f>IF(AND(ISBLANK(Table22[[#This Row],[Start Date]]),ISBLANK(Table22[[#This Row],[Class]]),ISBLANK(Table22[[#This Row],[Class Description]]),ISBLANK(Table22[[#This Row],[No. of Attendees
(A)]])),0,IF(OR(ISBLANK(Table22[[#This Row],[Class]]),ISBLANK(Table22[[#This Row],[No. of Attendees
(A)]]),ISBLANK(Table22[[#This Row],[Length of Session
(B)]])),1,0))</f>
        <v>0</v>
      </c>
      <c r="E28" s="442">
        <v>45728</v>
      </c>
      <c r="F28" s="443" t="s">
        <v>340</v>
      </c>
      <c r="G28" s="443" t="s">
        <v>341</v>
      </c>
      <c r="H28" s="444" t="s">
        <v>342</v>
      </c>
      <c r="I28" s="444" t="s">
        <v>243</v>
      </c>
      <c r="J28">
        <v>1</v>
      </c>
      <c r="K28" s="444">
        <v>1</v>
      </c>
      <c r="L28" s="481">
        <f t="shared" si="5"/>
        <v>1</v>
      </c>
      <c r="M28" s="480" t="s">
        <v>233</v>
      </c>
      <c r="N28">
        <v>0</v>
      </c>
    </row>
    <row r="29" spans="3:14" ht="38.25" x14ac:dyDescent="0.2">
      <c r="C29" s="389">
        <f t="shared" si="4"/>
        <v>23</v>
      </c>
      <c r="D29" s="18">
        <f>IF(AND(ISBLANK(Table22[[#This Row],[Start Date]]),ISBLANK(Table22[[#This Row],[Class]]),ISBLANK(Table22[[#This Row],[Class Description]]),ISBLANK(Table22[[#This Row],[No. of Attendees
(A)]])),0,IF(OR(ISBLANK(Table22[[#This Row],[Class]]),ISBLANK(Table22[[#This Row],[No. of Attendees
(A)]]),ISBLANK(Table22[[#This Row],[Length of Session
(B)]])),1,0))</f>
        <v>0</v>
      </c>
      <c r="E29" s="442">
        <v>45728</v>
      </c>
      <c r="F29" s="443" t="s">
        <v>343</v>
      </c>
      <c r="G29" s="443" t="s">
        <v>344</v>
      </c>
      <c r="H29" s="444" t="s">
        <v>242</v>
      </c>
      <c r="I29" s="444" t="s">
        <v>243</v>
      </c>
      <c r="J29">
        <v>1</v>
      </c>
      <c r="K29" s="444">
        <v>1</v>
      </c>
      <c r="L29" s="481">
        <f t="shared" si="5"/>
        <v>1</v>
      </c>
      <c r="M29" s="480" t="s">
        <v>233</v>
      </c>
      <c r="N29">
        <v>0</v>
      </c>
    </row>
    <row r="30" spans="3:14" ht="25.5" x14ac:dyDescent="0.2">
      <c r="C30" s="389">
        <f t="shared" si="4"/>
        <v>24</v>
      </c>
      <c r="D30" s="18">
        <f>IF(AND(ISBLANK(Table22[[#This Row],[Start Date]]),ISBLANK(Table22[[#This Row],[Class]]),ISBLANK(Table22[[#This Row],[Class Description]]),ISBLANK(Table22[[#This Row],[No. of Attendees
(A)]])),0,IF(OR(ISBLANK(Table22[[#This Row],[Class]]),ISBLANK(Table22[[#This Row],[No. of Attendees
(A)]]),ISBLANK(Table22[[#This Row],[Length of Session
(B)]])),1,0))</f>
        <v>0</v>
      </c>
      <c r="E30" s="442">
        <v>45728</v>
      </c>
      <c r="F30" s="443" t="s">
        <v>345</v>
      </c>
      <c r="G30" s="443" t="s">
        <v>346</v>
      </c>
      <c r="H30" s="444" t="s">
        <v>242</v>
      </c>
      <c r="I30" s="444" t="s">
        <v>243</v>
      </c>
      <c r="J30">
        <v>1</v>
      </c>
      <c r="K30" s="444">
        <v>1</v>
      </c>
      <c r="L30" s="481">
        <f t="shared" si="5"/>
        <v>1</v>
      </c>
      <c r="M30" s="480" t="s">
        <v>233</v>
      </c>
      <c r="N30">
        <v>0</v>
      </c>
    </row>
    <row r="31" spans="3:14" ht="51" x14ac:dyDescent="0.2">
      <c r="C31" s="389">
        <f t="shared" ref="C31:C38" si="6">ROW()-6</f>
        <v>25</v>
      </c>
      <c r="D31" s="18">
        <f>IF(AND(ISBLANK(Table22[[#This Row],[Start Date]]),ISBLANK(Table22[[#This Row],[Class]]),ISBLANK(Table22[[#This Row],[Class Description]]),ISBLANK(Table22[[#This Row],[No. of Attendees
(A)]])),0,IF(OR(ISBLANK(Table22[[#This Row],[Class]]),ISBLANK(Table22[[#This Row],[No. of Attendees
(A)]]),ISBLANK(Table22[[#This Row],[Length of Session
(B)]])),1,0))</f>
        <v>0</v>
      </c>
      <c r="E31" s="442">
        <v>45728</v>
      </c>
      <c r="F31" s="443" t="s">
        <v>347</v>
      </c>
      <c r="G31" s="628" t="s">
        <v>348</v>
      </c>
      <c r="H31" s="444" t="s">
        <v>242</v>
      </c>
      <c r="I31" s="444" t="s">
        <v>243</v>
      </c>
      <c r="J31">
        <v>1</v>
      </c>
      <c r="K31" s="444">
        <v>1</v>
      </c>
      <c r="L31" s="481">
        <f t="shared" ref="L31:L38" si="7">J31*K31</f>
        <v>1</v>
      </c>
      <c r="M31" s="480" t="s">
        <v>233</v>
      </c>
      <c r="N31">
        <v>0</v>
      </c>
    </row>
    <row r="32" spans="3:14" ht="38.25" x14ac:dyDescent="0.2">
      <c r="C32" s="389">
        <f t="shared" si="6"/>
        <v>26</v>
      </c>
      <c r="D32" s="18">
        <f>IF(AND(ISBLANK(Table22[[#This Row],[Start Date]]),ISBLANK(Table22[[#This Row],[Class]]),ISBLANK(Table22[[#This Row],[Class Description]]),ISBLANK(Table22[[#This Row],[No. of Attendees
(A)]])),0,IF(OR(ISBLANK(Table22[[#This Row],[Class]]),ISBLANK(Table22[[#This Row],[No. of Attendees
(A)]]),ISBLANK(Table22[[#This Row],[Length of Session
(B)]])),1,0))</f>
        <v>0</v>
      </c>
      <c r="E32" s="477">
        <v>45729</v>
      </c>
      <c r="F32" s="480" t="s">
        <v>349</v>
      </c>
      <c r="G32" s="480" t="s">
        <v>350</v>
      </c>
      <c r="H32" s="402" t="s">
        <v>318</v>
      </c>
      <c r="I32" s="402" t="s">
        <v>243</v>
      </c>
      <c r="J32">
        <v>1</v>
      </c>
      <c r="K32" s="402">
        <v>1.25</v>
      </c>
      <c r="L32" s="481">
        <f t="shared" si="7"/>
        <v>1.25</v>
      </c>
      <c r="M32" s="480" t="s">
        <v>233</v>
      </c>
      <c r="N32">
        <v>0</v>
      </c>
    </row>
    <row r="33" spans="3:14" ht="63.75" x14ac:dyDescent="0.2">
      <c r="C33" s="389">
        <f t="shared" si="6"/>
        <v>27</v>
      </c>
      <c r="D33" s="18">
        <f>IF(AND(ISBLANK(Table22[[#This Row],[Start Date]]),ISBLANK(Table22[[#This Row],[Class]]),ISBLANK(Table22[[#This Row],[Class Description]]),ISBLANK(Table22[[#This Row],[No. of Attendees
(A)]])),0,IF(OR(ISBLANK(Table22[[#This Row],[Class]]),ISBLANK(Table22[[#This Row],[No. of Attendees
(A)]]),ISBLANK(Table22[[#This Row],[Length of Session
(B)]])),1,0))</f>
        <v>0</v>
      </c>
      <c r="E33" s="442">
        <v>45729</v>
      </c>
      <c r="F33" s="443" t="s">
        <v>351</v>
      </c>
      <c r="G33" s="628" t="s">
        <v>348</v>
      </c>
      <c r="H33" s="444" t="s">
        <v>242</v>
      </c>
      <c r="I33" s="444" t="s">
        <v>243</v>
      </c>
      <c r="J33">
        <v>1</v>
      </c>
      <c r="K33" s="444">
        <v>1</v>
      </c>
      <c r="L33" s="481">
        <f t="shared" si="7"/>
        <v>1</v>
      </c>
      <c r="M33" s="480" t="s">
        <v>233</v>
      </c>
      <c r="N33">
        <v>0</v>
      </c>
    </row>
    <row r="34" spans="3:14" ht="76.5" x14ac:dyDescent="0.2">
      <c r="C34" s="389">
        <f t="shared" si="6"/>
        <v>28</v>
      </c>
      <c r="D34" s="18">
        <f>IF(AND(ISBLANK(Table22[[#This Row],[Start Date]]),ISBLANK(Table22[[#This Row],[Class]]),ISBLANK(Table22[[#This Row],[Class Description]]),ISBLANK(Table22[[#This Row],[No. of Attendees
(A)]])),0,IF(OR(ISBLANK(Table22[[#This Row],[Class]]),ISBLANK(Table22[[#This Row],[No. of Attendees
(A)]]),ISBLANK(Table22[[#This Row],[Length of Session
(B)]])),1,0))</f>
        <v>0</v>
      </c>
      <c r="E34" s="442">
        <v>45729</v>
      </c>
      <c r="F34" s="443" t="s">
        <v>352</v>
      </c>
      <c r="G34" s="628" t="s">
        <v>348</v>
      </c>
      <c r="H34" s="444" t="s">
        <v>242</v>
      </c>
      <c r="I34" s="444" t="s">
        <v>243</v>
      </c>
      <c r="J34">
        <v>1</v>
      </c>
      <c r="K34" s="444">
        <v>1</v>
      </c>
      <c r="L34" s="481">
        <f t="shared" si="7"/>
        <v>1</v>
      </c>
      <c r="M34" s="480" t="s">
        <v>233</v>
      </c>
      <c r="N34">
        <v>0</v>
      </c>
    </row>
    <row r="35" spans="3:14" ht="25.5" x14ac:dyDescent="0.2">
      <c r="C35" s="389">
        <f t="shared" si="6"/>
        <v>29</v>
      </c>
      <c r="D35" s="18">
        <f>IF(AND(ISBLANK(Table22[[#This Row],[Start Date]]),ISBLANK(Table22[[#This Row],[Class]]),ISBLANK(Table22[[#This Row],[Class Description]]),ISBLANK(Table22[[#This Row],[No. of Attendees
(A)]])),0,IF(OR(ISBLANK(Table22[[#This Row],[Class]]),ISBLANK(Table22[[#This Row],[No. of Attendees
(A)]]),ISBLANK(Table22[[#This Row],[Length of Session
(B)]])),1,0))</f>
        <v>0</v>
      </c>
      <c r="E35" s="442">
        <v>45729</v>
      </c>
      <c r="F35" s="443" t="s">
        <v>353</v>
      </c>
      <c r="G35" s="628" t="s">
        <v>348</v>
      </c>
      <c r="H35" s="444" t="s">
        <v>242</v>
      </c>
      <c r="I35" s="444" t="s">
        <v>243</v>
      </c>
      <c r="J35">
        <v>1</v>
      </c>
      <c r="K35" s="444">
        <v>1.5</v>
      </c>
      <c r="L35" s="481">
        <f t="shared" si="7"/>
        <v>1.5</v>
      </c>
      <c r="M35" s="480" t="s">
        <v>233</v>
      </c>
      <c r="N35">
        <v>0</v>
      </c>
    </row>
    <row r="36" spans="3:14" ht="38.25" x14ac:dyDescent="0.2">
      <c r="C36" s="389">
        <f t="shared" si="6"/>
        <v>30</v>
      </c>
      <c r="D36" s="18">
        <f>IF(AND(ISBLANK(Table22[[#This Row],[Start Date]]),ISBLANK(Table22[[#This Row],[Class]]),ISBLANK(Table22[[#This Row],[Class Description]]),ISBLANK(Table22[[#This Row],[No. of Attendees
(A)]])),0,IF(OR(ISBLANK(Table22[[#This Row],[Class]]),ISBLANK(Table22[[#This Row],[No. of Attendees
(A)]]),ISBLANK(Table22[[#This Row],[Length of Session
(B)]])),1,0))</f>
        <v>0</v>
      </c>
      <c r="E36" s="477">
        <v>45777</v>
      </c>
      <c r="F36" s="480" t="s">
        <v>354</v>
      </c>
      <c r="G36" s="480" t="s">
        <v>355</v>
      </c>
      <c r="H36" s="402" t="s">
        <v>246</v>
      </c>
      <c r="I36" s="402" t="s">
        <v>254</v>
      </c>
      <c r="J36">
        <v>1</v>
      </c>
      <c r="K36" s="402">
        <v>1.5</v>
      </c>
      <c r="L36" s="481">
        <f t="shared" si="7"/>
        <v>1.5</v>
      </c>
      <c r="M36" s="480" t="s">
        <v>233</v>
      </c>
      <c r="N36">
        <v>0</v>
      </c>
    </row>
    <row r="37" spans="3:14" ht="25.5" x14ac:dyDescent="0.2">
      <c r="C37" s="389">
        <f t="shared" si="6"/>
        <v>31</v>
      </c>
      <c r="D37" s="18">
        <f>IF(AND(ISBLANK(Table22[[#This Row],[Start Date]]),ISBLANK(Table22[[#This Row],[Class]]),ISBLANK(Table22[[#This Row],[Class Description]]),ISBLANK(Table22[[#This Row],[No. of Attendees
(A)]])),0,IF(OR(ISBLANK(Table22[[#This Row],[Class]]),ISBLANK(Table22[[#This Row],[No. of Attendees
(A)]]),ISBLANK(Table22[[#This Row],[Length of Session
(B)]])),1,0))</f>
        <v>0</v>
      </c>
      <c r="E37" s="477">
        <v>45798</v>
      </c>
      <c r="F37" s="480" t="s">
        <v>356</v>
      </c>
      <c r="G37" s="480" t="s">
        <v>357</v>
      </c>
      <c r="H37" s="402" t="s">
        <v>246</v>
      </c>
      <c r="I37" s="402" t="s">
        <v>358</v>
      </c>
      <c r="J37">
        <v>1</v>
      </c>
      <c r="K37" s="402">
        <v>1</v>
      </c>
      <c r="L37" s="481">
        <f t="shared" si="7"/>
        <v>1</v>
      </c>
      <c r="M37" s="480" t="s">
        <v>233</v>
      </c>
      <c r="N37">
        <v>0</v>
      </c>
    </row>
    <row r="38" spans="3:14" ht="38.25" x14ac:dyDescent="0.2">
      <c r="C38" s="389">
        <f t="shared" si="6"/>
        <v>32</v>
      </c>
      <c r="D38" s="18">
        <f>IF(AND(ISBLANK(Table22[[#This Row],[Start Date]]),ISBLANK(Table22[[#This Row],[Class]]),ISBLANK(Table22[[#This Row],[Class Description]]),ISBLANK(Table22[[#This Row],[No. of Attendees
(A)]])),0,IF(OR(ISBLANK(Table22[[#This Row],[Class]]),ISBLANK(Table22[[#This Row],[No. of Attendees
(A)]]),ISBLANK(Table22[[#This Row],[Length of Session
(B)]])),1,0))</f>
        <v>0</v>
      </c>
      <c r="E38" s="477">
        <v>45799</v>
      </c>
      <c r="F38" s="480" t="s">
        <v>359</v>
      </c>
      <c r="G38" s="480" t="s">
        <v>360</v>
      </c>
      <c r="H38" s="402" t="s">
        <v>246</v>
      </c>
      <c r="I38" s="402" t="s">
        <v>254</v>
      </c>
      <c r="J38">
        <v>1</v>
      </c>
      <c r="K38" s="402">
        <v>2</v>
      </c>
      <c r="L38" s="481">
        <f t="shared" si="7"/>
        <v>2</v>
      </c>
      <c r="M38" s="480" t="s">
        <v>233</v>
      </c>
      <c r="N38">
        <v>0</v>
      </c>
    </row>
    <row r="39" spans="3:14" ht="51" x14ac:dyDescent="0.2">
      <c r="C39" s="389">
        <f t="shared" ref="C39:C42" si="8">ROW()-6</f>
        <v>33</v>
      </c>
      <c r="D39" s="18">
        <f>IF(AND(ISBLANK(Table22[[#This Row],[Start Date]]),ISBLANK(Table22[[#This Row],[Class]]),ISBLANK(Table22[[#This Row],[Class Description]]),ISBLANK(Table22[[#This Row],[No. of Attendees
(A)]])),0,IF(OR(ISBLANK(Table22[[#This Row],[Class]]),ISBLANK(Table22[[#This Row],[No. of Attendees
(A)]]),ISBLANK(Table22[[#This Row],[Length of Session
(B)]])),1,0))</f>
        <v>0</v>
      </c>
      <c r="E39" s="477">
        <v>45853</v>
      </c>
      <c r="F39" s="480" t="s">
        <v>361</v>
      </c>
      <c r="G39" s="480" t="s">
        <v>362</v>
      </c>
      <c r="H39" s="402" t="s">
        <v>246</v>
      </c>
      <c r="I39" s="402" t="s">
        <v>363</v>
      </c>
      <c r="J39">
        <v>1</v>
      </c>
      <c r="K39" s="402">
        <v>3</v>
      </c>
      <c r="L39" s="481">
        <f t="shared" ref="L39:L42" si="9">J39*K39</f>
        <v>3</v>
      </c>
      <c r="M39" s="480" t="s">
        <v>233</v>
      </c>
      <c r="N39">
        <v>0</v>
      </c>
    </row>
    <row r="40" spans="3:14" ht="25.5" x14ac:dyDescent="0.2">
      <c r="C40" s="389">
        <f t="shared" si="8"/>
        <v>34</v>
      </c>
      <c r="D40" s="18">
        <f>IF(AND(ISBLANK(Table22[[#This Row],[Start Date]]),ISBLANK(Table22[[#This Row],[Class]]),ISBLANK(Table22[[#This Row],[Class Description]]),ISBLANK(Table22[[#This Row],[No. of Attendees
(A)]])),0,IF(OR(ISBLANK(Table22[[#This Row],[Class]]),ISBLANK(Table22[[#This Row],[No. of Attendees
(A)]]),ISBLANK(Table22[[#This Row],[Length of Session
(B)]])),1,0))</f>
        <v>0</v>
      </c>
      <c r="E40" s="477">
        <v>45925</v>
      </c>
      <c r="F40" s="480" t="s">
        <v>364</v>
      </c>
      <c r="G40" s="480" t="s">
        <v>314</v>
      </c>
      <c r="H40" s="402" t="s">
        <v>246</v>
      </c>
      <c r="I40" s="402" t="s">
        <v>254</v>
      </c>
      <c r="J40">
        <v>1</v>
      </c>
      <c r="K40" s="402">
        <v>1.5</v>
      </c>
      <c r="L40" s="481">
        <f t="shared" si="9"/>
        <v>1.5</v>
      </c>
      <c r="M40" s="480" t="s">
        <v>233</v>
      </c>
      <c r="N40">
        <v>0</v>
      </c>
    </row>
    <row r="41" spans="3:14" ht="25.5" x14ac:dyDescent="0.2">
      <c r="C41" s="389">
        <f t="shared" si="8"/>
        <v>35</v>
      </c>
      <c r="D41" s="18">
        <f>IF(AND(ISBLANK(Table22[[#This Row],[Start Date]]),ISBLANK(Table22[[#This Row],[Class]]),ISBLANK(Table22[[#This Row],[Class Description]]),ISBLANK(Table22[[#This Row],[No. of Attendees
(A)]])),0,IF(OR(ISBLANK(Table22[[#This Row],[Class]]),ISBLANK(Table22[[#This Row],[No. of Attendees
(A)]]),ISBLANK(Table22[[#This Row],[Length of Session
(B)]])),1,0))</f>
        <v>0</v>
      </c>
      <c r="E41" s="477">
        <v>45937</v>
      </c>
      <c r="F41" s="480" t="s">
        <v>365</v>
      </c>
      <c r="G41" s="480" t="s">
        <v>366</v>
      </c>
      <c r="H41" s="402" t="s">
        <v>246</v>
      </c>
      <c r="I41" s="402" t="s">
        <v>367</v>
      </c>
      <c r="J41">
        <v>1</v>
      </c>
      <c r="K41" s="402">
        <v>1</v>
      </c>
      <c r="L41" s="481">
        <f t="shared" si="9"/>
        <v>1</v>
      </c>
      <c r="M41" s="480" t="s">
        <v>233</v>
      </c>
      <c r="N41">
        <v>0</v>
      </c>
    </row>
    <row r="42" spans="3:14" ht="63.75" x14ac:dyDescent="0.2">
      <c r="C42" s="389">
        <f t="shared" si="8"/>
        <v>36</v>
      </c>
      <c r="D42" s="18">
        <f>IF(AND(ISBLANK(Table22[[#This Row],[Start Date]]),ISBLANK(Table22[[#This Row],[Class]]),ISBLANK(Table22[[#This Row],[Class Description]]),ISBLANK(Table22[[#This Row],[No. of Attendees
(A)]])),0,IF(OR(ISBLANK(Table22[[#This Row],[Class]]),ISBLANK(Table22[[#This Row],[No. of Attendees
(A)]]),ISBLANK(Table22[[#This Row],[Length of Session
(B)]])),1,0))</f>
        <v>0</v>
      </c>
      <c r="E42" s="442">
        <v>45944</v>
      </c>
      <c r="F42" s="443" t="s">
        <v>368</v>
      </c>
      <c r="G42" s="443" t="s">
        <v>369</v>
      </c>
      <c r="H42" s="443" t="s">
        <v>274</v>
      </c>
      <c r="I42" s="443" t="s">
        <v>370</v>
      </c>
      <c r="J42">
        <v>1</v>
      </c>
      <c r="K42" s="444">
        <v>1</v>
      </c>
      <c r="L42" s="481">
        <f t="shared" si="9"/>
        <v>1</v>
      </c>
      <c r="M42" s="480" t="s">
        <v>233</v>
      </c>
      <c r="N42">
        <v>0</v>
      </c>
    </row>
    <row r="43" spans="3:14" ht="63.75" x14ac:dyDescent="0.2">
      <c r="C43" s="389">
        <f t="shared" ref="C43:C44" si="10">ROW()-6</f>
        <v>37</v>
      </c>
      <c r="D43" s="18">
        <f>IF(AND(ISBLANK(Table22[[#This Row],[Start Date]]),ISBLANK(Table22[[#This Row],[Class]]),ISBLANK(Table22[[#This Row],[Class Description]]),ISBLANK(Table22[[#This Row],[No. of Attendees
(A)]])),0,IF(OR(ISBLANK(Table22[[#This Row],[Class]]),ISBLANK(Table22[[#This Row],[No. of Attendees
(A)]]),ISBLANK(Table22[[#This Row],[Length of Session
(B)]])),1,0))</f>
        <v>0</v>
      </c>
      <c r="E43" s="624">
        <v>45944</v>
      </c>
      <c r="F43" s="629" t="s">
        <v>371</v>
      </c>
      <c r="G43" s="630" t="s">
        <v>348</v>
      </c>
      <c r="H43" s="626" t="s">
        <v>274</v>
      </c>
      <c r="I43" s="626" t="s">
        <v>370</v>
      </c>
      <c r="J43">
        <v>1</v>
      </c>
      <c r="K43" s="444">
        <v>1</v>
      </c>
      <c r="L43" s="481">
        <f t="shared" ref="L43:L44" si="11">J43*K43</f>
        <v>1</v>
      </c>
      <c r="M43" s="480" t="s">
        <v>233</v>
      </c>
      <c r="N43">
        <v>0</v>
      </c>
    </row>
    <row r="44" spans="3:14" ht="25.5" x14ac:dyDescent="0.2">
      <c r="C44" s="389">
        <f t="shared" si="10"/>
        <v>38</v>
      </c>
      <c r="D44" s="18">
        <f>IF(AND(ISBLANK(Table22[[#This Row],[Start Date]]),ISBLANK(Table22[[#This Row],[Class]]),ISBLANK(Table22[[#This Row],[Class Description]]),ISBLANK(Table22[[#This Row],[No. of Attendees
(A)]])),0,IF(OR(ISBLANK(Table22[[#This Row],[Class]]),ISBLANK(Table22[[#This Row],[No. of Attendees
(A)]]),ISBLANK(Table22[[#This Row],[Length of Session
(B)]])),1,0))</f>
        <v>0</v>
      </c>
      <c r="E44" s="477">
        <v>45945</v>
      </c>
      <c r="F44" s="480" t="s">
        <v>372</v>
      </c>
      <c r="G44" s="480" t="s">
        <v>373</v>
      </c>
      <c r="H44" s="402" t="s">
        <v>370</v>
      </c>
      <c r="I44" s="402" t="s">
        <v>254</v>
      </c>
      <c r="J44">
        <v>1</v>
      </c>
      <c r="K44" s="402">
        <v>1.25</v>
      </c>
      <c r="L44" s="481">
        <f t="shared" si="11"/>
        <v>1.25</v>
      </c>
      <c r="M44" s="480" t="s">
        <v>233</v>
      </c>
      <c r="N44">
        <v>0</v>
      </c>
    </row>
    <row r="45" spans="3:14" x14ac:dyDescent="0.2">
      <c r="C45" s="389">
        <f t="shared" si="0"/>
        <v>39</v>
      </c>
      <c r="D45" s="18">
        <f>IF(AND(ISBLANK(Table22[[#This Row],[Start Date]]),ISBLANK(Table22[[#This Row],[Class]]),ISBLANK(Table22[[#This Row],[Class Description]]),ISBLANK(Table22[[#This Row],[No. of Attendees
(A)]])),0,IF(OR(ISBLANK(Table22[[#This Row],[Class]]),ISBLANK(Table22[[#This Row],[No. of Attendees
(A)]]),ISBLANK(Table22[[#This Row],[Length of Session
(B)]])),1,0))</f>
        <v>0</v>
      </c>
      <c r="E45" s="477">
        <v>45945</v>
      </c>
      <c r="F45" s="480" t="s">
        <v>374</v>
      </c>
      <c r="G45" s="480" t="s">
        <v>375</v>
      </c>
      <c r="H45" s="402" t="s">
        <v>370</v>
      </c>
      <c r="I45" s="402" t="s">
        <v>254</v>
      </c>
      <c r="J45">
        <v>1</v>
      </c>
      <c r="K45" s="402">
        <v>1</v>
      </c>
      <c r="L45" s="481">
        <f t="shared" si="1"/>
        <v>1</v>
      </c>
      <c r="M45" s="480" t="s">
        <v>233</v>
      </c>
      <c r="N45">
        <v>0</v>
      </c>
    </row>
    <row r="46" spans="3:14" ht="25.5" x14ac:dyDescent="0.2">
      <c r="C46" s="389">
        <f t="shared" si="0"/>
        <v>40</v>
      </c>
      <c r="D46" s="18">
        <f>IF(AND(ISBLANK(Table22[[#This Row],[Start Date]]),ISBLANK(Table22[[#This Row],[Class]]),ISBLANK(Table22[[#This Row],[Class Description]]),ISBLANK(Table22[[#This Row],[No. of Attendees
(A)]])),0,IF(OR(ISBLANK(Table22[[#This Row],[Class]]),ISBLANK(Table22[[#This Row],[No. of Attendees
(A)]]),ISBLANK(Table22[[#This Row],[Length of Session
(B)]])),1,0))</f>
        <v>0</v>
      </c>
      <c r="E46" s="477">
        <v>45945</v>
      </c>
      <c r="F46" s="480" t="s">
        <v>376</v>
      </c>
      <c r="G46" s="480" t="s">
        <v>377</v>
      </c>
      <c r="H46" s="402" t="s">
        <v>370</v>
      </c>
      <c r="I46" s="402" t="s">
        <v>254</v>
      </c>
      <c r="J46">
        <v>1</v>
      </c>
      <c r="K46" s="402">
        <v>1</v>
      </c>
      <c r="L46" s="481">
        <f t="shared" si="1"/>
        <v>1</v>
      </c>
      <c r="M46" s="480" t="s">
        <v>233</v>
      </c>
      <c r="N46">
        <v>0</v>
      </c>
    </row>
    <row r="47" spans="3:14" ht="25.5" x14ac:dyDescent="0.2">
      <c r="C47" s="389">
        <f t="shared" ref="C47:C91" si="12">ROW()-6</f>
        <v>41</v>
      </c>
      <c r="D47" s="18">
        <f>IF(AND(ISBLANK(Table22[[#This Row],[Start Date]]),ISBLANK(Table22[[#This Row],[Class]]),ISBLANK(Table22[[#This Row],[Class Description]]),ISBLANK(Table22[[#This Row],[No. of Attendees
(A)]])),0,IF(OR(ISBLANK(Table22[[#This Row],[Class]]),ISBLANK(Table22[[#This Row],[No. of Attendees
(A)]]),ISBLANK(Table22[[#This Row],[Length of Session
(B)]])),1,0))</f>
        <v>0</v>
      </c>
      <c r="E47" s="477">
        <v>45945</v>
      </c>
      <c r="F47" s="480" t="s">
        <v>378</v>
      </c>
      <c r="G47" s="480" t="s">
        <v>379</v>
      </c>
      <c r="H47" s="402" t="s">
        <v>370</v>
      </c>
      <c r="I47" s="402" t="s">
        <v>254</v>
      </c>
      <c r="J47">
        <v>1</v>
      </c>
      <c r="K47" s="402">
        <v>1</v>
      </c>
      <c r="L47" s="481">
        <f t="shared" ref="L47:L91" si="13">J47*K47</f>
        <v>1</v>
      </c>
      <c r="M47" s="480" t="s">
        <v>233</v>
      </c>
      <c r="N47">
        <v>0</v>
      </c>
    </row>
    <row r="48" spans="3:14" ht="25.5" x14ac:dyDescent="0.2">
      <c r="C48" s="389">
        <f t="shared" si="12"/>
        <v>42</v>
      </c>
      <c r="D48" s="18">
        <f>IF(AND(ISBLANK(Table22[[#This Row],[Start Date]]),ISBLANK(Table22[[#This Row],[Class]]),ISBLANK(Table22[[#This Row],[Class Description]]),ISBLANK(Table22[[#This Row],[No. of Attendees
(A)]])),0,IF(OR(ISBLANK(Table22[[#This Row],[Class]]),ISBLANK(Table22[[#This Row],[No. of Attendees
(A)]]),ISBLANK(Table22[[#This Row],[Length of Session
(B)]])),1,0))</f>
        <v>0</v>
      </c>
      <c r="E48" s="477">
        <v>45945</v>
      </c>
      <c r="F48" s="480" t="s">
        <v>380</v>
      </c>
      <c r="G48" s="480" t="s">
        <v>381</v>
      </c>
      <c r="H48" s="402" t="s">
        <v>370</v>
      </c>
      <c r="I48" s="402" t="s">
        <v>254</v>
      </c>
      <c r="J48">
        <v>1</v>
      </c>
      <c r="K48" s="402">
        <v>1</v>
      </c>
      <c r="L48" s="481">
        <f t="shared" si="13"/>
        <v>1</v>
      </c>
      <c r="M48" s="480" t="s">
        <v>233</v>
      </c>
      <c r="N48">
        <v>0</v>
      </c>
    </row>
    <row r="49" spans="3:14" ht="25.5" x14ac:dyDescent="0.2">
      <c r="C49" s="389">
        <f t="shared" si="12"/>
        <v>43</v>
      </c>
      <c r="D49" s="18">
        <f>IF(AND(ISBLANK(Table22[[#This Row],[Start Date]]),ISBLANK(Table22[[#This Row],[Class]]),ISBLANK(Table22[[#This Row],[Class Description]]),ISBLANK(Table22[[#This Row],[No. of Attendees
(A)]])),0,IF(OR(ISBLANK(Table22[[#This Row],[Class]]),ISBLANK(Table22[[#This Row],[No. of Attendees
(A)]]),ISBLANK(Table22[[#This Row],[Length of Session
(B)]])),1,0))</f>
        <v>0</v>
      </c>
      <c r="E49" s="442">
        <v>45945</v>
      </c>
      <c r="F49" s="443" t="s">
        <v>372</v>
      </c>
      <c r="G49" s="443" t="s">
        <v>382</v>
      </c>
      <c r="H49" s="443" t="s">
        <v>274</v>
      </c>
      <c r="I49" s="443" t="s">
        <v>370</v>
      </c>
      <c r="J49">
        <v>1</v>
      </c>
      <c r="K49" s="444">
        <v>1.5</v>
      </c>
      <c r="L49" s="481">
        <f t="shared" si="13"/>
        <v>1.5</v>
      </c>
      <c r="M49" s="480" t="s">
        <v>233</v>
      </c>
      <c r="N49">
        <v>0</v>
      </c>
    </row>
    <row r="50" spans="3:14" ht="63.75" x14ac:dyDescent="0.2">
      <c r="C50" s="389">
        <f t="shared" si="12"/>
        <v>44</v>
      </c>
      <c r="D50" s="18">
        <f>IF(AND(ISBLANK(Table22[[#This Row],[Start Date]]),ISBLANK(Table22[[#This Row],[Class]]),ISBLANK(Table22[[#This Row],[Class Description]]),ISBLANK(Table22[[#This Row],[No. of Attendees
(A)]])),0,IF(OR(ISBLANK(Table22[[#This Row],[Class]]),ISBLANK(Table22[[#This Row],[No. of Attendees
(A)]]),ISBLANK(Table22[[#This Row],[Length of Session
(B)]])),1,0))</f>
        <v>0</v>
      </c>
      <c r="E50" s="442">
        <v>45945</v>
      </c>
      <c r="F50" s="443" t="s">
        <v>383</v>
      </c>
      <c r="G50" s="443" t="s">
        <v>384</v>
      </c>
      <c r="H50" s="443" t="s">
        <v>274</v>
      </c>
      <c r="I50" s="443" t="s">
        <v>370</v>
      </c>
      <c r="J50">
        <v>1</v>
      </c>
      <c r="K50" s="444">
        <v>1</v>
      </c>
      <c r="L50" s="481">
        <f t="shared" si="13"/>
        <v>1</v>
      </c>
      <c r="M50" s="480" t="s">
        <v>233</v>
      </c>
      <c r="N50">
        <v>0</v>
      </c>
    </row>
    <row r="51" spans="3:14" ht="63.75" x14ac:dyDescent="0.2">
      <c r="C51" s="389">
        <f t="shared" si="12"/>
        <v>45</v>
      </c>
      <c r="D51" s="18">
        <f>IF(AND(ISBLANK(Table22[[#This Row],[Start Date]]),ISBLANK(Table22[[#This Row],[Class]]),ISBLANK(Table22[[#This Row],[Class Description]]),ISBLANK(Table22[[#This Row],[No. of Attendees
(A)]])),0,IF(OR(ISBLANK(Table22[[#This Row],[Class]]),ISBLANK(Table22[[#This Row],[No. of Attendees
(A)]]),ISBLANK(Table22[[#This Row],[Length of Session
(B)]])),1,0))</f>
        <v>0</v>
      </c>
      <c r="E51" s="442">
        <v>45945</v>
      </c>
      <c r="F51" s="443" t="s">
        <v>385</v>
      </c>
      <c r="G51" s="443" t="s">
        <v>386</v>
      </c>
      <c r="H51" s="443" t="s">
        <v>274</v>
      </c>
      <c r="I51" s="443" t="s">
        <v>370</v>
      </c>
      <c r="J51">
        <v>1</v>
      </c>
      <c r="K51" s="631">
        <v>1</v>
      </c>
      <c r="L51" s="481">
        <f t="shared" si="13"/>
        <v>1</v>
      </c>
      <c r="M51" s="480" t="s">
        <v>233</v>
      </c>
      <c r="N51">
        <v>0</v>
      </c>
    </row>
    <row r="52" spans="3:14" x14ac:dyDescent="0.2">
      <c r="C52" s="389">
        <f t="shared" si="12"/>
        <v>46</v>
      </c>
      <c r="D52" s="18">
        <f>IF(AND(ISBLANK(Table22[[#This Row],[Start Date]]),ISBLANK(Table22[[#This Row],[Class]]),ISBLANK(Table22[[#This Row],[Class Description]]),ISBLANK(Table22[[#This Row],[No. of Attendees
(A)]])),0,IF(OR(ISBLANK(Table22[[#This Row],[Class]]),ISBLANK(Table22[[#This Row],[No. of Attendees
(A)]]),ISBLANK(Table22[[#This Row],[Length of Session
(B)]])),1,0))</f>
        <v>0</v>
      </c>
      <c r="E52" s="442">
        <v>45945</v>
      </c>
      <c r="F52" s="443" t="s">
        <v>387</v>
      </c>
      <c r="G52" s="443" t="s">
        <v>388</v>
      </c>
      <c r="H52" s="443" t="s">
        <v>274</v>
      </c>
      <c r="I52" s="443" t="s">
        <v>370</v>
      </c>
      <c r="J52">
        <v>1</v>
      </c>
      <c r="K52" s="444">
        <v>1</v>
      </c>
      <c r="L52" s="481">
        <f t="shared" si="13"/>
        <v>1</v>
      </c>
      <c r="M52" s="480" t="s">
        <v>233</v>
      </c>
      <c r="N52">
        <v>0</v>
      </c>
    </row>
    <row r="53" spans="3:14" ht="51" x14ac:dyDescent="0.2">
      <c r="C53" s="389">
        <f t="shared" si="12"/>
        <v>47</v>
      </c>
      <c r="D53" s="18">
        <f>IF(AND(ISBLANK(Table22[[#This Row],[Start Date]]),ISBLANK(Table22[[#This Row],[Class]]),ISBLANK(Table22[[#This Row],[Class Description]]),ISBLANK(Table22[[#This Row],[No. of Attendees
(A)]])),0,IF(OR(ISBLANK(Table22[[#This Row],[Class]]),ISBLANK(Table22[[#This Row],[No. of Attendees
(A)]]),ISBLANK(Table22[[#This Row],[Length of Session
(B)]])),1,0))</f>
        <v>0</v>
      </c>
      <c r="E53" s="442">
        <v>45945</v>
      </c>
      <c r="F53" s="443" t="s">
        <v>389</v>
      </c>
      <c r="G53" s="443" t="s">
        <v>390</v>
      </c>
      <c r="H53" s="443" t="s">
        <v>274</v>
      </c>
      <c r="I53" s="443" t="s">
        <v>370</v>
      </c>
      <c r="J53">
        <v>1</v>
      </c>
      <c r="K53" s="444">
        <v>1</v>
      </c>
      <c r="L53" s="481">
        <f t="shared" si="13"/>
        <v>1</v>
      </c>
      <c r="M53" s="480" t="s">
        <v>233</v>
      </c>
      <c r="N53">
        <v>0</v>
      </c>
    </row>
    <row r="54" spans="3:14" ht="25.5" x14ac:dyDescent="0.2">
      <c r="C54" s="389">
        <f t="shared" si="12"/>
        <v>48</v>
      </c>
      <c r="D54" s="18">
        <f>IF(AND(ISBLANK(Table22[[#This Row],[Start Date]]),ISBLANK(Table22[[#This Row],[Class]]),ISBLANK(Table22[[#This Row],[Class Description]]),ISBLANK(Table22[[#This Row],[No. of Attendees
(A)]])),0,IF(OR(ISBLANK(Table22[[#This Row],[Class]]),ISBLANK(Table22[[#This Row],[No. of Attendees
(A)]]),ISBLANK(Table22[[#This Row],[Length of Session
(B)]])),1,0))</f>
        <v>0</v>
      </c>
      <c r="E54" s="624">
        <v>45945</v>
      </c>
      <c r="F54" s="629" t="s">
        <v>372</v>
      </c>
      <c r="G54" s="630" t="s">
        <v>348</v>
      </c>
      <c r="H54" s="626" t="s">
        <v>274</v>
      </c>
      <c r="I54" s="626" t="s">
        <v>370</v>
      </c>
      <c r="J54">
        <v>1</v>
      </c>
      <c r="K54" s="444">
        <v>1</v>
      </c>
      <c r="L54" s="481">
        <f t="shared" si="13"/>
        <v>1</v>
      </c>
      <c r="M54" s="480" t="s">
        <v>233</v>
      </c>
      <c r="N54">
        <v>0</v>
      </c>
    </row>
    <row r="55" spans="3:14" ht="25.5" x14ac:dyDescent="0.2">
      <c r="C55" s="389">
        <f t="shared" si="12"/>
        <v>49</v>
      </c>
      <c r="D55" s="18">
        <f>IF(AND(ISBLANK(Table22[[#This Row],[Start Date]]),ISBLANK(Table22[[#This Row],[Class]]),ISBLANK(Table22[[#This Row],[Class Description]]),ISBLANK(Table22[[#This Row],[No. of Attendees
(A)]])),0,IF(OR(ISBLANK(Table22[[#This Row],[Class]]),ISBLANK(Table22[[#This Row],[No. of Attendees
(A)]]),ISBLANK(Table22[[#This Row],[Length of Session
(B)]])),1,0))</f>
        <v>0</v>
      </c>
      <c r="E55" s="624">
        <v>45945</v>
      </c>
      <c r="F55" s="629" t="s">
        <v>391</v>
      </c>
      <c r="G55" s="630" t="s">
        <v>348</v>
      </c>
      <c r="H55" s="626" t="s">
        <v>274</v>
      </c>
      <c r="I55" s="626" t="s">
        <v>370</v>
      </c>
      <c r="J55">
        <v>1</v>
      </c>
      <c r="K55" s="444">
        <v>1</v>
      </c>
      <c r="L55" s="481">
        <f t="shared" si="13"/>
        <v>1</v>
      </c>
      <c r="M55" s="480" t="s">
        <v>233</v>
      </c>
      <c r="N55">
        <v>0</v>
      </c>
    </row>
    <row r="56" spans="3:14" ht="63.75" x14ac:dyDescent="0.2">
      <c r="C56" s="389">
        <f t="shared" si="12"/>
        <v>50</v>
      </c>
      <c r="D56" s="18">
        <f>IF(AND(ISBLANK(Table22[[#This Row],[Start Date]]),ISBLANK(Table22[[#This Row],[Class]]),ISBLANK(Table22[[#This Row],[Class Description]]),ISBLANK(Table22[[#This Row],[No. of Attendees
(A)]])),0,IF(OR(ISBLANK(Table22[[#This Row],[Class]]),ISBLANK(Table22[[#This Row],[No. of Attendees
(A)]]),ISBLANK(Table22[[#This Row],[Length of Session
(B)]])),1,0))</f>
        <v>0</v>
      </c>
      <c r="E56" s="624">
        <v>45945</v>
      </c>
      <c r="F56" s="488" t="s">
        <v>392</v>
      </c>
      <c r="G56" s="630" t="s">
        <v>348</v>
      </c>
      <c r="H56" s="626" t="s">
        <v>274</v>
      </c>
      <c r="I56" s="626" t="s">
        <v>370</v>
      </c>
      <c r="J56">
        <v>1</v>
      </c>
      <c r="K56" s="444">
        <v>1</v>
      </c>
      <c r="L56" s="481">
        <f t="shared" si="13"/>
        <v>1</v>
      </c>
      <c r="M56" s="480" t="s">
        <v>233</v>
      </c>
      <c r="N56">
        <v>0</v>
      </c>
    </row>
    <row r="57" spans="3:14" ht="38.25" x14ac:dyDescent="0.2">
      <c r="C57" s="389">
        <f t="shared" si="12"/>
        <v>51</v>
      </c>
      <c r="D57" s="18">
        <f>IF(AND(ISBLANK(Table22[[#This Row],[Start Date]]),ISBLANK(Table22[[#This Row],[Class]]),ISBLANK(Table22[[#This Row],[Class Description]]),ISBLANK(Table22[[#This Row],[No. of Attendees
(A)]])),0,IF(OR(ISBLANK(Table22[[#This Row],[Class]]),ISBLANK(Table22[[#This Row],[No. of Attendees
(A)]]),ISBLANK(Table22[[#This Row],[Length of Session
(B)]])),1,0))</f>
        <v>0</v>
      </c>
      <c r="E57" s="624">
        <v>45945</v>
      </c>
      <c r="F57" s="488" t="s">
        <v>393</v>
      </c>
      <c r="G57" s="630" t="s">
        <v>348</v>
      </c>
      <c r="H57" s="626" t="s">
        <v>274</v>
      </c>
      <c r="I57" s="626" t="s">
        <v>370</v>
      </c>
      <c r="J57">
        <v>1</v>
      </c>
      <c r="K57" s="444">
        <v>1</v>
      </c>
      <c r="L57" s="481">
        <f t="shared" si="13"/>
        <v>1</v>
      </c>
      <c r="M57" s="480" t="s">
        <v>233</v>
      </c>
      <c r="N57">
        <v>0</v>
      </c>
    </row>
    <row r="58" spans="3:14" ht="76.5" x14ac:dyDescent="0.2">
      <c r="C58" s="389">
        <f t="shared" si="12"/>
        <v>52</v>
      </c>
      <c r="D58" s="18">
        <f>IF(AND(ISBLANK(Table22[[#This Row],[Start Date]]),ISBLANK(Table22[[#This Row],[Class]]),ISBLANK(Table22[[#This Row],[Class Description]]),ISBLANK(Table22[[#This Row],[No. of Attendees
(A)]])),0,IF(OR(ISBLANK(Table22[[#This Row],[Class]]),ISBLANK(Table22[[#This Row],[No. of Attendees
(A)]]),ISBLANK(Table22[[#This Row],[Length of Session
(B)]])),1,0))</f>
        <v>0</v>
      </c>
      <c r="E58" s="624">
        <v>45945</v>
      </c>
      <c r="F58" s="629" t="s">
        <v>394</v>
      </c>
      <c r="G58" s="630" t="s">
        <v>348</v>
      </c>
      <c r="H58" s="626" t="s">
        <v>274</v>
      </c>
      <c r="I58" s="626" t="s">
        <v>370</v>
      </c>
      <c r="J58">
        <v>1</v>
      </c>
      <c r="K58" s="444">
        <v>1</v>
      </c>
      <c r="L58" s="481">
        <f t="shared" si="13"/>
        <v>1</v>
      </c>
      <c r="M58" s="480" t="s">
        <v>233</v>
      </c>
      <c r="N58">
        <v>0</v>
      </c>
    </row>
    <row r="59" spans="3:14" ht="25.5" x14ac:dyDescent="0.2">
      <c r="C59" s="389">
        <f t="shared" si="12"/>
        <v>53</v>
      </c>
      <c r="D59" s="18">
        <f>IF(AND(ISBLANK(Table22[[#This Row],[Start Date]]),ISBLANK(Table22[[#This Row],[Class]]),ISBLANK(Table22[[#This Row],[Class Description]]),ISBLANK(Table22[[#This Row],[No. of Attendees
(A)]])),0,IF(OR(ISBLANK(Table22[[#This Row],[Class]]),ISBLANK(Table22[[#This Row],[No. of Attendees
(A)]]),ISBLANK(Table22[[#This Row],[Length of Session
(B)]])),1,0))</f>
        <v>0</v>
      </c>
      <c r="E59" s="624">
        <v>45945</v>
      </c>
      <c r="F59" s="629" t="s">
        <v>380</v>
      </c>
      <c r="G59" s="630" t="s">
        <v>348</v>
      </c>
      <c r="H59" s="626" t="s">
        <v>274</v>
      </c>
      <c r="I59" s="626" t="s">
        <v>370</v>
      </c>
      <c r="J59">
        <v>1</v>
      </c>
      <c r="K59" s="444">
        <v>1</v>
      </c>
      <c r="L59" s="481">
        <f t="shared" si="13"/>
        <v>1</v>
      </c>
      <c r="M59" s="480" t="s">
        <v>233</v>
      </c>
      <c r="N59">
        <v>0</v>
      </c>
    </row>
    <row r="60" spans="3:14" x14ac:dyDescent="0.2">
      <c r="C60" s="389">
        <f t="shared" si="12"/>
        <v>54</v>
      </c>
      <c r="D60" s="18">
        <f>IF(AND(ISBLANK(Table22[[#This Row],[Start Date]]),ISBLANK(Table22[[#This Row],[Class]]),ISBLANK(Table22[[#This Row],[Class Description]]),ISBLANK(Table22[[#This Row],[No. of Attendees
(A)]])),0,IF(OR(ISBLANK(Table22[[#This Row],[Class]]),ISBLANK(Table22[[#This Row],[No. of Attendees
(A)]]),ISBLANK(Table22[[#This Row],[Length of Session
(B)]])),1,0))</f>
        <v>0</v>
      </c>
      <c r="E60" s="477">
        <v>45946</v>
      </c>
      <c r="F60" s="480" t="s">
        <v>395</v>
      </c>
      <c r="G60" s="480" t="s">
        <v>396</v>
      </c>
      <c r="H60" s="402" t="s">
        <v>370</v>
      </c>
      <c r="I60" s="402" t="s">
        <v>254</v>
      </c>
      <c r="J60">
        <v>1</v>
      </c>
      <c r="K60" s="402">
        <v>1</v>
      </c>
      <c r="L60" s="481">
        <f t="shared" si="13"/>
        <v>1</v>
      </c>
      <c r="M60" s="480" t="s">
        <v>233</v>
      </c>
      <c r="N60">
        <v>0</v>
      </c>
    </row>
    <row r="61" spans="3:14" ht="51" x14ac:dyDescent="0.2">
      <c r="C61" s="389">
        <f t="shared" si="12"/>
        <v>55</v>
      </c>
      <c r="D61" s="18">
        <f>IF(AND(ISBLANK(Table22[[#This Row],[Start Date]]),ISBLANK(Table22[[#This Row],[Class]]),ISBLANK(Table22[[#This Row],[Class Description]]),ISBLANK(Table22[[#This Row],[No. of Attendees
(A)]])),0,IF(OR(ISBLANK(Table22[[#This Row],[Class]]),ISBLANK(Table22[[#This Row],[No. of Attendees
(A)]]),ISBLANK(Table22[[#This Row],[Length of Session
(B)]])),1,0))</f>
        <v>0</v>
      </c>
      <c r="E61" s="477">
        <v>45946</v>
      </c>
      <c r="F61" s="480" t="s">
        <v>397</v>
      </c>
      <c r="G61" s="480" t="s">
        <v>398</v>
      </c>
      <c r="H61" s="402" t="s">
        <v>370</v>
      </c>
      <c r="I61" s="402" t="s">
        <v>254</v>
      </c>
      <c r="J61">
        <v>1</v>
      </c>
      <c r="K61" s="402">
        <v>1</v>
      </c>
      <c r="L61" s="481">
        <f t="shared" si="13"/>
        <v>1</v>
      </c>
      <c r="M61" s="480" t="s">
        <v>233</v>
      </c>
      <c r="N61">
        <v>0</v>
      </c>
    </row>
    <row r="62" spans="3:14" ht="63.75" x14ac:dyDescent="0.2">
      <c r="C62" s="389">
        <f t="shared" si="12"/>
        <v>56</v>
      </c>
      <c r="D62" s="18">
        <f>IF(AND(ISBLANK(Table22[[#This Row],[Start Date]]),ISBLANK(Table22[[#This Row],[Class]]),ISBLANK(Table22[[#This Row],[Class Description]]),ISBLANK(Table22[[#This Row],[No. of Attendees
(A)]])),0,IF(OR(ISBLANK(Table22[[#This Row],[Class]]),ISBLANK(Table22[[#This Row],[No. of Attendees
(A)]]),ISBLANK(Table22[[#This Row],[Length of Session
(B)]])),1,0))</f>
        <v>0</v>
      </c>
      <c r="E62" s="477">
        <v>45946</v>
      </c>
      <c r="F62" s="480" t="s">
        <v>399</v>
      </c>
      <c r="G62" s="480" t="s">
        <v>400</v>
      </c>
      <c r="H62" s="402" t="s">
        <v>370</v>
      </c>
      <c r="I62" s="402" t="s">
        <v>254</v>
      </c>
      <c r="J62">
        <v>1</v>
      </c>
      <c r="K62" s="402">
        <v>1</v>
      </c>
      <c r="L62" s="481">
        <f t="shared" si="13"/>
        <v>1</v>
      </c>
      <c r="M62" s="480" t="s">
        <v>233</v>
      </c>
      <c r="N62">
        <v>0</v>
      </c>
    </row>
    <row r="63" spans="3:14" ht="38.25" x14ac:dyDescent="0.2">
      <c r="C63" s="389">
        <f t="shared" si="12"/>
        <v>57</v>
      </c>
      <c r="D63" s="18">
        <f>IF(AND(ISBLANK(Table22[[#This Row],[Start Date]]),ISBLANK(Table22[[#This Row],[Class]]),ISBLANK(Table22[[#This Row],[Class Description]]),ISBLANK(Table22[[#This Row],[No. of Attendees
(A)]])),0,IF(OR(ISBLANK(Table22[[#This Row],[Class]]),ISBLANK(Table22[[#This Row],[No. of Attendees
(A)]]),ISBLANK(Table22[[#This Row],[Length of Session
(B)]])),1,0))</f>
        <v>0</v>
      </c>
      <c r="E63" s="442">
        <v>45946</v>
      </c>
      <c r="F63" s="443" t="s">
        <v>401</v>
      </c>
      <c r="G63" s="443" t="s">
        <v>402</v>
      </c>
      <c r="H63" s="443" t="s">
        <v>274</v>
      </c>
      <c r="I63" s="443" t="s">
        <v>370</v>
      </c>
      <c r="J63">
        <v>1</v>
      </c>
      <c r="K63" s="444">
        <v>1</v>
      </c>
      <c r="L63" s="481">
        <f t="shared" si="13"/>
        <v>1</v>
      </c>
      <c r="M63" s="480" t="s">
        <v>233</v>
      </c>
      <c r="N63">
        <v>0</v>
      </c>
    </row>
    <row r="64" spans="3:14" ht="63.75" x14ac:dyDescent="0.2">
      <c r="C64" s="389">
        <f>ROW()-6</f>
        <v>58</v>
      </c>
      <c r="D64" s="18">
        <f>IF(AND(ISBLANK(Table22[[#This Row],[Start Date]]),ISBLANK(Table22[[#This Row],[Class]]),ISBLANK(Table22[[#This Row],[Class Description]]),ISBLANK(Table22[[#This Row],[No. of Attendees
(A)]])),0,IF(OR(ISBLANK(Table22[[#This Row],[Class]]),ISBLANK(Table22[[#This Row],[No. of Attendees
(A)]]),ISBLANK(Table22[[#This Row],[Length of Session
(B)]])),1,0))</f>
        <v>0</v>
      </c>
      <c r="E64" s="442">
        <v>45946</v>
      </c>
      <c r="F64" s="443" t="s">
        <v>403</v>
      </c>
      <c r="G64" s="443" t="s">
        <v>404</v>
      </c>
      <c r="H64" s="443" t="s">
        <v>274</v>
      </c>
      <c r="I64" s="443" t="s">
        <v>370</v>
      </c>
      <c r="J64">
        <v>1</v>
      </c>
      <c r="K64" s="444">
        <v>1</v>
      </c>
      <c r="L64" s="481">
        <f>J64*K64</f>
        <v>1</v>
      </c>
      <c r="M64" s="480" t="s">
        <v>233</v>
      </c>
      <c r="N64">
        <v>0</v>
      </c>
    </row>
    <row r="65" spans="3:14" ht="38.25" x14ac:dyDescent="0.2">
      <c r="C65" s="389">
        <f t="shared" si="12"/>
        <v>59</v>
      </c>
      <c r="D65" s="18">
        <f>IF(AND(ISBLANK(Table22[[#This Row],[Start Date]]),ISBLANK(Table22[[#This Row],[Class]]),ISBLANK(Table22[[#This Row],[Class Description]]),ISBLANK(Table22[[#This Row],[No. of Attendees
(A)]])),0,IF(OR(ISBLANK(Table22[[#This Row],[Class]]),ISBLANK(Table22[[#This Row],[No. of Attendees
(A)]]),ISBLANK(Table22[[#This Row],[Length of Session
(B)]])),1,0))</f>
        <v>0</v>
      </c>
      <c r="E65" s="624">
        <v>45946</v>
      </c>
      <c r="F65" s="629" t="s">
        <v>405</v>
      </c>
      <c r="G65" s="630" t="s">
        <v>348</v>
      </c>
      <c r="H65" s="626" t="s">
        <v>274</v>
      </c>
      <c r="I65" s="626" t="s">
        <v>370</v>
      </c>
      <c r="J65">
        <v>1</v>
      </c>
      <c r="K65" s="444">
        <v>1</v>
      </c>
      <c r="L65" s="481">
        <f t="shared" si="13"/>
        <v>1</v>
      </c>
      <c r="M65" s="480" t="s">
        <v>233</v>
      </c>
      <c r="N65">
        <v>0</v>
      </c>
    </row>
    <row r="66" spans="3:14" ht="63.75" x14ac:dyDescent="0.2">
      <c r="C66" s="389">
        <f t="shared" si="12"/>
        <v>60</v>
      </c>
      <c r="D66" s="18">
        <f>IF(AND(ISBLANK(Table22[[#This Row],[Start Date]]),ISBLANK(Table22[[#This Row],[Class]]),ISBLANK(Table22[[#This Row],[Class Description]]),ISBLANK(Table22[[#This Row],[No. of Attendees
(A)]])),0,IF(OR(ISBLANK(Table22[[#This Row],[Class]]),ISBLANK(Table22[[#This Row],[No. of Attendees
(A)]]),ISBLANK(Table22[[#This Row],[Length of Session
(B)]])),1,0))</f>
        <v>0</v>
      </c>
      <c r="E66" s="624">
        <v>45946</v>
      </c>
      <c r="F66" s="629" t="s">
        <v>406</v>
      </c>
      <c r="G66" s="630" t="s">
        <v>348</v>
      </c>
      <c r="H66" s="626" t="s">
        <v>274</v>
      </c>
      <c r="I66" s="626" t="s">
        <v>370</v>
      </c>
      <c r="J66">
        <v>1</v>
      </c>
      <c r="K66" s="444">
        <v>1</v>
      </c>
      <c r="L66" s="481">
        <f t="shared" si="13"/>
        <v>1</v>
      </c>
      <c r="M66" s="480" t="s">
        <v>233</v>
      </c>
      <c r="N66">
        <v>0</v>
      </c>
    </row>
    <row r="67" spans="3:14" ht="89.25" x14ac:dyDescent="0.2">
      <c r="C67" s="389">
        <f t="shared" si="12"/>
        <v>61</v>
      </c>
      <c r="D67" s="18">
        <f>IF(AND(ISBLANK(Table22[[#This Row],[Start Date]]),ISBLANK(Table22[[#This Row],[Class]]),ISBLANK(Table22[[#This Row],[Class Description]]),ISBLANK(Table22[[#This Row],[No. of Attendees
(A)]])),0,IF(OR(ISBLANK(Table22[[#This Row],[Class]]),ISBLANK(Table22[[#This Row],[No. of Attendees
(A)]]),ISBLANK(Table22[[#This Row],[Length of Session
(B)]])),1,0))</f>
        <v>0</v>
      </c>
      <c r="E67" s="624">
        <v>45946</v>
      </c>
      <c r="F67" s="629" t="s">
        <v>407</v>
      </c>
      <c r="G67" s="630" t="s">
        <v>348</v>
      </c>
      <c r="H67" s="626" t="s">
        <v>274</v>
      </c>
      <c r="I67" s="626" t="s">
        <v>370</v>
      </c>
      <c r="J67">
        <v>1</v>
      </c>
      <c r="K67" s="444">
        <v>1</v>
      </c>
      <c r="L67" s="481">
        <f>J67*K67</f>
        <v>1</v>
      </c>
      <c r="M67" s="480" t="s">
        <v>233</v>
      </c>
      <c r="N67">
        <v>0</v>
      </c>
    </row>
    <row r="68" spans="3:14" ht="63.75" x14ac:dyDescent="0.2">
      <c r="C68" s="389">
        <f t="shared" si="12"/>
        <v>62</v>
      </c>
      <c r="D68" s="18">
        <f>IF(AND(ISBLANK(Table22[[#This Row],[Start Date]]),ISBLANK(Table22[[#This Row],[Class]]),ISBLANK(Table22[[#This Row],[Class Description]]),ISBLANK(Table22[[#This Row],[No. of Attendees
(A)]])),0,IF(OR(ISBLANK(Table22[[#This Row],[Class]]),ISBLANK(Table22[[#This Row],[No. of Attendees
(A)]]),ISBLANK(Table22[[#This Row],[Length of Session
(B)]])),1,0))</f>
        <v>0</v>
      </c>
      <c r="E68" s="624">
        <v>45946</v>
      </c>
      <c r="F68" s="629" t="s">
        <v>408</v>
      </c>
      <c r="G68" s="630" t="s">
        <v>348</v>
      </c>
      <c r="H68" s="626" t="s">
        <v>274</v>
      </c>
      <c r="I68" s="626" t="s">
        <v>370</v>
      </c>
      <c r="J68">
        <v>1</v>
      </c>
      <c r="K68" s="444">
        <v>1</v>
      </c>
      <c r="L68" s="481">
        <f t="shared" si="13"/>
        <v>1</v>
      </c>
      <c r="M68" s="480" t="s">
        <v>233</v>
      </c>
      <c r="N68">
        <v>0</v>
      </c>
    </row>
    <row r="69" spans="3:14" x14ac:dyDescent="0.2">
      <c r="C69" s="389">
        <f t="shared" si="12"/>
        <v>63</v>
      </c>
      <c r="D69" s="18">
        <f>IF(AND(ISBLANK(Table22[[#This Row],[Start Date]]),ISBLANK(Table22[[#This Row],[Class]]),ISBLANK(Table22[[#This Row],[Class Description]]),ISBLANK(Table22[[#This Row],[No. of Attendees
(A)]])),0,IF(OR(ISBLANK(Table22[[#This Row],[Class]]),ISBLANK(Table22[[#This Row],[No. of Attendees
(A)]]),ISBLANK(Table22[[#This Row],[Length of Session
(B)]])),1,0))</f>
        <v>0</v>
      </c>
      <c r="E69" s="442">
        <v>46311</v>
      </c>
      <c r="F69" s="443" t="s">
        <v>409</v>
      </c>
      <c r="G69" s="443" t="s">
        <v>410</v>
      </c>
      <c r="H69" s="443" t="s">
        <v>274</v>
      </c>
      <c r="I69" s="443" t="s">
        <v>370</v>
      </c>
      <c r="J69">
        <v>1</v>
      </c>
      <c r="K69" s="444">
        <v>1</v>
      </c>
      <c r="L69" s="481">
        <f t="shared" si="13"/>
        <v>1</v>
      </c>
      <c r="M69" s="480" t="s">
        <v>233</v>
      </c>
      <c r="N69">
        <v>0</v>
      </c>
    </row>
    <row r="70" spans="3:14" ht="38.25" x14ac:dyDescent="0.2">
      <c r="C70" s="389">
        <f t="shared" si="12"/>
        <v>64</v>
      </c>
      <c r="D70" s="18">
        <f>IF(AND(ISBLANK(Table22[[#This Row],[Start Date]]),ISBLANK(Table22[[#This Row],[Class]]),ISBLANK(Table22[[#This Row],[Class Description]]),ISBLANK(Table22[[#This Row],[No. of Attendees
(A)]])),0,IF(OR(ISBLANK(Table22[[#This Row],[Class]]),ISBLANK(Table22[[#This Row],[No. of Attendees
(A)]]),ISBLANK(Table22[[#This Row],[Length of Session
(B)]])),1,0))</f>
        <v>0</v>
      </c>
      <c r="E70" s="442">
        <v>46311</v>
      </c>
      <c r="F70" s="443" t="s">
        <v>411</v>
      </c>
      <c r="G70" s="443" t="s">
        <v>412</v>
      </c>
      <c r="H70" s="443" t="s">
        <v>274</v>
      </c>
      <c r="I70" s="443" t="s">
        <v>370</v>
      </c>
      <c r="J70">
        <v>1</v>
      </c>
      <c r="K70" s="444">
        <v>1</v>
      </c>
      <c r="L70" s="481">
        <f t="shared" si="13"/>
        <v>1</v>
      </c>
      <c r="M70" s="480" t="s">
        <v>233</v>
      </c>
      <c r="N70">
        <v>0</v>
      </c>
    </row>
    <row r="71" spans="3:14" ht="89.25" x14ac:dyDescent="0.2">
      <c r="C71" s="389">
        <f t="shared" si="12"/>
        <v>65</v>
      </c>
      <c r="D71" s="18">
        <f>IF(AND(ISBLANK(Table22[[#This Row],[Start Date]]),ISBLANK(Table22[[#This Row],[Class]]),ISBLANK(Table22[[#This Row],[Class Description]]),ISBLANK(Table22[[#This Row],[No. of Attendees
(A)]])),0,IF(OR(ISBLANK(Table22[[#This Row],[Class]]),ISBLANK(Table22[[#This Row],[No. of Attendees
(A)]]),ISBLANK(Table22[[#This Row],[Length of Session
(B)]])),1,0))</f>
        <v>0</v>
      </c>
      <c r="E71" s="442">
        <v>46311</v>
      </c>
      <c r="F71" s="443" t="s">
        <v>413</v>
      </c>
      <c r="G71" s="443" t="s">
        <v>414</v>
      </c>
      <c r="H71" s="443" t="s">
        <v>274</v>
      </c>
      <c r="I71" s="443" t="s">
        <v>370</v>
      </c>
      <c r="J71">
        <v>1</v>
      </c>
      <c r="K71" s="444">
        <v>1</v>
      </c>
      <c r="L71" s="481">
        <f t="shared" si="13"/>
        <v>1</v>
      </c>
      <c r="M71" s="480" t="s">
        <v>233</v>
      </c>
      <c r="N71">
        <v>0</v>
      </c>
    </row>
    <row r="72" spans="3:14" x14ac:dyDescent="0.2">
      <c r="C72" s="389">
        <f t="shared" si="12"/>
        <v>66</v>
      </c>
      <c r="D72" s="18">
        <f>IF(AND(ISBLANK(Table22[[#This Row],[Start Date]]),ISBLANK(Table22[[#This Row],[Class]]),ISBLANK(Table22[[#This Row],[Class Description]]),ISBLANK(Table22[[#This Row],[No. of Attendees
(A)]])),0,IF(OR(ISBLANK(Table22[[#This Row],[Class]]),ISBLANK(Table22[[#This Row],[No. of Attendees
(A)]]),ISBLANK(Table22[[#This Row],[Length of Session
(B)]])),1,0))</f>
        <v>0</v>
      </c>
      <c r="E72" s="442"/>
      <c r="F72" s="478"/>
      <c r="G72" s="443"/>
      <c r="H72" s="444"/>
      <c r="I72" s="443"/>
      <c r="J72" s="400"/>
      <c r="K72" s="444"/>
      <c r="L72" s="481">
        <f t="shared" si="13"/>
        <v>0</v>
      </c>
      <c r="M72" s="398"/>
      <c r="N72" s="444"/>
    </row>
    <row r="73" spans="3:14" x14ac:dyDescent="0.2">
      <c r="C73" s="389">
        <f t="shared" si="12"/>
        <v>67</v>
      </c>
      <c r="D73" s="18">
        <f>IF(AND(ISBLANK(Table22[[#This Row],[Start Date]]),ISBLANK(Table22[[#This Row],[Class]]),ISBLANK(Table22[[#This Row],[Class Description]]),ISBLANK(Table22[[#This Row],[No. of Attendees
(A)]])),0,IF(OR(ISBLANK(Table22[[#This Row],[Class]]),ISBLANK(Table22[[#This Row],[No. of Attendees
(A)]]),ISBLANK(Table22[[#This Row],[Length of Session
(B)]])),1,0))</f>
        <v>0</v>
      </c>
      <c r="E73" s="442"/>
      <c r="F73" s="478"/>
      <c r="G73" s="443"/>
      <c r="H73" s="444"/>
      <c r="I73" s="443"/>
      <c r="J73" s="400"/>
      <c r="K73" s="444"/>
      <c r="L73" s="481">
        <f t="shared" si="13"/>
        <v>0</v>
      </c>
      <c r="M73" s="398"/>
      <c r="N73" s="444"/>
    </row>
    <row r="74" spans="3:14" x14ac:dyDescent="0.2">
      <c r="C74" s="389">
        <f t="shared" si="12"/>
        <v>68</v>
      </c>
      <c r="D74" s="18">
        <f>IF(AND(ISBLANK(Table22[[#This Row],[Start Date]]),ISBLANK(Table22[[#This Row],[Class]]),ISBLANK(Table22[[#This Row],[Class Description]]),ISBLANK(Table22[[#This Row],[No. of Attendees
(A)]])),0,IF(OR(ISBLANK(Table22[[#This Row],[Class]]),ISBLANK(Table22[[#This Row],[No. of Attendees
(A)]]),ISBLANK(Table22[[#This Row],[Length of Session
(B)]])),1,0))</f>
        <v>0</v>
      </c>
      <c r="E74" s="442"/>
      <c r="F74" s="478"/>
      <c r="G74" s="479"/>
      <c r="H74" s="444"/>
      <c r="I74" s="444"/>
      <c r="J74" s="400"/>
      <c r="K74" s="444"/>
      <c r="L74" s="481">
        <f t="shared" si="13"/>
        <v>0</v>
      </c>
      <c r="M74" s="398"/>
      <c r="N74" s="444"/>
    </row>
    <row r="75" spans="3:14" x14ac:dyDescent="0.2">
      <c r="C75" s="389">
        <f t="shared" si="12"/>
        <v>69</v>
      </c>
      <c r="D75" s="18">
        <f>IF(AND(ISBLANK(Table22[[#This Row],[Start Date]]),ISBLANK(Table22[[#This Row],[Class]]),ISBLANK(Table22[[#This Row],[Class Description]]),ISBLANK(Table22[[#This Row],[No. of Attendees
(A)]])),0,IF(OR(ISBLANK(Table22[[#This Row],[Class]]),ISBLANK(Table22[[#This Row],[No. of Attendees
(A)]]),ISBLANK(Table22[[#This Row],[Length of Session
(B)]])),1,0))</f>
        <v>0</v>
      </c>
      <c r="E75" s="442"/>
      <c r="F75" s="478"/>
      <c r="G75" s="479"/>
      <c r="H75" s="444"/>
      <c r="I75" s="444"/>
      <c r="J75" s="400"/>
      <c r="K75" s="444"/>
      <c r="L75" s="481">
        <f t="shared" si="13"/>
        <v>0</v>
      </c>
      <c r="M75" s="398"/>
      <c r="N75" s="444"/>
    </row>
    <row r="76" spans="3:14" x14ac:dyDescent="0.2">
      <c r="C76" s="389">
        <f t="shared" si="12"/>
        <v>70</v>
      </c>
      <c r="D76" s="18">
        <f>IF(AND(ISBLANK(Table22[[#This Row],[Start Date]]),ISBLANK(Table22[[#This Row],[Class]]),ISBLANK(Table22[[#This Row],[Class Description]]),ISBLANK(Table22[[#This Row],[No. of Attendees
(A)]])),0,IF(OR(ISBLANK(Table22[[#This Row],[Class]]),ISBLANK(Table22[[#This Row],[No. of Attendees
(A)]]),ISBLANK(Table22[[#This Row],[Length of Session
(B)]])),1,0))</f>
        <v>0</v>
      </c>
      <c r="E76" s="442"/>
      <c r="F76" s="478"/>
      <c r="G76" s="443"/>
      <c r="H76" s="444"/>
      <c r="I76" s="443"/>
      <c r="J76" s="400"/>
      <c r="K76" s="444"/>
      <c r="L76" s="481">
        <f t="shared" si="13"/>
        <v>0</v>
      </c>
      <c r="M76" s="398"/>
      <c r="N76" s="444"/>
    </row>
    <row r="77" spans="3:14" x14ac:dyDescent="0.2">
      <c r="C77" s="389">
        <f t="shared" si="12"/>
        <v>71</v>
      </c>
      <c r="D77" s="18">
        <f>IF(AND(ISBLANK(Table22[[#This Row],[Start Date]]),ISBLANK(Table22[[#This Row],[Class]]),ISBLANK(Table22[[#This Row],[Class Description]]),ISBLANK(Table22[[#This Row],[No. of Attendees
(A)]])),0,IF(OR(ISBLANK(Table22[[#This Row],[Class]]),ISBLANK(Table22[[#This Row],[No. of Attendees
(A)]]),ISBLANK(Table22[[#This Row],[Length of Session
(B)]])),1,0))</f>
        <v>0</v>
      </c>
      <c r="E77" s="442"/>
      <c r="F77" s="478"/>
      <c r="G77" s="443"/>
      <c r="H77" s="444"/>
      <c r="I77" s="443"/>
      <c r="J77" s="400"/>
      <c r="K77" s="444"/>
      <c r="L77" s="481">
        <f t="shared" si="13"/>
        <v>0</v>
      </c>
      <c r="M77" s="398"/>
      <c r="N77" s="444"/>
    </row>
    <row r="78" spans="3:14" x14ac:dyDescent="0.2">
      <c r="C78" s="389">
        <f t="shared" si="12"/>
        <v>72</v>
      </c>
      <c r="D78" s="18">
        <f>IF(AND(ISBLANK(Table22[[#This Row],[Start Date]]),ISBLANK(Table22[[#This Row],[Class]]),ISBLANK(Table22[[#This Row],[Class Description]]),ISBLANK(Table22[[#This Row],[No. of Attendees
(A)]])),0,IF(OR(ISBLANK(Table22[[#This Row],[Class]]),ISBLANK(Table22[[#This Row],[No. of Attendees
(A)]]),ISBLANK(Table22[[#This Row],[Length of Session
(B)]])),1,0))</f>
        <v>0</v>
      </c>
      <c r="E78" s="442"/>
      <c r="F78" s="478"/>
      <c r="G78" s="443"/>
      <c r="H78" s="444"/>
      <c r="I78" s="443"/>
      <c r="J78" s="400"/>
      <c r="K78" s="444"/>
      <c r="L78" s="481">
        <f t="shared" si="13"/>
        <v>0</v>
      </c>
      <c r="M78" s="398"/>
      <c r="N78" s="444"/>
    </row>
    <row r="79" spans="3:14" x14ac:dyDescent="0.2">
      <c r="C79" s="389">
        <f t="shared" si="12"/>
        <v>73</v>
      </c>
      <c r="D79" s="18">
        <f>IF(AND(ISBLANK(Table22[[#This Row],[Start Date]]),ISBLANK(Table22[[#This Row],[Class]]),ISBLANK(Table22[[#This Row],[Class Description]]),ISBLANK(Table22[[#This Row],[No. of Attendees
(A)]])),0,IF(OR(ISBLANK(Table22[[#This Row],[Class]]),ISBLANK(Table22[[#This Row],[No. of Attendees
(A)]]),ISBLANK(Table22[[#This Row],[Length of Session
(B)]])),1,0))</f>
        <v>0</v>
      </c>
      <c r="E79" s="442"/>
      <c r="F79" s="478"/>
      <c r="G79" s="443"/>
      <c r="H79" s="444"/>
      <c r="I79" s="443"/>
      <c r="J79" s="400"/>
      <c r="K79" s="444"/>
      <c r="L79" s="481">
        <f t="shared" si="13"/>
        <v>0</v>
      </c>
      <c r="M79" s="398"/>
      <c r="N79" s="444"/>
    </row>
    <row r="80" spans="3:14" x14ac:dyDescent="0.2">
      <c r="C80" s="389">
        <f t="shared" si="12"/>
        <v>74</v>
      </c>
      <c r="D80" s="18">
        <f>IF(AND(ISBLANK(Table22[[#This Row],[Start Date]]),ISBLANK(Table22[[#This Row],[Class]]),ISBLANK(Table22[[#This Row],[Class Description]]),ISBLANK(Table22[[#This Row],[No. of Attendees
(A)]])),0,IF(OR(ISBLANK(Table22[[#This Row],[Class]]),ISBLANK(Table22[[#This Row],[No. of Attendees
(A)]]),ISBLANK(Table22[[#This Row],[Length of Session
(B)]])),1,0))</f>
        <v>0</v>
      </c>
      <c r="E80" s="442"/>
      <c r="F80" s="478"/>
      <c r="G80" s="443"/>
      <c r="H80" s="444"/>
      <c r="I80" s="443"/>
      <c r="J80" s="400"/>
      <c r="K80" s="444"/>
      <c r="L80" s="481">
        <f t="shared" si="13"/>
        <v>0</v>
      </c>
      <c r="M80" s="398"/>
      <c r="N80" s="444"/>
    </row>
    <row r="81" spans="3:14" x14ac:dyDescent="0.2">
      <c r="C81" s="389">
        <f t="shared" si="12"/>
        <v>75</v>
      </c>
      <c r="D81" s="18">
        <f>IF(AND(ISBLANK(Table22[[#This Row],[Start Date]]),ISBLANK(Table22[[#This Row],[Class]]),ISBLANK(Table22[[#This Row],[Class Description]]),ISBLANK(Table22[[#This Row],[No. of Attendees
(A)]])),0,IF(OR(ISBLANK(Table22[[#This Row],[Class]]),ISBLANK(Table22[[#This Row],[No. of Attendees
(A)]]),ISBLANK(Table22[[#This Row],[Length of Session
(B)]])),1,0))</f>
        <v>0</v>
      </c>
      <c r="E81" s="442"/>
      <c r="F81" s="478"/>
      <c r="G81" s="443"/>
      <c r="H81" s="444"/>
      <c r="I81" s="443"/>
      <c r="J81" s="400"/>
      <c r="K81" s="444"/>
      <c r="L81" s="481">
        <f t="shared" si="13"/>
        <v>0</v>
      </c>
      <c r="M81" s="398"/>
      <c r="N81" s="444"/>
    </row>
    <row r="82" spans="3:14" x14ac:dyDescent="0.2">
      <c r="C82" s="389">
        <f t="shared" si="12"/>
        <v>76</v>
      </c>
      <c r="D82" s="18">
        <f>IF(AND(ISBLANK(Table22[[#This Row],[Start Date]]),ISBLANK(Table22[[#This Row],[Class]]),ISBLANK(Table22[[#This Row],[Class Description]]),ISBLANK(Table22[[#This Row],[No. of Attendees
(A)]])),0,IF(OR(ISBLANK(Table22[[#This Row],[Class]]),ISBLANK(Table22[[#This Row],[No. of Attendees
(A)]]),ISBLANK(Table22[[#This Row],[Length of Session
(B)]])),1,0))</f>
        <v>0</v>
      </c>
      <c r="E82" s="442"/>
      <c r="F82" s="478"/>
      <c r="G82" s="443"/>
      <c r="H82" s="444"/>
      <c r="I82" s="443"/>
      <c r="J82" s="400"/>
      <c r="K82" s="444"/>
      <c r="L82" s="481">
        <f t="shared" si="13"/>
        <v>0</v>
      </c>
      <c r="M82" s="398"/>
      <c r="N82" s="444"/>
    </row>
    <row r="83" spans="3:14" x14ac:dyDescent="0.2">
      <c r="C83" s="389">
        <f t="shared" si="12"/>
        <v>77</v>
      </c>
      <c r="D83" s="18">
        <f>IF(AND(ISBLANK(Table22[[#This Row],[Start Date]]),ISBLANK(Table22[[#This Row],[Class]]),ISBLANK(Table22[[#This Row],[Class Description]]),ISBLANK(Table22[[#This Row],[No. of Attendees
(A)]])),0,IF(OR(ISBLANK(Table22[[#This Row],[Class]]),ISBLANK(Table22[[#This Row],[No. of Attendees
(A)]]),ISBLANK(Table22[[#This Row],[Length of Session
(B)]])),1,0))</f>
        <v>0</v>
      </c>
      <c r="E83" s="442"/>
      <c r="F83" s="478"/>
      <c r="G83" s="443"/>
      <c r="H83" s="444"/>
      <c r="I83" s="443"/>
      <c r="J83" s="400"/>
      <c r="K83" s="444"/>
      <c r="L83" s="481">
        <f t="shared" si="13"/>
        <v>0</v>
      </c>
      <c r="M83" s="398"/>
      <c r="N83" s="444"/>
    </row>
    <row r="84" spans="3:14" x14ac:dyDescent="0.2">
      <c r="C84" s="389">
        <f t="shared" si="12"/>
        <v>78</v>
      </c>
      <c r="D84" s="18">
        <f>IF(AND(ISBLANK(Table22[[#This Row],[Start Date]]),ISBLANK(Table22[[#This Row],[Class]]),ISBLANK(Table22[[#This Row],[Class Description]]),ISBLANK(Table22[[#This Row],[No. of Attendees
(A)]])),0,IF(OR(ISBLANK(Table22[[#This Row],[Class]]),ISBLANK(Table22[[#This Row],[No. of Attendees
(A)]]),ISBLANK(Table22[[#This Row],[Length of Session
(B)]])),1,0))</f>
        <v>0</v>
      </c>
      <c r="E84" s="442"/>
      <c r="F84" s="478"/>
      <c r="G84" s="443"/>
      <c r="H84" s="444"/>
      <c r="I84" s="443"/>
      <c r="J84" s="400"/>
      <c r="K84" s="444"/>
      <c r="L84" s="481">
        <f t="shared" si="13"/>
        <v>0</v>
      </c>
      <c r="M84" s="398"/>
      <c r="N84" s="444"/>
    </row>
    <row r="85" spans="3:14" x14ac:dyDescent="0.2">
      <c r="C85" s="389">
        <f t="shared" si="12"/>
        <v>79</v>
      </c>
      <c r="D85" s="18">
        <f>IF(AND(ISBLANK(Table22[[#This Row],[Start Date]]),ISBLANK(Table22[[#This Row],[Class]]),ISBLANK(Table22[[#This Row],[Class Description]]),ISBLANK(Table22[[#This Row],[No. of Attendees
(A)]])),0,IF(OR(ISBLANK(Table22[[#This Row],[Class]]),ISBLANK(Table22[[#This Row],[No. of Attendees
(A)]]),ISBLANK(Table22[[#This Row],[Length of Session
(B)]])),1,0))</f>
        <v>0</v>
      </c>
      <c r="E85" s="477"/>
      <c r="F85" s="478"/>
      <c r="G85" s="443"/>
      <c r="H85" s="402"/>
      <c r="I85" s="402"/>
      <c r="J85" s="400"/>
      <c r="K85" s="402"/>
      <c r="L85" s="481">
        <f t="shared" si="13"/>
        <v>0</v>
      </c>
      <c r="M85" s="398"/>
      <c r="N85" s="444"/>
    </row>
    <row r="86" spans="3:14" x14ac:dyDescent="0.2">
      <c r="C86" s="389">
        <f t="shared" si="12"/>
        <v>80</v>
      </c>
      <c r="D86" s="18">
        <f>IF(AND(ISBLANK(Table22[[#This Row],[Start Date]]),ISBLANK(Table22[[#This Row],[Class]]),ISBLANK(Table22[[#This Row],[Class Description]]),ISBLANK(Table22[[#This Row],[No. of Attendees
(A)]])),0,IF(OR(ISBLANK(Table22[[#This Row],[Class]]),ISBLANK(Table22[[#This Row],[No. of Attendees
(A)]]),ISBLANK(Table22[[#This Row],[Length of Session
(B)]])),1,0))</f>
        <v>0</v>
      </c>
      <c r="E86" s="442"/>
      <c r="F86" s="478"/>
      <c r="G86" s="443"/>
      <c r="H86" s="444"/>
      <c r="I86" s="443"/>
      <c r="J86" s="400"/>
      <c r="K86" s="444"/>
      <c r="L86" s="481">
        <f t="shared" si="13"/>
        <v>0</v>
      </c>
      <c r="M86" s="398"/>
      <c r="N86" s="444"/>
    </row>
    <row r="87" spans="3:14" x14ac:dyDescent="0.2">
      <c r="C87" s="389">
        <f t="shared" si="12"/>
        <v>81</v>
      </c>
      <c r="D87" s="18">
        <f>IF(AND(ISBLANK(Table22[[#This Row],[Start Date]]),ISBLANK(Table22[[#This Row],[Class]]),ISBLANK(Table22[[#This Row],[Class Description]]),ISBLANK(Table22[[#This Row],[No. of Attendees
(A)]])),0,IF(OR(ISBLANK(Table22[[#This Row],[Class]]),ISBLANK(Table22[[#This Row],[No. of Attendees
(A)]]),ISBLANK(Table22[[#This Row],[Length of Session
(B)]])),1,0))</f>
        <v>0</v>
      </c>
      <c r="E87" s="442"/>
      <c r="F87" s="478"/>
      <c r="G87" s="443"/>
      <c r="H87" s="444"/>
      <c r="I87" s="444"/>
      <c r="J87" s="400"/>
      <c r="K87" s="444"/>
      <c r="L87" s="481">
        <f t="shared" si="13"/>
        <v>0</v>
      </c>
      <c r="M87" s="398"/>
      <c r="N87" s="444"/>
    </row>
    <row r="88" spans="3:14" x14ac:dyDescent="0.2">
      <c r="C88" s="389">
        <f t="shared" si="12"/>
        <v>82</v>
      </c>
      <c r="D88" s="18">
        <f>IF(AND(ISBLANK(Table22[[#This Row],[Start Date]]),ISBLANK(Table22[[#This Row],[Class]]),ISBLANK(Table22[[#This Row],[Class Description]]),ISBLANK(Table22[[#This Row],[No. of Attendees
(A)]])),0,IF(OR(ISBLANK(Table22[[#This Row],[Class]]),ISBLANK(Table22[[#This Row],[No. of Attendees
(A)]]),ISBLANK(Table22[[#This Row],[Length of Session
(B)]])),1,0))</f>
        <v>0</v>
      </c>
      <c r="E88" s="477"/>
      <c r="F88" s="478"/>
      <c r="G88" s="443"/>
      <c r="H88" s="402"/>
      <c r="I88" s="402"/>
      <c r="J88" s="400"/>
      <c r="K88" s="402"/>
      <c r="L88" s="481">
        <f t="shared" si="13"/>
        <v>0</v>
      </c>
      <c r="M88" s="398"/>
      <c r="N88" s="444"/>
    </row>
    <row r="89" spans="3:14" x14ac:dyDescent="0.2">
      <c r="C89" s="389">
        <f t="shared" si="12"/>
        <v>83</v>
      </c>
      <c r="D89" s="18">
        <f>IF(AND(ISBLANK(Table22[[#This Row],[Start Date]]),ISBLANK(Table22[[#This Row],[Class]]),ISBLANK(Table22[[#This Row],[Class Description]]),ISBLANK(Table22[[#This Row],[No. of Attendees
(A)]])),0,IF(OR(ISBLANK(Table22[[#This Row],[Class]]),ISBLANK(Table22[[#This Row],[No. of Attendees
(A)]]),ISBLANK(Table22[[#This Row],[Length of Session
(B)]])),1,0))</f>
        <v>0</v>
      </c>
      <c r="E89" s="442"/>
      <c r="F89" s="478"/>
      <c r="G89" s="443"/>
      <c r="H89" s="444"/>
      <c r="I89" s="444"/>
      <c r="J89" s="400"/>
      <c r="K89" s="444"/>
      <c r="L89" s="481">
        <f t="shared" si="13"/>
        <v>0</v>
      </c>
      <c r="M89" s="398"/>
      <c r="N89" s="444"/>
    </row>
    <row r="90" spans="3:14" x14ac:dyDescent="0.2">
      <c r="C90" s="389">
        <f t="shared" si="12"/>
        <v>84</v>
      </c>
      <c r="D90" s="18">
        <f>IF(AND(ISBLANK(Table22[[#This Row],[Start Date]]),ISBLANK(Table22[[#This Row],[Class]]),ISBLANK(Table22[[#This Row],[Class Description]]),ISBLANK(Table22[[#This Row],[No. of Attendees
(A)]])),0,IF(OR(ISBLANK(Table22[[#This Row],[Class]]),ISBLANK(Table22[[#This Row],[No. of Attendees
(A)]]),ISBLANK(Table22[[#This Row],[Length of Session
(B)]])),1,0))</f>
        <v>0</v>
      </c>
      <c r="E90" s="477"/>
      <c r="F90" s="478"/>
      <c r="G90" s="443"/>
      <c r="H90" s="402"/>
      <c r="I90" s="402"/>
      <c r="J90" s="400"/>
      <c r="K90" s="402"/>
      <c r="L90" s="481">
        <f t="shared" si="13"/>
        <v>0</v>
      </c>
      <c r="M90" s="398"/>
      <c r="N90" s="444"/>
    </row>
    <row r="91" spans="3:14" x14ac:dyDescent="0.2">
      <c r="C91" s="389">
        <f t="shared" si="12"/>
        <v>85</v>
      </c>
      <c r="D91" s="18">
        <f>IF(AND(ISBLANK(Table22[[#This Row],[Start Date]]),ISBLANK(Table22[[#This Row],[Class]]),ISBLANK(Table22[[#This Row],[Class Description]]),ISBLANK(Table22[[#This Row],[No. of Attendees
(A)]])),0,IF(OR(ISBLANK(Table22[[#This Row],[Class]]),ISBLANK(Table22[[#This Row],[No. of Attendees
(A)]]),ISBLANK(Table22[[#This Row],[Length of Session
(B)]])),1,0))</f>
        <v>0</v>
      </c>
      <c r="E91" s="477"/>
      <c r="F91" s="478"/>
      <c r="G91" s="443"/>
      <c r="H91" s="402"/>
      <c r="I91" s="402"/>
      <c r="J91" s="400"/>
      <c r="K91" s="402"/>
      <c r="L91" s="481">
        <f t="shared" si="13"/>
        <v>0</v>
      </c>
      <c r="M91" s="398"/>
      <c r="N91" s="444"/>
    </row>
    <row r="92" spans="3:14" x14ac:dyDescent="0.2">
      <c r="C92" s="389">
        <f t="shared" ref="C92:C110" si="14">ROW()-6</f>
        <v>86</v>
      </c>
      <c r="D92" s="18">
        <f>IF(AND(ISBLANK(Table22[[#This Row],[Start Date]]),ISBLANK(Table22[[#This Row],[Class]]),ISBLANK(Table22[[#This Row],[Class Description]]),ISBLANK(Table22[[#This Row],[No. of Attendees
(A)]])),0,IF(OR(ISBLANK(Table22[[#This Row],[Class]]),ISBLANK(Table22[[#This Row],[No. of Attendees
(A)]]),ISBLANK(Table22[[#This Row],[Length of Session
(B)]])),1,0))</f>
        <v>0</v>
      </c>
      <c r="E92" s="477"/>
      <c r="F92" s="478"/>
      <c r="G92" s="443"/>
      <c r="H92" s="402"/>
      <c r="I92" s="402"/>
      <c r="J92" s="400"/>
      <c r="K92" s="402"/>
      <c r="L92" s="481">
        <f t="shared" ref="L92:L110" si="15">J92*K92</f>
        <v>0</v>
      </c>
      <c r="M92" s="398"/>
      <c r="N92" s="444"/>
    </row>
    <row r="93" spans="3:14" x14ac:dyDescent="0.2">
      <c r="C93" s="389">
        <f t="shared" si="14"/>
        <v>87</v>
      </c>
      <c r="D93" s="18">
        <f>IF(AND(ISBLANK(Table22[[#This Row],[Start Date]]),ISBLANK(Table22[[#This Row],[Class]]),ISBLANK(Table22[[#This Row],[Class Description]]),ISBLANK(Table22[[#This Row],[No. of Attendees
(A)]])),0,IF(OR(ISBLANK(Table22[[#This Row],[Class]]),ISBLANK(Table22[[#This Row],[No. of Attendees
(A)]]),ISBLANK(Table22[[#This Row],[Length of Session
(B)]])),1,0))</f>
        <v>0</v>
      </c>
      <c r="E93" s="477"/>
      <c r="F93" s="478"/>
      <c r="G93" s="443"/>
      <c r="H93" s="402"/>
      <c r="I93" s="402"/>
      <c r="J93" s="400"/>
      <c r="K93" s="402"/>
      <c r="L93" s="481">
        <f t="shared" si="15"/>
        <v>0</v>
      </c>
      <c r="M93" s="398"/>
      <c r="N93" s="444"/>
    </row>
    <row r="94" spans="3:14" x14ac:dyDescent="0.2">
      <c r="C94" s="389">
        <f t="shared" si="14"/>
        <v>88</v>
      </c>
      <c r="D94" s="18">
        <f>IF(AND(ISBLANK(Table22[[#This Row],[Start Date]]),ISBLANK(Table22[[#This Row],[Class]]),ISBLANK(Table22[[#This Row],[Class Description]]),ISBLANK(Table22[[#This Row],[No. of Attendees
(A)]])),0,IF(OR(ISBLANK(Table22[[#This Row],[Class]]),ISBLANK(Table22[[#This Row],[No. of Attendees
(A)]]),ISBLANK(Table22[[#This Row],[Length of Session
(B)]])),1,0))</f>
        <v>0</v>
      </c>
      <c r="E94" s="477"/>
      <c r="F94" s="478"/>
      <c r="G94" s="443"/>
      <c r="H94" s="402"/>
      <c r="I94" s="402"/>
      <c r="J94" s="400"/>
      <c r="K94" s="402"/>
      <c r="L94" s="481">
        <f t="shared" si="15"/>
        <v>0</v>
      </c>
      <c r="M94" s="398"/>
      <c r="N94" s="444"/>
    </row>
    <row r="95" spans="3:14" x14ac:dyDescent="0.2">
      <c r="C95" s="389">
        <f t="shared" si="14"/>
        <v>89</v>
      </c>
      <c r="D95" s="18">
        <f>IF(AND(ISBLANK(Table22[[#This Row],[Start Date]]),ISBLANK(Table22[[#This Row],[Class]]),ISBLANK(Table22[[#This Row],[Class Description]]),ISBLANK(Table22[[#This Row],[No. of Attendees
(A)]])),0,IF(OR(ISBLANK(Table22[[#This Row],[Class]]),ISBLANK(Table22[[#This Row],[No. of Attendees
(A)]]),ISBLANK(Table22[[#This Row],[Length of Session
(B)]])),1,0))</f>
        <v>0</v>
      </c>
      <c r="E95" s="477"/>
      <c r="F95" s="478"/>
      <c r="G95" s="443"/>
      <c r="H95" s="402"/>
      <c r="I95" s="402"/>
      <c r="J95" s="400"/>
      <c r="K95" s="402"/>
      <c r="L95" s="481">
        <f t="shared" si="15"/>
        <v>0</v>
      </c>
      <c r="M95" s="398"/>
      <c r="N95" s="444"/>
    </row>
    <row r="96" spans="3:14" x14ac:dyDescent="0.2">
      <c r="C96" s="389">
        <f t="shared" si="14"/>
        <v>90</v>
      </c>
      <c r="D96" s="18">
        <f>IF(AND(ISBLANK(Table22[[#This Row],[Start Date]]),ISBLANK(Table22[[#This Row],[Class]]),ISBLANK(Table22[[#This Row],[Class Description]]),ISBLANK(Table22[[#This Row],[No. of Attendees
(A)]])),0,IF(OR(ISBLANK(Table22[[#This Row],[Class]]),ISBLANK(Table22[[#This Row],[No. of Attendees
(A)]]),ISBLANK(Table22[[#This Row],[Length of Session
(B)]])),1,0))</f>
        <v>0</v>
      </c>
      <c r="E96" s="477"/>
      <c r="F96" s="478"/>
      <c r="G96" s="443"/>
      <c r="H96" s="402"/>
      <c r="I96" s="402"/>
      <c r="J96" s="400"/>
      <c r="K96" s="402"/>
      <c r="L96" s="481">
        <f t="shared" si="15"/>
        <v>0</v>
      </c>
      <c r="M96" s="398"/>
      <c r="N96" s="444"/>
    </row>
    <row r="97" spans="3:14" x14ac:dyDescent="0.2">
      <c r="C97" s="389">
        <f t="shared" si="14"/>
        <v>91</v>
      </c>
      <c r="D97" s="18">
        <f>IF(AND(ISBLANK(Table22[[#This Row],[Start Date]]),ISBLANK(Table22[[#This Row],[Class]]),ISBLANK(Table22[[#This Row],[Class Description]]),ISBLANK(Table22[[#This Row],[No. of Attendees
(A)]])),0,IF(OR(ISBLANK(Table22[[#This Row],[Class]]),ISBLANK(Table22[[#This Row],[No. of Attendees
(A)]]),ISBLANK(Table22[[#This Row],[Length of Session
(B)]])),1,0))</f>
        <v>0</v>
      </c>
      <c r="E97" s="477"/>
      <c r="F97" s="478"/>
      <c r="G97" s="443"/>
      <c r="H97" s="402"/>
      <c r="I97" s="402"/>
      <c r="J97" s="400"/>
      <c r="K97" s="402"/>
      <c r="L97" s="481">
        <f t="shared" si="15"/>
        <v>0</v>
      </c>
      <c r="M97" s="398"/>
      <c r="N97" s="444"/>
    </row>
    <row r="98" spans="3:14" x14ac:dyDescent="0.2">
      <c r="C98" s="389">
        <f t="shared" si="14"/>
        <v>92</v>
      </c>
      <c r="D98" s="18">
        <f>IF(AND(ISBLANK(Table22[[#This Row],[Start Date]]),ISBLANK(Table22[[#This Row],[Class]]),ISBLANK(Table22[[#This Row],[Class Description]]),ISBLANK(Table22[[#This Row],[No. of Attendees
(A)]])),0,IF(OR(ISBLANK(Table22[[#This Row],[Class]]),ISBLANK(Table22[[#This Row],[No. of Attendees
(A)]]),ISBLANK(Table22[[#This Row],[Length of Session
(B)]])),1,0))</f>
        <v>0</v>
      </c>
      <c r="E98" s="477"/>
      <c r="F98" s="478"/>
      <c r="G98" s="443"/>
      <c r="H98" s="402"/>
      <c r="I98" s="402"/>
      <c r="J98" s="400"/>
      <c r="K98" s="402"/>
      <c r="L98" s="481">
        <f t="shared" si="15"/>
        <v>0</v>
      </c>
      <c r="M98" s="398"/>
      <c r="N98" s="444"/>
    </row>
    <row r="99" spans="3:14" x14ac:dyDescent="0.2">
      <c r="C99" s="389">
        <f t="shared" si="14"/>
        <v>93</v>
      </c>
      <c r="D99" s="18">
        <f>IF(AND(ISBLANK(Table22[[#This Row],[Start Date]]),ISBLANK(Table22[[#This Row],[Class]]),ISBLANK(Table22[[#This Row],[Class Description]]),ISBLANK(Table22[[#This Row],[No. of Attendees
(A)]])),0,IF(OR(ISBLANK(Table22[[#This Row],[Class]]),ISBLANK(Table22[[#This Row],[No. of Attendees
(A)]]),ISBLANK(Table22[[#This Row],[Length of Session
(B)]])),1,0))</f>
        <v>0</v>
      </c>
      <c r="E99" s="477"/>
      <c r="F99" s="478"/>
      <c r="G99" s="443"/>
      <c r="H99" s="402"/>
      <c r="I99" s="402"/>
      <c r="J99" s="400"/>
      <c r="K99" s="402"/>
      <c r="L99" s="481">
        <f t="shared" si="15"/>
        <v>0</v>
      </c>
      <c r="M99" s="398"/>
      <c r="N99" s="444"/>
    </row>
    <row r="100" spans="3:14" x14ac:dyDescent="0.2">
      <c r="C100" s="389">
        <f t="shared" si="14"/>
        <v>94</v>
      </c>
      <c r="D100" s="18">
        <f>IF(AND(ISBLANK(Table22[[#This Row],[Start Date]]),ISBLANK(Table22[[#This Row],[Class]]),ISBLANK(Table22[[#This Row],[Class Description]]),ISBLANK(Table22[[#This Row],[No. of Attendees
(A)]])),0,IF(OR(ISBLANK(Table22[[#This Row],[Class]]),ISBLANK(Table22[[#This Row],[No. of Attendees
(A)]]),ISBLANK(Table22[[#This Row],[Length of Session
(B)]])),1,0))</f>
        <v>0</v>
      </c>
      <c r="E100" s="477"/>
      <c r="F100" s="478"/>
      <c r="G100" s="443"/>
      <c r="H100" s="402"/>
      <c r="I100" s="402"/>
      <c r="J100" s="400"/>
      <c r="K100" s="402"/>
      <c r="L100" s="481">
        <f t="shared" si="15"/>
        <v>0</v>
      </c>
      <c r="M100" s="398"/>
      <c r="N100" s="444"/>
    </row>
    <row r="101" spans="3:14" x14ac:dyDescent="0.2">
      <c r="C101" s="389">
        <f t="shared" si="14"/>
        <v>95</v>
      </c>
      <c r="D101" s="18">
        <f>IF(AND(ISBLANK(Table22[[#This Row],[Start Date]]),ISBLANK(Table22[[#This Row],[Class]]),ISBLANK(Table22[[#This Row],[Class Description]]),ISBLANK(Table22[[#This Row],[No. of Attendees
(A)]])),0,IF(OR(ISBLANK(Table22[[#This Row],[Class]]),ISBLANK(Table22[[#This Row],[No. of Attendees
(A)]]),ISBLANK(Table22[[#This Row],[Length of Session
(B)]])),1,0))</f>
        <v>0</v>
      </c>
      <c r="E101" s="442"/>
      <c r="F101" s="478"/>
      <c r="G101" s="443"/>
      <c r="H101" s="444"/>
      <c r="I101" s="444"/>
      <c r="J101" s="400"/>
      <c r="K101" s="444"/>
      <c r="L101" s="481">
        <f t="shared" si="15"/>
        <v>0</v>
      </c>
      <c r="M101" s="398"/>
      <c r="N101" s="444"/>
    </row>
    <row r="102" spans="3:14" x14ac:dyDescent="0.2">
      <c r="C102" s="389">
        <f t="shared" si="14"/>
        <v>96</v>
      </c>
      <c r="D102" s="18">
        <f>IF(AND(ISBLANK(Table22[[#This Row],[Start Date]]),ISBLANK(Table22[[#This Row],[Class]]),ISBLANK(Table22[[#This Row],[Class Description]]),ISBLANK(Table22[[#This Row],[No. of Attendees
(A)]])),0,IF(OR(ISBLANK(Table22[[#This Row],[Class]]),ISBLANK(Table22[[#This Row],[No. of Attendees
(A)]]),ISBLANK(Table22[[#This Row],[Length of Session
(B)]])),1,0))</f>
        <v>0</v>
      </c>
      <c r="E102" s="477"/>
      <c r="F102" s="478"/>
      <c r="G102" s="443"/>
      <c r="H102" s="402"/>
      <c r="I102" s="402"/>
      <c r="J102" s="400"/>
      <c r="K102" s="402"/>
      <c r="L102" s="481">
        <f t="shared" si="15"/>
        <v>0</v>
      </c>
      <c r="M102" s="398"/>
      <c r="N102" s="444"/>
    </row>
    <row r="103" spans="3:14" x14ac:dyDescent="0.2">
      <c r="C103" s="389">
        <f t="shared" si="14"/>
        <v>97</v>
      </c>
      <c r="D103" s="18">
        <f>IF(AND(ISBLANK(Table22[[#This Row],[Start Date]]),ISBLANK(Table22[[#This Row],[Class]]),ISBLANK(Table22[[#This Row],[Class Description]]),ISBLANK(Table22[[#This Row],[No. of Attendees
(A)]])),0,IF(OR(ISBLANK(Table22[[#This Row],[Class]]),ISBLANK(Table22[[#This Row],[No. of Attendees
(A)]]),ISBLANK(Table22[[#This Row],[Length of Session
(B)]])),1,0))</f>
        <v>0</v>
      </c>
      <c r="E103" s="442"/>
      <c r="F103" s="478"/>
      <c r="G103" s="443"/>
      <c r="H103" s="444"/>
      <c r="I103" s="444"/>
      <c r="J103" s="400"/>
      <c r="K103" s="444"/>
      <c r="L103" s="481">
        <f t="shared" si="15"/>
        <v>0</v>
      </c>
      <c r="M103" s="398"/>
      <c r="N103" s="444"/>
    </row>
    <row r="104" spans="3:14" x14ac:dyDescent="0.2">
      <c r="C104" s="389">
        <f t="shared" si="14"/>
        <v>98</v>
      </c>
      <c r="D104" s="18">
        <f>IF(AND(ISBLANK(Table22[[#This Row],[Start Date]]),ISBLANK(Table22[[#This Row],[Class]]),ISBLANK(Table22[[#This Row],[Class Description]]),ISBLANK(Table22[[#This Row],[No. of Attendees
(A)]])),0,IF(OR(ISBLANK(Table22[[#This Row],[Class]]),ISBLANK(Table22[[#This Row],[No. of Attendees
(A)]]),ISBLANK(Table22[[#This Row],[Length of Session
(B)]])),1,0))</f>
        <v>0</v>
      </c>
      <c r="E104" s="442"/>
      <c r="F104" s="478"/>
      <c r="G104" s="443"/>
      <c r="H104" s="444"/>
      <c r="I104" s="444"/>
      <c r="J104" s="400"/>
      <c r="K104" s="444"/>
      <c r="L104" s="481">
        <f t="shared" si="15"/>
        <v>0</v>
      </c>
      <c r="M104" s="398"/>
      <c r="N104" s="444"/>
    </row>
    <row r="105" spans="3:14" x14ac:dyDescent="0.2">
      <c r="C105" s="389">
        <f t="shared" si="14"/>
        <v>99</v>
      </c>
      <c r="D105" s="18">
        <f>IF(AND(ISBLANK(Table22[[#This Row],[Start Date]]),ISBLANK(Table22[[#This Row],[Class]]),ISBLANK(Table22[[#This Row],[Class Description]]),ISBLANK(Table22[[#This Row],[No. of Attendees
(A)]])),0,IF(OR(ISBLANK(Table22[[#This Row],[Class]]),ISBLANK(Table22[[#This Row],[No. of Attendees
(A)]]),ISBLANK(Table22[[#This Row],[Length of Session
(B)]])),1,0))</f>
        <v>0</v>
      </c>
      <c r="E105" s="442"/>
      <c r="F105" s="478"/>
      <c r="G105" s="443"/>
      <c r="H105" s="444"/>
      <c r="I105" s="444"/>
      <c r="J105" s="400"/>
      <c r="K105" s="444"/>
      <c r="L105" s="481">
        <f t="shared" si="15"/>
        <v>0</v>
      </c>
      <c r="M105" s="398"/>
      <c r="N105" s="444"/>
    </row>
    <row r="106" spans="3:14" x14ac:dyDescent="0.2">
      <c r="C106" s="389">
        <f t="shared" si="14"/>
        <v>100</v>
      </c>
      <c r="D106" s="18">
        <f>IF(AND(ISBLANK(Table22[[#This Row],[Start Date]]),ISBLANK(Table22[[#This Row],[Class]]),ISBLANK(Table22[[#This Row],[Class Description]]),ISBLANK(Table22[[#This Row],[No. of Attendees
(A)]])),0,IF(OR(ISBLANK(Table22[[#This Row],[Class]]),ISBLANK(Table22[[#This Row],[No. of Attendees
(A)]]),ISBLANK(Table22[[#This Row],[Length of Session
(B)]])),1,0))</f>
        <v>0</v>
      </c>
      <c r="E106" s="442"/>
      <c r="F106" s="478"/>
      <c r="G106" s="443"/>
      <c r="H106" s="444"/>
      <c r="I106" s="444"/>
      <c r="J106" s="400"/>
      <c r="K106" s="444"/>
      <c r="L106" s="481">
        <f t="shared" si="15"/>
        <v>0</v>
      </c>
      <c r="M106" s="398"/>
      <c r="N106" s="444"/>
    </row>
    <row r="107" spans="3:14" x14ac:dyDescent="0.2">
      <c r="C107" s="389">
        <f t="shared" si="14"/>
        <v>101</v>
      </c>
      <c r="D107" s="18">
        <f>IF(AND(ISBLANK(Table22[[#This Row],[Start Date]]),ISBLANK(Table22[[#This Row],[Class]]),ISBLANK(Table22[[#This Row],[Class Description]]),ISBLANK(Table22[[#This Row],[No. of Attendees
(A)]])),0,IF(OR(ISBLANK(Table22[[#This Row],[Class]]),ISBLANK(Table22[[#This Row],[No. of Attendees
(A)]]),ISBLANK(Table22[[#This Row],[Length of Session
(B)]])),1,0))</f>
        <v>0</v>
      </c>
      <c r="E107" s="477"/>
      <c r="F107" s="28"/>
      <c r="G107" s="480"/>
      <c r="H107" s="402"/>
      <c r="I107" s="402"/>
      <c r="J107" s="400"/>
      <c r="K107" s="402"/>
      <c r="L107" s="481">
        <f t="shared" si="15"/>
        <v>0</v>
      </c>
      <c r="M107" s="398"/>
      <c r="N107" s="444"/>
    </row>
    <row r="108" spans="3:14" x14ac:dyDescent="0.2">
      <c r="C108" s="389">
        <f t="shared" si="14"/>
        <v>102</v>
      </c>
      <c r="D108" s="18">
        <f>IF(AND(ISBLANK(Table22[[#This Row],[Start Date]]),ISBLANK(Table22[[#This Row],[Class]]),ISBLANK(Table22[[#This Row],[Class Description]]),ISBLANK(Table22[[#This Row],[No. of Attendees
(A)]])),0,IF(OR(ISBLANK(Table22[[#This Row],[Class]]),ISBLANK(Table22[[#This Row],[No. of Attendees
(A)]]),ISBLANK(Table22[[#This Row],[Length of Session
(B)]])),1,0))</f>
        <v>0</v>
      </c>
      <c r="E108" s="477"/>
      <c r="F108" s="28"/>
      <c r="G108" s="480"/>
      <c r="H108" s="402"/>
      <c r="I108" s="402"/>
      <c r="J108" s="400"/>
      <c r="K108" s="402"/>
      <c r="L108" s="481">
        <f t="shared" si="15"/>
        <v>0</v>
      </c>
      <c r="M108" s="398"/>
      <c r="N108" s="444"/>
    </row>
    <row r="109" spans="3:14" x14ac:dyDescent="0.2">
      <c r="C109" s="389">
        <f t="shared" si="14"/>
        <v>103</v>
      </c>
      <c r="D109" s="18">
        <f>IF(AND(ISBLANK(Table22[[#This Row],[Start Date]]),ISBLANK(Table22[[#This Row],[Class]]),ISBLANK(Table22[[#This Row],[Class Description]]),ISBLANK(Table22[[#This Row],[No. of Attendees
(A)]])),0,IF(OR(ISBLANK(Table22[[#This Row],[Class]]),ISBLANK(Table22[[#This Row],[No. of Attendees
(A)]]),ISBLANK(Table22[[#This Row],[Length of Session
(B)]])),1,0))</f>
        <v>0</v>
      </c>
      <c r="E109" s="477"/>
      <c r="F109" s="28"/>
      <c r="G109" s="480"/>
      <c r="H109" s="402"/>
      <c r="I109" s="402"/>
      <c r="J109" s="400"/>
      <c r="K109" s="402"/>
      <c r="L109" s="481">
        <f t="shared" si="15"/>
        <v>0</v>
      </c>
      <c r="M109" s="398"/>
      <c r="N109" s="444"/>
    </row>
    <row r="110" spans="3:14" x14ac:dyDescent="0.2">
      <c r="C110" s="389">
        <f t="shared" si="14"/>
        <v>104</v>
      </c>
      <c r="D110" s="18">
        <f>IF(AND(ISBLANK(Table22[[#This Row],[Start Date]]),ISBLANK(Table22[[#This Row],[Class]]),ISBLANK(Table22[[#This Row],[Class Description]]),ISBLANK(Table22[[#This Row],[No. of Attendees
(A)]])),0,IF(OR(ISBLANK(Table22[[#This Row],[Class]]),ISBLANK(Table22[[#This Row],[No. of Attendees
(A)]]),ISBLANK(Table22[[#This Row],[Length of Session
(B)]])),1,0))</f>
        <v>0</v>
      </c>
      <c r="E110" s="477"/>
      <c r="F110" s="28"/>
      <c r="G110" s="480"/>
      <c r="H110" s="402"/>
      <c r="I110" s="402"/>
      <c r="J110" s="400"/>
      <c r="K110" s="402"/>
      <c r="L110" s="481">
        <f t="shared" si="15"/>
        <v>0</v>
      </c>
      <c r="M110" s="398"/>
      <c r="N110" s="444"/>
    </row>
    <row r="111" spans="3:14" x14ac:dyDescent="0.2">
      <c r="C111" s="389">
        <f t="shared" ref="C111:C134" si="16">ROW()-6</f>
        <v>105</v>
      </c>
      <c r="D111" s="18">
        <f>IF(AND(ISBLANK(Table22[[#This Row],[Start Date]]),ISBLANK(Table22[[#This Row],[Class]]),ISBLANK(Table22[[#This Row],[Class Description]]),ISBLANK(Table22[[#This Row],[No. of Attendees
(A)]])),0,IF(OR(ISBLANK(Table22[[#This Row],[Class]]),ISBLANK(Table22[[#This Row],[No. of Attendees
(A)]]),ISBLANK(Table22[[#This Row],[Length of Session
(B)]])),1,0))</f>
        <v>0</v>
      </c>
      <c r="E111" s="442"/>
      <c r="F111" s="478"/>
      <c r="G111" s="443"/>
      <c r="H111" s="444"/>
      <c r="I111" s="444"/>
      <c r="J111" s="400"/>
      <c r="K111" s="444"/>
      <c r="L111" s="481">
        <f t="shared" ref="L111:L134" si="17">J111*K111</f>
        <v>0</v>
      </c>
      <c r="M111" s="398"/>
      <c r="N111" s="444"/>
    </row>
    <row r="112" spans="3:14" x14ac:dyDescent="0.2">
      <c r="C112" s="389">
        <f t="shared" si="16"/>
        <v>106</v>
      </c>
      <c r="D112" s="18">
        <f>IF(AND(ISBLANK(Table22[[#This Row],[Start Date]]),ISBLANK(Table22[[#This Row],[Class]]),ISBLANK(Table22[[#This Row],[Class Description]]),ISBLANK(Table22[[#This Row],[No. of Attendees
(A)]])),0,IF(OR(ISBLANK(Table22[[#This Row],[Class]]),ISBLANK(Table22[[#This Row],[No. of Attendees
(A)]]),ISBLANK(Table22[[#This Row],[Length of Session
(B)]])),1,0))</f>
        <v>0</v>
      </c>
      <c r="E112" s="442"/>
      <c r="F112" s="478"/>
      <c r="G112" s="443"/>
      <c r="H112" s="444"/>
      <c r="I112" s="444"/>
      <c r="J112" s="400"/>
      <c r="K112" s="444"/>
      <c r="L112" s="481">
        <f t="shared" si="17"/>
        <v>0</v>
      </c>
      <c r="M112" s="398"/>
      <c r="N112" s="444"/>
    </row>
    <row r="113" spans="3:14" x14ac:dyDescent="0.2">
      <c r="C113" s="389">
        <f t="shared" si="16"/>
        <v>107</v>
      </c>
      <c r="D113" s="18">
        <f>IF(AND(ISBLANK(Table22[[#This Row],[Start Date]]),ISBLANK(Table22[[#This Row],[Class]]),ISBLANK(Table22[[#This Row],[Class Description]]),ISBLANK(Table22[[#This Row],[No. of Attendees
(A)]])),0,IF(OR(ISBLANK(Table22[[#This Row],[Class]]),ISBLANK(Table22[[#This Row],[No. of Attendees
(A)]]),ISBLANK(Table22[[#This Row],[Length of Session
(B)]])),1,0))</f>
        <v>0</v>
      </c>
      <c r="E113" s="442"/>
      <c r="F113" s="478"/>
      <c r="G113" s="443"/>
      <c r="H113" s="444"/>
      <c r="I113" s="444"/>
      <c r="J113" s="400"/>
      <c r="K113" s="444"/>
      <c r="L113" s="481">
        <f t="shared" si="17"/>
        <v>0</v>
      </c>
      <c r="M113" s="398"/>
      <c r="N113" s="444"/>
    </row>
    <row r="114" spans="3:14" x14ac:dyDescent="0.2">
      <c r="C114" s="389">
        <f t="shared" si="16"/>
        <v>108</v>
      </c>
      <c r="D114" s="18">
        <f>IF(AND(ISBLANK(Table22[[#This Row],[Start Date]]),ISBLANK(Table22[[#This Row],[Class]]),ISBLANK(Table22[[#This Row],[Class Description]]),ISBLANK(Table22[[#This Row],[No. of Attendees
(A)]])),0,IF(OR(ISBLANK(Table22[[#This Row],[Class]]),ISBLANK(Table22[[#This Row],[No. of Attendees
(A)]]),ISBLANK(Table22[[#This Row],[Length of Session
(B)]])),1,0))</f>
        <v>0</v>
      </c>
      <c r="E114" s="442"/>
      <c r="F114" s="478"/>
      <c r="G114" s="443"/>
      <c r="H114" s="444"/>
      <c r="I114" s="444"/>
      <c r="J114" s="400"/>
      <c r="K114" s="444"/>
      <c r="L114" s="481">
        <f t="shared" si="17"/>
        <v>0</v>
      </c>
      <c r="M114" s="398"/>
      <c r="N114" s="444"/>
    </row>
    <row r="115" spans="3:14" x14ac:dyDescent="0.2">
      <c r="C115" s="389">
        <f t="shared" si="16"/>
        <v>109</v>
      </c>
      <c r="D115" s="18">
        <f>IF(AND(ISBLANK(Table22[[#This Row],[Start Date]]),ISBLANK(Table22[[#This Row],[Class]]),ISBLANK(Table22[[#This Row],[Class Description]]),ISBLANK(Table22[[#This Row],[No. of Attendees
(A)]])),0,IF(OR(ISBLANK(Table22[[#This Row],[Class]]),ISBLANK(Table22[[#This Row],[No. of Attendees
(A)]]),ISBLANK(Table22[[#This Row],[Length of Session
(B)]])),1,0))</f>
        <v>0</v>
      </c>
      <c r="E115" s="442"/>
      <c r="F115" s="478"/>
      <c r="G115" s="443"/>
      <c r="H115" s="444"/>
      <c r="I115" s="444"/>
      <c r="J115" s="400"/>
      <c r="K115" s="444"/>
      <c r="L115" s="481">
        <f t="shared" si="17"/>
        <v>0</v>
      </c>
      <c r="M115" s="398"/>
      <c r="N115" s="444"/>
    </row>
    <row r="116" spans="3:14" x14ac:dyDescent="0.2">
      <c r="C116" s="389">
        <f t="shared" si="16"/>
        <v>110</v>
      </c>
      <c r="D116" s="18">
        <f>IF(AND(ISBLANK(Table22[[#This Row],[Start Date]]),ISBLANK(Table22[[#This Row],[Class]]),ISBLANK(Table22[[#This Row],[Class Description]]),ISBLANK(Table22[[#This Row],[No. of Attendees
(A)]])),0,IF(OR(ISBLANK(Table22[[#This Row],[Class]]),ISBLANK(Table22[[#This Row],[No. of Attendees
(A)]]),ISBLANK(Table22[[#This Row],[Length of Session
(B)]])),1,0))</f>
        <v>0</v>
      </c>
      <c r="E116" s="477"/>
      <c r="F116" s="28"/>
      <c r="G116" s="480"/>
      <c r="H116" s="402"/>
      <c r="I116" s="402"/>
      <c r="J116" s="400"/>
      <c r="K116" s="402"/>
      <c r="L116" s="481">
        <f t="shared" si="17"/>
        <v>0</v>
      </c>
      <c r="M116" s="398"/>
      <c r="N116" s="444"/>
    </row>
    <row r="117" spans="3:14" x14ac:dyDescent="0.2">
      <c r="C117" s="389">
        <f t="shared" si="16"/>
        <v>111</v>
      </c>
      <c r="D117" s="18">
        <f>IF(AND(ISBLANK(Table22[[#This Row],[Start Date]]),ISBLANK(Table22[[#This Row],[Class]]),ISBLANK(Table22[[#This Row],[Class Description]]),ISBLANK(Table22[[#This Row],[No. of Attendees
(A)]])),0,IF(OR(ISBLANK(Table22[[#This Row],[Class]]),ISBLANK(Table22[[#This Row],[No. of Attendees
(A)]]),ISBLANK(Table22[[#This Row],[Length of Session
(B)]])),1,0))</f>
        <v>0</v>
      </c>
      <c r="E117" s="477"/>
      <c r="F117" s="28"/>
      <c r="G117" s="480"/>
      <c r="H117" s="402"/>
      <c r="I117" s="402"/>
      <c r="J117" s="400"/>
      <c r="K117" s="402"/>
      <c r="L117" s="481">
        <f t="shared" si="17"/>
        <v>0</v>
      </c>
      <c r="M117" s="398"/>
      <c r="N117" s="444"/>
    </row>
    <row r="118" spans="3:14" x14ac:dyDescent="0.2">
      <c r="C118" s="389">
        <f t="shared" si="16"/>
        <v>112</v>
      </c>
      <c r="D118" s="18">
        <f>IF(AND(ISBLANK(Table22[[#This Row],[Start Date]]),ISBLANK(Table22[[#This Row],[Class]]),ISBLANK(Table22[[#This Row],[Class Description]]),ISBLANK(Table22[[#This Row],[No. of Attendees
(A)]])),0,IF(OR(ISBLANK(Table22[[#This Row],[Class]]),ISBLANK(Table22[[#This Row],[No. of Attendees
(A)]]),ISBLANK(Table22[[#This Row],[Length of Session
(B)]])),1,0))</f>
        <v>0</v>
      </c>
      <c r="E118" s="477"/>
      <c r="F118" s="28"/>
      <c r="G118" s="480"/>
      <c r="H118" s="402"/>
      <c r="I118" s="402"/>
      <c r="J118" s="400"/>
      <c r="K118" s="402"/>
      <c r="L118" s="481">
        <f t="shared" si="17"/>
        <v>0</v>
      </c>
      <c r="M118" s="398"/>
      <c r="N118" s="444"/>
    </row>
    <row r="119" spans="3:14" x14ac:dyDescent="0.2">
      <c r="C119" s="389">
        <f t="shared" si="16"/>
        <v>113</v>
      </c>
      <c r="D119" s="18">
        <f>IF(AND(ISBLANK(Table22[[#This Row],[Start Date]]),ISBLANK(Table22[[#This Row],[Class]]),ISBLANK(Table22[[#This Row],[Class Description]]),ISBLANK(Table22[[#This Row],[No. of Attendees
(A)]])),0,IF(OR(ISBLANK(Table22[[#This Row],[Class]]),ISBLANK(Table22[[#This Row],[No. of Attendees
(A)]]),ISBLANK(Table22[[#This Row],[Length of Session
(B)]])),1,0))</f>
        <v>0</v>
      </c>
      <c r="E119" s="477"/>
      <c r="F119" s="28"/>
      <c r="G119" s="480"/>
      <c r="H119" s="402"/>
      <c r="I119" s="402"/>
      <c r="J119" s="400"/>
      <c r="K119" s="402"/>
      <c r="L119" s="481">
        <f t="shared" si="17"/>
        <v>0</v>
      </c>
      <c r="M119" s="398"/>
      <c r="N119" s="444"/>
    </row>
    <row r="120" spans="3:14" x14ac:dyDescent="0.2">
      <c r="C120" s="389">
        <f t="shared" si="16"/>
        <v>114</v>
      </c>
      <c r="D120" s="18">
        <f>IF(AND(ISBLANK(Table22[[#This Row],[Start Date]]),ISBLANK(Table22[[#This Row],[Class]]),ISBLANK(Table22[[#This Row],[Class Description]]),ISBLANK(Table22[[#This Row],[No. of Attendees
(A)]])),0,IF(OR(ISBLANK(Table22[[#This Row],[Class]]),ISBLANK(Table22[[#This Row],[No. of Attendees
(A)]]),ISBLANK(Table22[[#This Row],[Length of Session
(B)]])),1,0))</f>
        <v>0</v>
      </c>
      <c r="E120" s="477"/>
      <c r="F120" s="28"/>
      <c r="G120" s="480"/>
      <c r="H120" s="402"/>
      <c r="I120" s="402"/>
      <c r="J120" s="400"/>
      <c r="K120" s="402"/>
      <c r="L120" s="481">
        <f t="shared" si="17"/>
        <v>0</v>
      </c>
      <c r="M120" s="398"/>
      <c r="N120" s="444"/>
    </row>
    <row r="121" spans="3:14" x14ac:dyDescent="0.2">
      <c r="C121" s="389">
        <f t="shared" si="16"/>
        <v>115</v>
      </c>
      <c r="D121" s="18">
        <f>IF(AND(ISBLANK(Table22[[#This Row],[Start Date]]),ISBLANK(Table22[[#This Row],[Class]]),ISBLANK(Table22[[#This Row],[Class Description]]),ISBLANK(Table22[[#This Row],[No. of Attendees
(A)]])),0,IF(OR(ISBLANK(Table22[[#This Row],[Class]]),ISBLANK(Table22[[#This Row],[No. of Attendees
(A)]]),ISBLANK(Table22[[#This Row],[Length of Session
(B)]])),1,0))</f>
        <v>0</v>
      </c>
      <c r="E121" s="442"/>
      <c r="F121" s="478"/>
      <c r="G121" s="443"/>
      <c r="H121" s="444"/>
      <c r="I121" s="444"/>
      <c r="J121" s="400"/>
      <c r="K121" s="444"/>
      <c r="L121" s="481">
        <f t="shared" si="17"/>
        <v>0</v>
      </c>
      <c r="M121" s="398"/>
      <c r="N121" s="444"/>
    </row>
    <row r="122" spans="3:14" x14ac:dyDescent="0.2">
      <c r="C122" s="389">
        <f t="shared" si="16"/>
        <v>116</v>
      </c>
      <c r="D122" s="18">
        <f>IF(AND(ISBLANK(Table22[[#This Row],[Start Date]]),ISBLANK(Table22[[#This Row],[Class]]),ISBLANK(Table22[[#This Row],[Class Description]]),ISBLANK(Table22[[#This Row],[No. of Attendees
(A)]])),0,IF(OR(ISBLANK(Table22[[#This Row],[Class]]),ISBLANK(Table22[[#This Row],[No. of Attendees
(A)]]),ISBLANK(Table22[[#This Row],[Length of Session
(B)]])),1,0))</f>
        <v>0</v>
      </c>
      <c r="E122" s="442"/>
      <c r="F122" s="478"/>
      <c r="G122" s="443"/>
      <c r="H122" s="444"/>
      <c r="I122" s="444"/>
      <c r="J122" s="400"/>
      <c r="K122" s="444"/>
      <c r="L122" s="481">
        <f t="shared" si="17"/>
        <v>0</v>
      </c>
      <c r="M122" s="398"/>
      <c r="N122" s="444"/>
    </row>
    <row r="123" spans="3:14" x14ac:dyDescent="0.2">
      <c r="C123" s="389">
        <f t="shared" si="16"/>
        <v>117</v>
      </c>
      <c r="D123" s="18">
        <f>IF(AND(ISBLANK(Table22[[#This Row],[Start Date]]),ISBLANK(Table22[[#This Row],[Class]]),ISBLANK(Table22[[#This Row],[Class Description]]),ISBLANK(Table22[[#This Row],[No. of Attendees
(A)]])),0,IF(OR(ISBLANK(Table22[[#This Row],[Class]]),ISBLANK(Table22[[#This Row],[No. of Attendees
(A)]]),ISBLANK(Table22[[#This Row],[Length of Session
(B)]])),1,0))</f>
        <v>0</v>
      </c>
      <c r="E123" s="442"/>
      <c r="F123" s="478"/>
      <c r="G123" s="443"/>
      <c r="H123" s="444"/>
      <c r="I123" s="444"/>
      <c r="J123" s="400"/>
      <c r="K123" s="444"/>
      <c r="L123" s="481">
        <f t="shared" si="17"/>
        <v>0</v>
      </c>
      <c r="M123" s="398"/>
      <c r="N123" s="444"/>
    </row>
    <row r="124" spans="3:14" x14ac:dyDescent="0.2">
      <c r="C124" s="389">
        <f t="shared" si="16"/>
        <v>118</v>
      </c>
      <c r="D124" s="18">
        <f>IF(AND(ISBLANK(Table22[[#This Row],[Start Date]]),ISBLANK(Table22[[#This Row],[Class]]),ISBLANK(Table22[[#This Row],[Class Description]]),ISBLANK(Table22[[#This Row],[No. of Attendees
(A)]])),0,IF(OR(ISBLANK(Table22[[#This Row],[Class]]),ISBLANK(Table22[[#This Row],[No. of Attendees
(A)]]),ISBLANK(Table22[[#This Row],[Length of Session
(B)]])),1,0))</f>
        <v>0</v>
      </c>
      <c r="E124" s="442"/>
      <c r="F124" s="478"/>
      <c r="G124" s="443"/>
      <c r="H124" s="444"/>
      <c r="I124" s="444"/>
      <c r="J124" s="400"/>
      <c r="K124" s="444"/>
      <c r="L124" s="481">
        <f t="shared" si="17"/>
        <v>0</v>
      </c>
      <c r="M124" s="398"/>
      <c r="N124" s="444"/>
    </row>
    <row r="125" spans="3:14" x14ac:dyDescent="0.2">
      <c r="C125" s="389">
        <f t="shared" si="16"/>
        <v>119</v>
      </c>
      <c r="D125" s="18">
        <f>IF(AND(ISBLANK(Table22[[#This Row],[Start Date]]),ISBLANK(Table22[[#This Row],[Class]]),ISBLANK(Table22[[#This Row],[Class Description]]),ISBLANK(Table22[[#This Row],[No. of Attendees
(A)]])),0,IF(OR(ISBLANK(Table22[[#This Row],[Class]]),ISBLANK(Table22[[#This Row],[No. of Attendees
(A)]]),ISBLANK(Table22[[#This Row],[Length of Session
(B)]])),1,0))</f>
        <v>0</v>
      </c>
      <c r="E125" s="477"/>
      <c r="F125" s="28"/>
      <c r="G125" s="480"/>
      <c r="H125" s="402"/>
      <c r="I125" s="402"/>
      <c r="J125" s="400"/>
      <c r="K125" s="402"/>
      <c r="L125" s="481">
        <f t="shared" si="17"/>
        <v>0</v>
      </c>
      <c r="M125" s="398"/>
      <c r="N125" s="444"/>
    </row>
    <row r="126" spans="3:14" x14ac:dyDescent="0.2">
      <c r="C126" s="389">
        <f t="shared" si="16"/>
        <v>120</v>
      </c>
      <c r="D126" s="18">
        <f>IF(AND(ISBLANK(Table22[[#This Row],[Start Date]]),ISBLANK(Table22[[#This Row],[Class]]),ISBLANK(Table22[[#This Row],[Class Description]]),ISBLANK(Table22[[#This Row],[No. of Attendees
(A)]])),0,IF(OR(ISBLANK(Table22[[#This Row],[Class]]),ISBLANK(Table22[[#This Row],[No. of Attendees
(A)]]),ISBLANK(Table22[[#This Row],[Length of Session
(B)]])),1,0))</f>
        <v>0</v>
      </c>
      <c r="E126" s="477"/>
      <c r="F126" s="28"/>
      <c r="G126" s="480"/>
      <c r="H126" s="402"/>
      <c r="I126" s="402"/>
      <c r="J126" s="400"/>
      <c r="K126" s="402"/>
      <c r="L126" s="481">
        <f t="shared" si="17"/>
        <v>0</v>
      </c>
      <c r="M126" s="398"/>
      <c r="N126" s="444"/>
    </row>
    <row r="127" spans="3:14" x14ac:dyDescent="0.2">
      <c r="C127" s="389">
        <f t="shared" si="16"/>
        <v>121</v>
      </c>
      <c r="D127" s="18">
        <f>IF(AND(ISBLANK(Table22[[#This Row],[Start Date]]),ISBLANK(Table22[[#This Row],[Class]]),ISBLANK(Table22[[#This Row],[Class Description]]),ISBLANK(Table22[[#This Row],[No. of Attendees
(A)]])),0,IF(OR(ISBLANK(Table22[[#This Row],[Class]]),ISBLANK(Table22[[#This Row],[No. of Attendees
(A)]]),ISBLANK(Table22[[#This Row],[Length of Session
(B)]])),1,0))</f>
        <v>0</v>
      </c>
      <c r="E127" s="477"/>
      <c r="F127" s="28"/>
      <c r="G127" s="480"/>
      <c r="H127" s="402"/>
      <c r="I127" s="402"/>
      <c r="J127" s="400"/>
      <c r="K127" s="402"/>
      <c r="L127" s="481">
        <f t="shared" si="17"/>
        <v>0</v>
      </c>
      <c r="M127" s="398"/>
      <c r="N127" s="444"/>
    </row>
    <row r="128" spans="3:14" x14ac:dyDescent="0.2">
      <c r="C128" s="389">
        <f t="shared" si="16"/>
        <v>122</v>
      </c>
      <c r="D128" s="18">
        <f>IF(AND(ISBLANK(Table22[[#This Row],[Start Date]]),ISBLANK(Table22[[#This Row],[Class]]),ISBLANK(Table22[[#This Row],[Class Description]]),ISBLANK(Table22[[#This Row],[No. of Attendees
(A)]])),0,IF(OR(ISBLANK(Table22[[#This Row],[Class]]),ISBLANK(Table22[[#This Row],[No. of Attendees
(A)]]),ISBLANK(Table22[[#This Row],[Length of Session
(B)]])),1,0))</f>
        <v>0</v>
      </c>
      <c r="E128" s="442"/>
      <c r="F128" s="478"/>
      <c r="G128" s="479"/>
      <c r="H128" s="444"/>
      <c r="I128" s="444"/>
      <c r="J128" s="400"/>
      <c r="K128" s="444"/>
      <c r="L128" s="481">
        <f t="shared" si="17"/>
        <v>0</v>
      </c>
      <c r="M128" s="398"/>
      <c r="N128" s="444"/>
    </row>
    <row r="129" spans="3:14" x14ac:dyDescent="0.2">
      <c r="C129" s="389">
        <f t="shared" si="16"/>
        <v>123</v>
      </c>
      <c r="D129" s="18">
        <f>IF(AND(ISBLANK(Table22[[#This Row],[Start Date]]),ISBLANK(Table22[[#This Row],[Class]]),ISBLANK(Table22[[#This Row],[Class Description]]),ISBLANK(Table22[[#This Row],[No. of Attendees
(A)]])),0,IF(OR(ISBLANK(Table22[[#This Row],[Class]]),ISBLANK(Table22[[#This Row],[No. of Attendees
(A)]]),ISBLANK(Table22[[#This Row],[Length of Session
(B)]])),1,0))</f>
        <v>0</v>
      </c>
      <c r="E129" s="477"/>
      <c r="F129" s="28"/>
      <c r="G129" s="480"/>
      <c r="H129" s="402"/>
      <c r="I129" s="402"/>
      <c r="J129" s="400"/>
      <c r="K129" s="402"/>
      <c r="L129" s="481">
        <f t="shared" si="17"/>
        <v>0</v>
      </c>
      <c r="M129" s="398"/>
      <c r="N129" s="444"/>
    </row>
    <row r="130" spans="3:14" x14ac:dyDescent="0.2">
      <c r="C130" s="389">
        <f t="shared" si="16"/>
        <v>124</v>
      </c>
      <c r="D130" s="18">
        <f>IF(AND(ISBLANK(Table22[[#This Row],[Start Date]]),ISBLANK(Table22[[#This Row],[Class]]),ISBLANK(Table22[[#This Row],[Class Description]]),ISBLANK(Table22[[#This Row],[No. of Attendees
(A)]])),0,IF(OR(ISBLANK(Table22[[#This Row],[Class]]),ISBLANK(Table22[[#This Row],[No. of Attendees
(A)]]),ISBLANK(Table22[[#This Row],[Length of Session
(B)]])),1,0))</f>
        <v>0</v>
      </c>
      <c r="E130" s="477"/>
      <c r="F130" s="478"/>
      <c r="G130" s="443"/>
      <c r="H130" s="402"/>
      <c r="I130" s="402"/>
      <c r="J130" s="400"/>
      <c r="K130" s="402"/>
      <c r="L130" s="481">
        <f t="shared" si="17"/>
        <v>0</v>
      </c>
      <c r="M130" s="398"/>
      <c r="N130" s="444"/>
    </row>
    <row r="131" spans="3:14" x14ac:dyDescent="0.2">
      <c r="C131" s="389">
        <f t="shared" si="16"/>
        <v>125</v>
      </c>
      <c r="D131" s="18">
        <f>IF(AND(ISBLANK(Table22[[#This Row],[Start Date]]),ISBLANK(Table22[[#This Row],[Class]]),ISBLANK(Table22[[#This Row],[Class Description]]),ISBLANK(Table22[[#This Row],[No. of Attendees
(A)]])),0,IF(OR(ISBLANK(Table22[[#This Row],[Class]]),ISBLANK(Table22[[#This Row],[No. of Attendees
(A)]]),ISBLANK(Table22[[#This Row],[Length of Session
(B)]])),1,0))</f>
        <v>0</v>
      </c>
      <c r="E131" s="477"/>
      <c r="F131" s="478"/>
      <c r="G131" s="443"/>
      <c r="H131" s="402"/>
      <c r="I131" s="402"/>
      <c r="J131" s="400"/>
      <c r="K131" s="402"/>
      <c r="L131" s="481">
        <f t="shared" si="17"/>
        <v>0</v>
      </c>
      <c r="M131" s="398"/>
      <c r="N131" s="444"/>
    </row>
    <row r="132" spans="3:14" x14ac:dyDescent="0.2">
      <c r="C132" s="389">
        <f t="shared" si="16"/>
        <v>126</v>
      </c>
      <c r="D132" s="18">
        <f>IF(AND(ISBLANK(Table22[[#This Row],[Start Date]]),ISBLANK(Table22[[#This Row],[Class]]),ISBLANK(Table22[[#This Row],[Class Description]]),ISBLANK(Table22[[#This Row],[No. of Attendees
(A)]])),0,IF(OR(ISBLANK(Table22[[#This Row],[Class]]),ISBLANK(Table22[[#This Row],[No. of Attendees
(A)]]),ISBLANK(Table22[[#This Row],[Length of Session
(B)]])),1,0))</f>
        <v>0</v>
      </c>
      <c r="E132" s="445"/>
      <c r="F132" s="398"/>
      <c r="G132" s="398"/>
      <c r="H132" s="398"/>
      <c r="I132" s="398"/>
      <c r="J132" s="400"/>
      <c r="K132" s="525"/>
      <c r="L132" s="524">
        <f t="shared" si="17"/>
        <v>0</v>
      </c>
      <c r="M132" s="444"/>
      <c r="N132" s="398"/>
    </row>
    <row r="133" spans="3:14" x14ac:dyDescent="0.2">
      <c r="C133" s="389">
        <f t="shared" si="16"/>
        <v>127</v>
      </c>
      <c r="D133" s="18">
        <f>IF(AND(ISBLANK(Table22[[#This Row],[Start Date]]),ISBLANK(Table22[[#This Row],[Class]]),ISBLANK(Table22[[#This Row],[Class Description]]),ISBLANK(Table22[[#This Row],[No. of Attendees
(A)]])),0,IF(OR(ISBLANK(Table22[[#This Row],[Class]]),ISBLANK(Table22[[#This Row],[No. of Attendees
(A)]]),ISBLANK(Table22[[#This Row],[Length of Session
(B)]])),1,0))</f>
        <v>0</v>
      </c>
      <c r="E133" s="445"/>
      <c r="F133" s="398"/>
      <c r="G133" s="398"/>
      <c r="H133" s="398"/>
      <c r="I133" s="398"/>
      <c r="J133" s="400"/>
      <c r="K133" s="525"/>
      <c r="L133" s="524">
        <f t="shared" si="17"/>
        <v>0</v>
      </c>
      <c r="M133" s="443"/>
      <c r="N133" s="398"/>
    </row>
    <row r="134" spans="3:14" x14ac:dyDescent="0.2">
      <c r="C134" s="389">
        <f t="shared" si="16"/>
        <v>128</v>
      </c>
      <c r="D134" s="18">
        <f>IF(AND(ISBLANK(Table22[[#This Row],[Start Date]]),ISBLANK(Table22[[#This Row],[Class]]),ISBLANK(Table22[[#This Row],[Class Description]]),ISBLANK(Table22[[#This Row],[No. of Attendees
(A)]])),0,IF(OR(ISBLANK(Table22[[#This Row],[Class]]),ISBLANK(Table22[[#This Row],[No. of Attendees
(A)]]),ISBLANK(Table22[[#This Row],[Length of Session
(B)]])),1,0))</f>
        <v>0</v>
      </c>
      <c r="E134" s="445"/>
      <c r="F134" s="398"/>
      <c r="G134" s="398"/>
      <c r="H134" s="398"/>
      <c r="I134" s="398"/>
      <c r="J134" s="400"/>
      <c r="K134" s="525"/>
      <c r="L134" s="524">
        <f t="shared" si="17"/>
        <v>0</v>
      </c>
      <c r="M134" s="444"/>
      <c r="N134" s="398"/>
    </row>
    <row r="135" spans="3:14" x14ac:dyDescent="0.2">
      <c r="C135" s="392" t="s">
        <v>292</v>
      </c>
      <c r="D135" s="396">
        <f>SUM(Table22[Test])</f>
        <v>0</v>
      </c>
      <c r="E135" s="392" t="s">
        <v>293</v>
      </c>
      <c r="F135" s="393">
        <f>COUNTA(Table22[Class])</f>
        <v>65</v>
      </c>
      <c r="G135" s="394"/>
      <c r="H135" s="394"/>
      <c r="I135" s="394"/>
      <c r="J135" s="395">
        <f>SUM(J7:J134)</f>
        <v>65</v>
      </c>
      <c r="K135" s="394"/>
      <c r="L135" s="395">
        <f>SUM(L7:L134)</f>
        <v>77.5</v>
      </c>
      <c r="M135" s="394"/>
      <c r="N135" s="395">
        <f>SUM(N7:N134)</f>
        <v>0</v>
      </c>
    </row>
  </sheetData>
  <mergeCells count="1">
    <mergeCell ref="B2:O2"/>
  </mergeCells>
  <pageMargins left="0.25" right="0.25" top="0.5" bottom="0.5" header="0.3" footer="0.3"/>
  <pageSetup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O112"/>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4.42578125" style="2" customWidth="1"/>
    <col min="3" max="9" width="10.85546875" style="2" customWidth="1"/>
    <col min="10" max="10" width="9.140625" style="2" customWidth="1"/>
    <col min="11" max="11" width="10.85546875" style="2" customWidth="1"/>
    <col min="12" max="12" width="9.140625" style="2" customWidth="1"/>
    <col min="13" max="13" width="10.85546875" style="2" customWidth="1"/>
    <col min="14" max="14" width="9.140625" style="2" customWidth="1"/>
    <col min="15" max="15" width="4.85546875" style="2" customWidth="1"/>
    <col min="16" max="16" width="1" style="2" customWidth="1"/>
    <col min="17" max="17" width="16" style="2" customWidth="1"/>
    <col min="18" max="16384" width="9.140625" style="2"/>
  </cols>
  <sheetData>
    <row r="1" spans="2:15" ht="28.5" customHeight="1" x14ac:dyDescent="0.2"/>
    <row r="2" spans="2:15" ht="64.5" customHeight="1" x14ac:dyDescent="0.2">
      <c r="B2" s="508"/>
      <c r="C2" s="509"/>
      <c r="D2" s="509"/>
      <c r="E2" s="509"/>
      <c r="F2" s="509"/>
      <c r="G2" s="509"/>
      <c r="H2" s="509"/>
      <c r="I2" s="509"/>
      <c r="J2" s="509"/>
      <c r="K2" s="509"/>
      <c r="L2" s="509"/>
      <c r="M2" s="509"/>
      <c r="N2" s="509"/>
      <c r="O2" s="510"/>
    </row>
    <row r="3" spans="2:15" ht="7.5" customHeight="1" x14ac:dyDescent="0.2">
      <c r="B3" s="511"/>
      <c r="C3" s="347"/>
      <c r="D3" s="347"/>
      <c r="E3" s="347"/>
      <c r="F3" s="347"/>
      <c r="G3" s="347"/>
      <c r="H3" s="347"/>
      <c r="I3" s="347"/>
      <c r="J3" s="347"/>
      <c r="K3" s="347"/>
      <c r="L3" s="347"/>
      <c r="M3" s="347"/>
      <c r="N3" s="347"/>
      <c r="O3" s="512"/>
    </row>
    <row r="4" spans="2:15" ht="15" customHeight="1" x14ac:dyDescent="0.25">
      <c r="B4" s="3"/>
      <c r="C4" s="317"/>
      <c r="D4" s="302"/>
      <c r="E4" s="302"/>
      <c r="F4" s="302"/>
      <c r="G4" s="302"/>
      <c r="H4" s="302"/>
      <c r="I4" s="302"/>
      <c r="J4" s="302"/>
      <c r="K4" s="302"/>
      <c r="L4" s="302"/>
      <c r="M4" s="302"/>
      <c r="N4" s="302"/>
      <c r="O4" s="4"/>
    </row>
    <row r="5" spans="2:15" ht="15" customHeight="1" x14ac:dyDescent="0.2">
      <c r="B5" s="3"/>
      <c r="C5" s="318"/>
      <c r="D5" s="319"/>
      <c r="E5" s="302"/>
      <c r="F5" s="318"/>
      <c r="G5" s="318"/>
      <c r="I5" s="319"/>
      <c r="J5" s="302"/>
      <c r="K5" s="319"/>
      <c r="L5" s="302"/>
      <c r="M5" s="319"/>
      <c r="N5" s="302"/>
      <c r="O5" s="4"/>
    </row>
    <row r="6" spans="2:15" ht="50.25" customHeight="1" x14ac:dyDescent="0.2">
      <c r="B6" s="3"/>
      <c r="D6" s="320"/>
      <c r="E6" s="320"/>
      <c r="F6" s="320"/>
      <c r="G6" s="320"/>
      <c r="H6" s="320"/>
      <c r="I6" s="320"/>
      <c r="J6" s="321"/>
      <c r="K6" s="320"/>
      <c r="L6" s="321"/>
      <c r="M6" s="320"/>
      <c r="N6" s="321"/>
      <c r="O6" s="4"/>
    </row>
    <row r="7" spans="2:15" ht="11.25" customHeight="1" x14ac:dyDescent="0.2">
      <c r="B7" s="3"/>
      <c r="H7" s="322"/>
      <c r="I7" s="322"/>
      <c r="J7" s="322"/>
      <c r="K7" s="322"/>
      <c r="L7" s="322"/>
      <c r="M7" s="322"/>
      <c r="N7" s="322"/>
      <c r="O7" s="4"/>
    </row>
    <row r="8" spans="2:15" ht="15" customHeight="1" x14ac:dyDescent="0.2">
      <c r="B8" s="3"/>
      <c r="C8" s="247"/>
      <c r="D8" s="323"/>
      <c r="E8" s="324"/>
      <c r="F8" s="323"/>
      <c r="G8" s="323"/>
      <c r="H8" s="262"/>
      <c r="I8" s="262"/>
      <c r="J8" s="325"/>
      <c r="K8" s="326"/>
      <c r="L8" s="325"/>
      <c r="M8" s="262"/>
      <c r="N8" s="325"/>
      <c r="O8" s="4"/>
    </row>
    <row r="9" spans="2:15" ht="15" customHeight="1" x14ac:dyDescent="0.2">
      <c r="B9" s="3"/>
      <c r="C9" s="247"/>
      <c r="D9" s="323"/>
      <c r="E9" s="324"/>
      <c r="F9" s="323"/>
      <c r="G9" s="323"/>
      <c r="H9" s="262"/>
      <c r="I9" s="262"/>
      <c r="J9" s="325"/>
      <c r="K9" s="326"/>
      <c r="L9" s="325"/>
      <c r="M9" s="262"/>
      <c r="N9" s="325"/>
      <c r="O9" s="4"/>
    </row>
    <row r="10" spans="2:15" ht="15" customHeight="1" x14ac:dyDescent="0.25">
      <c r="B10" s="3"/>
      <c r="C10" s="247"/>
      <c r="D10" s="323"/>
      <c r="E10" s="674" t="s">
        <v>415</v>
      </c>
      <c r="F10" s="674"/>
      <c r="G10" s="674"/>
      <c r="H10" s="674"/>
      <c r="I10" s="674"/>
      <c r="J10" s="674"/>
      <c r="K10" s="326"/>
      <c r="L10" s="325"/>
      <c r="M10" s="262"/>
      <c r="N10" s="325"/>
      <c r="O10" s="4"/>
    </row>
    <row r="11" spans="2:15" ht="15" customHeight="1" x14ac:dyDescent="0.2">
      <c r="B11" s="3"/>
      <c r="C11" s="247"/>
      <c r="D11" s="323"/>
      <c r="E11" s="324"/>
      <c r="F11" s="323"/>
      <c r="G11" s="323"/>
      <c r="H11" s="262"/>
      <c r="I11" s="262"/>
      <c r="J11" s="325"/>
      <c r="K11" s="326"/>
      <c r="L11" s="325"/>
      <c r="M11" s="262"/>
      <c r="N11" s="325"/>
      <c r="O11" s="4"/>
    </row>
    <row r="12" spans="2:15" ht="15" customHeight="1" x14ac:dyDescent="0.2">
      <c r="B12" s="3"/>
      <c r="C12" s="247"/>
      <c r="D12" s="323"/>
      <c r="E12" s="324"/>
      <c r="F12" s="323"/>
      <c r="G12" s="323"/>
      <c r="H12" s="262"/>
      <c r="I12" s="262"/>
      <c r="J12" s="325"/>
      <c r="K12" s="326"/>
      <c r="L12" s="325"/>
      <c r="M12" s="262"/>
      <c r="N12" s="325"/>
      <c r="O12" s="4"/>
    </row>
    <row r="13" spans="2:15" ht="15" customHeight="1" x14ac:dyDescent="0.2">
      <c r="B13" s="3"/>
      <c r="O13" s="4"/>
    </row>
    <row r="14" spans="2:15" ht="15" customHeight="1" x14ac:dyDescent="0.2">
      <c r="B14" s="3"/>
      <c r="O14" s="4"/>
    </row>
    <row r="15" spans="2:15" ht="15" customHeight="1" x14ac:dyDescent="0.25">
      <c r="B15" s="3"/>
      <c r="D15" s="673"/>
      <c r="E15" s="673"/>
      <c r="F15" s="673"/>
      <c r="G15" s="673"/>
      <c r="H15" s="673"/>
      <c r="I15" s="673"/>
      <c r="J15" s="673"/>
      <c r="K15" s="673"/>
      <c r="L15" s="673"/>
      <c r="M15" s="673"/>
      <c r="O15" s="4"/>
    </row>
    <row r="16" spans="2:15" ht="15" customHeight="1" x14ac:dyDescent="0.2">
      <c r="B16" s="3"/>
      <c r="D16" s="633"/>
      <c r="E16" s="672"/>
      <c r="F16" s="672"/>
      <c r="G16" s="672"/>
      <c r="H16" s="672"/>
      <c r="I16" s="672"/>
      <c r="J16" s="672"/>
      <c r="K16" s="672"/>
      <c r="L16" s="672"/>
      <c r="M16" s="672"/>
      <c r="O16" s="4"/>
    </row>
    <row r="17" spans="2:15" ht="15" customHeight="1" x14ac:dyDescent="0.2">
      <c r="B17" s="3"/>
      <c r="D17" s="633"/>
      <c r="O17" s="4"/>
    </row>
    <row r="18" spans="2:15" ht="15" customHeight="1" x14ac:dyDescent="0.2">
      <c r="B18" s="3"/>
      <c r="D18" s="633"/>
      <c r="O18" s="4"/>
    </row>
    <row r="19" spans="2:15" ht="15" customHeight="1" x14ac:dyDescent="0.2">
      <c r="B19" s="3"/>
      <c r="D19" s="633"/>
      <c r="O19" s="4"/>
    </row>
    <row r="20" spans="2:15" ht="15" customHeight="1" x14ac:dyDescent="0.2">
      <c r="B20" s="3"/>
      <c r="D20" s="633"/>
      <c r="O20" s="4"/>
    </row>
    <row r="21" spans="2:15" ht="15" customHeight="1" x14ac:dyDescent="0.2">
      <c r="B21" s="3"/>
      <c r="D21" s="633"/>
      <c r="O21" s="4"/>
    </row>
    <row r="22" spans="2:15" ht="15" customHeight="1" x14ac:dyDescent="0.2">
      <c r="B22" s="3"/>
      <c r="D22" s="633"/>
      <c r="O22" s="4"/>
    </row>
    <row r="23" spans="2:15" ht="15" customHeight="1" x14ac:dyDescent="0.2">
      <c r="B23" s="3"/>
      <c r="D23" s="633"/>
      <c r="O23" s="4"/>
    </row>
    <row r="24" spans="2:15" ht="15" customHeight="1" x14ac:dyDescent="0.2">
      <c r="B24" s="3"/>
      <c r="D24" s="633"/>
      <c r="O24" s="4"/>
    </row>
    <row r="25" spans="2:15" ht="15" customHeight="1" x14ac:dyDescent="0.2">
      <c r="B25" s="5"/>
      <c r="C25" s="6"/>
      <c r="D25" s="6"/>
      <c r="E25" s="6"/>
      <c r="F25" s="6"/>
      <c r="G25" s="6"/>
      <c r="H25" s="6"/>
      <c r="I25" s="6"/>
      <c r="J25" s="6"/>
      <c r="K25" s="6"/>
      <c r="L25" s="6"/>
      <c r="M25" s="6"/>
      <c r="N25" s="6"/>
      <c r="O25" s="7"/>
    </row>
    <row r="26" spans="2:15" ht="15" customHeight="1" x14ac:dyDescent="0.2"/>
    <row r="27" spans="2:15" ht="15" customHeight="1" x14ac:dyDescent="0.2"/>
    <row r="28" spans="2:15" ht="15" customHeight="1" x14ac:dyDescent="0.2"/>
    <row r="29" spans="2:15" ht="15" customHeight="1" x14ac:dyDescent="0.2"/>
    <row r="30" spans="2:15" ht="15" customHeight="1" x14ac:dyDescent="0.2"/>
    <row r="31" spans="2:15" ht="15" customHeight="1" x14ac:dyDescent="0.2"/>
    <row r="32" spans="2: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password="C925" sheet="1" objects="1" scenarios="1" formatRows="0"/>
  <mergeCells count="4">
    <mergeCell ref="L16:M16"/>
    <mergeCell ref="E16:K16"/>
    <mergeCell ref="D15:M15"/>
    <mergeCell ref="E10:J10"/>
  </mergeCells>
  <pageMargins left="0.25" right="0.25" top="0.25" bottom="0.25" header="0.3" footer="0.3"/>
  <pageSetup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K179"/>
  <sheetViews>
    <sheetView showGridLines="0" showRowColHeaders="0" zoomScale="120" zoomScaleNormal="120" workbookViewId="0">
      <pane ySplit="4" topLeftCell="A84" activePane="bottomLeft" state="frozen"/>
      <selection pane="bottomLeft" activeCell="I91" sqref="I91"/>
    </sheetView>
  </sheetViews>
  <sheetFormatPr defaultColWidth="9.140625" defaultRowHeight="12.75" x14ac:dyDescent="0.2"/>
  <cols>
    <col min="1" max="1" width="1" style="2" customWidth="1"/>
    <col min="2" max="2" width="3.85546875" style="2" customWidth="1"/>
    <col min="3" max="3" width="36.42578125" style="2" customWidth="1"/>
    <col min="4" max="9" width="12.85546875" style="2" customWidth="1"/>
    <col min="10" max="10" width="13.85546875" style="2" customWidth="1"/>
    <col min="11" max="11" width="2.85546875" style="2" customWidth="1"/>
    <col min="12" max="12" width="1" style="2" customWidth="1"/>
    <col min="13" max="13" width="16" style="2" customWidth="1"/>
    <col min="14" max="16384" width="9.140625" style="2"/>
  </cols>
  <sheetData>
    <row r="1" spans="2:11" ht="28.5" customHeight="1" x14ac:dyDescent="0.2"/>
    <row r="2" spans="2:11" ht="64.5" customHeight="1" x14ac:dyDescent="0.2">
      <c r="B2" s="508"/>
      <c r="C2" s="509"/>
      <c r="D2" s="509"/>
      <c r="E2" s="509"/>
      <c r="F2" s="509"/>
      <c r="G2" s="509"/>
      <c r="H2" s="509"/>
      <c r="I2" s="509"/>
      <c r="J2" s="509"/>
      <c r="K2" s="510"/>
    </row>
    <row r="3" spans="2:11" ht="7.5" customHeight="1" x14ac:dyDescent="0.2">
      <c r="B3" s="511"/>
      <c r="C3" s="347"/>
      <c r="D3" s="347"/>
      <c r="E3" s="347"/>
      <c r="F3" s="347"/>
      <c r="G3" s="347"/>
      <c r="H3" s="347"/>
      <c r="I3" s="347"/>
      <c r="J3" s="347"/>
      <c r="K3" s="512"/>
    </row>
    <row r="4" spans="2:11" ht="39" x14ac:dyDescent="0.25">
      <c r="B4" s="3"/>
      <c r="C4" s="9" t="s">
        <v>93</v>
      </c>
      <c r="D4" s="274" t="str">
        <f>Cost!B4</f>
        <v>Planning / Design</v>
      </c>
      <c r="E4" s="274" t="str">
        <f>Cost!C4</f>
        <v>Marketing &amp; Delivery</v>
      </c>
      <c r="F4" s="274" t="str">
        <f>Cost!B14</f>
        <v>Incentives / Direct Install Costs</v>
      </c>
      <c r="G4" s="274" t="str">
        <f>Cost!C19</f>
        <v>EM&amp;V</v>
      </c>
      <c r="H4" s="274" t="str">
        <f>Cost!B25</f>
        <v>Administration</v>
      </c>
      <c r="I4" s="275" t="s">
        <v>182</v>
      </c>
      <c r="J4" s="275"/>
      <c r="K4" s="4"/>
    </row>
    <row r="5" spans="2:11" ht="15" customHeight="1" x14ac:dyDescent="0.2">
      <c r="B5" s="278">
        <v>1</v>
      </c>
      <c r="C5" s="10" t="str">
        <f>'Program Descriptions'!C5</f>
        <v>Load Mgt (LMP)</v>
      </c>
      <c r="D5" s="279">
        <f>SUM(D6:D8)</f>
        <v>0</v>
      </c>
      <c r="E5" s="279">
        <f>SUM(E6:E8)</f>
        <v>321838.43</v>
      </c>
      <c r="F5" s="279">
        <f>SUM(F6:F8)</f>
        <v>419500.86</v>
      </c>
      <c r="G5" s="279">
        <f>SUM(G6:G8)</f>
        <v>23737.68</v>
      </c>
      <c r="H5" s="279">
        <f>SUM(H6:H8)</f>
        <v>21294.36</v>
      </c>
      <c r="I5" s="11">
        <f t="shared" ref="I5:I36" si="0">SUM(D5:H5)</f>
        <v>786371.33000000007</v>
      </c>
      <c r="J5" s="11"/>
      <c r="K5" s="4"/>
    </row>
    <row r="6" spans="2:11" ht="15" customHeight="1" x14ac:dyDescent="0.2">
      <c r="B6" s="3"/>
      <c r="C6" s="62" t="s">
        <v>416</v>
      </c>
      <c r="D6" s="516">
        <v>0</v>
      </c>
      <c r="E6" s="516">
        <v>19417.169999999998</v>
      </c>
      <c r="F6" s="516">
        <v>419500.86</v>
      </c>
      <c r="G6" s="516">
        <v>0</v>
      </c>
      <c r="H6" s="516">
        <v>16342.53</v>
      </c>
      <c r="I6" s="61">
        <f t="shared" si="0"/>
        <v>455260.56</v>
      </c>
      <c r="J6" s="61"/>
      <c r="K6" s="4"/>
    </row>
    <row r="7" spans="2:11" ht="15" customHeight="1" x14ac:dyDescent="0.2">
      <c r="B7" s="3"/>
      <c r="C7" s="62" t="s">
        <v>417</v>
      </c>
      <c r="D7" s="516"/>
      <c r="E7" s="516"/>
      <c r="F7" s="516"/>
      <c r="G7" s="516"/>
      <c r="H7" s="516"/>
      <c r="I7" s="61">
        <f t="shared" si="0"/>
        <v>0</v>
      </c>
      <c r="J7" s="61"/>
      <c r="K7" s="4"/>
    </row>
    <row r="8" spans="2:11" ht="15" customHeight="1" x14ac:dyDescent="0.2">
      <c r="B8" s="3"/>
      <c r="C8" s="62" t="s">
        <v>418</v>
      </c>
      <c r="D8" s="516">
        <v>0</v>
      </c>
      <c r="E8" s="516">
        <v>302421.26</v>
      </c>
      <c r="F8" s="516">
        <v>0</v>
      </c>
      <c r="G8" s="516">
        <v>23737.68</v>
      </c>
      <c r="H8" s="516">
        <v>4951.83</v>
      </c>
      <c r="I8" s="61">
        <f t="shared" si="0"/>
        <v>331110.77</v>
      </c>
      <c r="J8" s="61"/>
      <c r="K8" s="4"/>
    </row>
    <row r="9" spans="2:11" ht="15" customHeight="1" x14ac:dyDescent="0.2">
      <c r="B9" s="278">
        <f>B5+1</f>
        <v>2</v>
      </c>
      <c r="C9" s="10" t="str">
        <f>'Program Descriptions'!C6</f>
        <v>Comm &amp; Industrial (CIEEP)</v>
      </c>
      <c r="D9" s="279">
        <f>SUM(D10:D12)</f>
        <v>565.71</v>
      </c>
      <c r="E9" s="279">
        <f>SUM(E10:E12)</f>
        <v>1329278.3600000001</v>
      </c>
      <c r="F9" s="279">
        <f>SUM(F10:F12)</f>
        <v>1383839.39</v>
      </c>
      <c r="G9" s="279">
        <f>SUM(G10:G12)</f>
        <v>91440</v>
      </c>
      <c r="H9" s="279">
        <f>SUM(H10:H12)</f>
        <v>123631.51999999999</v>
      </c>
      <c r="I9" s="11">
        <f t="shared" si="0"/>
        <v>2928754.98</v>
      </c>
      <c r="J9" s="11"/>
      <c r="K9" s="4"/>
    </row>
    <row r="10" spans="2:11" ht="15" customHeight="1" x14ac:dyDescent="0.2">
      <c r="B10" s="3"/>
      <c r="C10" s="62" t="s">
        <v>416</v>
      </c>
      <c r="D10" s="516">
        <v>124.77</v>
      </c>
      <c r="E10" s="516">
        <v>97339.5</v>
      </c>
      <c r="F10" s="516">
        <v>1383839.39</v>
      </c>
      <c r="G10" s="516">
        <v>0</v>
      </c>
      <c r="H10" s="516">
        <v>50921.27</v>
      </c>
      <c r="I10" s="61">
        <f t="shared" si="0"/>
        <v>1532224.93</v>
      </c>
      <c r="J10" s="61"/>
      <c r="K10" s="4"/>
    </row>
    <row r="11" spans="2:11" ht="15" customHeight="1" x14ac:dyDescent="0.2">
      <c r="B11" s="3"/>
      <c r="C11" s="62" t="s">
        <v>417</v>
      </c>
      <c r="D11" s="516"/>
      <c r="E11" s="516"/>
      <c r="F11" s="516"/>
      <c r="G11" s="516"/>
      <c r="H11" s="516"/>
      <c r="I11" s="61">
        <f t="shared" si="0"/>
        <v>0</v>
      </c>
      <c r="J11" s="61"/>
      <c r="K11" s="4"/>
    </row>
    <row r="12" spans="2:11" ht="15" customHeight="1" x14ac:dyDescent="0.2">
      <c r="B12" s="3"/>
      <c r="C12" s="62" t="s">
        <v>418</v>
      </c>
      <c r="D12" s="516">
        <v>440.94</v>
      </c>
      <c r="E12" s="516">
        <v>1231938.8600000001</v>
      </c>
      <c r="F12" s="516">
        <v>0</v>
      </c>
      <c r="G12" s="516">
        <v>91440</v>
      </c>
      <c r="H12" s="516">
        <v>72710.25</v>
      </c>
      <c r="I12" s="61">
        <f t="shared" si="0"/>
        <v>1396530.05</v>
      </c>
      <c r="J12" s="61"/>
      <c r="K12" s="4"/>
    </row>
    <row r="13" spans="2:11" ht="15" customHeight="1" x14ac:dyDescent="0.2">
      <c r="B13" s="278">
        <f>B9+1</f>
        <v>3</v>
      </c>
      <c r="C13" s="10" t="str">
        <f>'Program Descriptions'!C7</f>
        <v>Small Business (SBP)</v>
      </c>
      <c r="D13" s="279">
        <f>SUM(D14:D16)</f>
        <v>13638.63</v>
      </c>
      <c r="E13" s="279">
        <f>SUM(E14:E16)</f>
        <v>520599.67000000004</v>
      </c>
      <c r="F13" s="279">
        <f>SUM(F14:F16)</f>
        <v>867461.66</v>
      </c>
      <c r="G13" s="279">
        <f>SUM(G14:G16)</f>
        <v>91521.26</v>
      </c>
      <c r="H13" s="279">
        <f>SUM(H14:H16)</f>
        <v>52407.740000000005</v>
      </c>
      <c r="I13" s="11">
        <f t="shared" si="0"/>
        <v>1545628.96</v>
      </c>
      <c r="J13" s="11"/>
      <c r="K13" s="4"/>
    </row>
    <row r="14" spans="2:11" ht="15" customHeight="1" x14ac:dyDescent="0.2">
      <c r="B14" s="3"/>
      <c r="C14" s="62" t="s">
        <v>416</v>
      </c>
      <c r="D14" s="516">
        <v>0</v>
      </c>
      <c r="E14" s="516">
        <v>10443.14</v>
      </c>
      <c r="F14" s="516">
        <v>867461.66</v>
      </c>
      <c r="G14" s="516">
        <v>0</v>
      </c>
      <c r="H14" s="516">
        <v>26264.13</v>
      </c>
      <c r="I14" s="61">
        <f t="shared" si="0"/>
        <v>904168.93</v>
      </c>
      <c r="J14" s="61"/>
      <c r="K14" s="4"/>
    </row>
    <row r="15" spans="2:11" ht="15" customHeight="1" x14ac:dyDescent="0.2">
      <c r="B15" s="3"/>
      <c r="C15" s="62" t="s">
        <v>417</v>
      </c>
      <c r="D15" s="516"/>
      <c r="E15" s="516"/>
      <c r="F15" s="516"/>
      <c r="G15" s="516"/>
      <c r="H15" s="516"/>
      <c r="I15" s="61">
        <f t="shared" si="0"/>
        <v>0</v>
      </c>
      <c r="J15" s="61"/>
      <c r="K15" s="4"/>
    </row>
    <row r="16" spans="2:11" ht="15" customHeight="1" x14ac:dyDescent="0.2">
      <c r="B16" s="3"/>
      <c r="C16" s="62" t="s">
        <v>418</v>
      </c>
      <c r="D16" s="516">
        <v>13638.63</v>
      </c>
      <c r="E16" s="516">
        <v>510156.53</v>
      </c>
      <c r="F16" s="516">
        <v>0</v>
      </c>
      <c r="G16" s="516">
        <v>91521.26</v>
      </c>
      <c r="H16" s="516">
        <v>26143.61</v>
      </c>
      <c r="I16" s="61">
        <f t="shared" si="0"/>
        <v>641460.03</v>
      </c>
      <c r="J16" s="61"/>
      <c r="K16" s="4"/>
    </row>
    <row r="17" spans="2:11" ht="15" customHeight="1" x14ac:dyDescent="0.2">
      <c r="B17" s="278">
        <f>B13+1</f>
        <v>4</v>
      </c>
      <c r="C17" s="10" t="str">
        <f>'Program Descriptions'!C8</f>
        <v>Efficient Products (EPP)</v>
      </c>
      <c r="D17" s="279">
        <f>SUM(D18:D20)</f>
        <v>0</v>
      </c>
      <c r="E17" s="279">
        <f>SUM(E18:E20)</f>
        <v>298273.44</v>
      </c>
      <c r="F17" s="279">
        <f>SUM(F18:F20)</f>
        <v>334888.96000000002</v>
      </c>
      <c r="G17" s="279">
        <f>SUM(G18:G20)</f>
        <v>11208.07</v>
      </c>
      <c r="H17" s="279">
        <f>SUM(H18:H20)</f>
        <v>31282.97</v>
      </c>
      <c r="I17" s="11">
        <f t="shared" si="0"/>
        <v>675653.44</v>
      </c>
      <c r="J17" s="11"/>
      <c r="K17" s="4"/>
    </row>
    <row r="18" spans="2:11" ht="15" customHeight="1" x14ac:dyDescent="0.2">
      <c r="B18" s="3"/>
      <c r="C18" s="62" t="s">
        <v>416</v>
      </c>
      <c r="D18" s="516">
        <v>0</v>
      </c>
      <c r="E18" s="516">
        <v>10372.799999999999</v>
      </c>
      <c r="F18" s="516">
        <v>334888.96000000002</v>
      </c>
      <c r="G18" s="516">
        <v>0</v>
      </c>
      <c r="H18" s="516">
        <v>13487.08</v>
      </c>
      <c r="I18" s="61">
        <f t="shared" si="0"/>
        <v>358748.84</v>
      </c>
      <c r="J18" s="61"/>
      <c r="K18" s="4"/>
    </row>
    <row r="19" spans="2:11" ht="15" customHeight="1" x14ac:dyDescent="0.2">
      <c r="B19" s="3"/>
      <c r="C19" s="62" t="s">
        <v>417</v>
      </c>
      <c r="D19" s="516"/>
      <c r="E19" s="516"/>
      <c r="F19" s="516"/>
      <c r="G19" s="516"/>
      <c r="H19" s="516"/>
      <c r="I19" s="61">
        <f t="shared" si="0"/>
        <v>0</v>
      </c>
      <c r="J19" s="61"/>
      <c r="K19" s="4"/>
    </row>
    <row r="20" spans="2:11" ht="15" customHeight="1" x14ac:dyDescent="0.2">
      <c r="B20" s="3"/>
      <c r="C20" s="62" t="s">
        <v>418</v>
      </c>
      <c r="D20" s="516">
        <v>0</v>
      </c>
      <c r="E20" s="516">
        <v>287900.64</v>
      </c>
      <c r="F20" s="516">
        <v>0</v>
      </c>
      <c r="G20" s="516">
        <v>11208.07</v>
      </c>
      <c r="H20" s="516">
        <v>17795.89</v>
      </c>
      <c r="I20" s="61">
        <f t="shared" si="0"/>
        <v>316904.60000000003</v>
      </c>
      <c r="J20" s="61"/>
      <c r="K20" s="4"/>
    </row>
    <row r="21" spans="2:11" ht="15" customHeight="1" x14ac:dyDescent="0.2">
      <c r="B21" s="278">
        <f>B17+1</f>
        <v>5</v>
      </c>
      <c r="C21" s="10" t="str">
        <f>'Program Descriptions'!C9</f>
        <v>Res Energy Imprv (REIP)</v>
      </c>
      <c r="D21" s="279">
        <f>SUM(D22:D24)</f>
        <v>681.46</v>
      </c>
      <c r="E21" s="279">
        <f>SUM(E22:E24)</f>
        <v>848327.21</v>
      </c>
      <c r="F21" s="279">
        <f>SUM(F22:F24)</f>
        <v>1807586.05</v>
      </c>
      <c r="G21" s="279">
        <f>SUM(G22:G24)</f>
        <v>105915.51</v>
      </c>
      <c r="H21" s="279">
        <f>SUM(H22:H24)</f>
        <v>79315.850000000006</v>
      </c>
      <c r="I21" s="11">
        <f t="shared" si="0"/>
        <v>2841826.0799999996</v>
      </c>
      <c r="J21" s="11"/>
      <c r="K21" s="4"/>
    </row>
    <row r="22" spans="2:11" ht="15" customHeight="1" x14ac:dyDescent="0.2">
      <c r="B22" s="3"/>
      <c r="C22" s="62" t="s">
        <v>416</v>
      </c>
      <c r="D22" s="516">
        <v>0</v>
      </c>
      <c r="E22" s="516">
        <v>80904.600000000006</v>
      </c>
      <c r="F22" s="516">
        <v>1807586.05</v>
      </c>
      <c r="G22" s="516">
        <v>0</v>
      </c>
      <c r="H22" s="516">
        <v>47953.31</v>
      </c>
      <c r="I22" s="61">
        <f t="shared" si="0"/>
        <v>1936443.9600000002</v>
      </c>
      <c r="J22" s="61"/>
      <c r="K22" s="4"/>
    </row>
    <row r="23" spans="2:11" ht="15" customHeight="1" x14ac:dyDescent="0.2">
      <c r="B23" s="3"/>
      <c r="C23" s="62" t="s">
        <v>417</v>
      </c>
      <c r="D23" s="516"/>
      <c r="E23" s="516"/>
      <c r="F23" s="516"/>
      <c r="G23" s="516"/>
      <c r="H23" s="516"/>
      <c r="I23" s="61">
        <f t="shared" si="0"/>
        <v>0</v>
      </c>
      <c r="J23" s="61"/>
      <c r="K23" s="4"/>
    </row>
    <row r="24" spans="2:11" ht="15" customHeight="1" x14ac:dyDescent="0.2">
      <c r="B24" s="3"/>
      <c r="C24" s="62" t="s">
        <v>418</v>
      </c>
      <c r="D24" s="516">
        <v>681.46</v>
      </c>
      <c r="E24" s="516">
        <v>767422.61</v>
      </c>
      <c r="F24" s="516">
        <v>0</v>
      </c>
      <c r="G24" s="516">
        <v>105915.51</v>
      </c>
      <c r="H24" s="516">
        <v>31362.54</v>
      </c>
      <c r="I24" s="61">
        <f t="shared" si="0"/>
        <v>905382.12</v>
      </c>
      <c r="J24" s="61"/>
      <c r="K24" s="4"/>
    </row>
    <row r="25" spans="2:11" ht="15" customHeight="1" x14ac:dyDescent="0.2">
      <c r="B25" s="278">
        <f>B21+1</f>
        <v>6</v>
      </c>
      <c r="C25" s="10" t="str">
        <f>'Program Descriptions'!C10</f>
        <v>Home Weatherization (HWP)</v>
      </c>
      <c r="D25" s="279">
        <f>SUM(D26:D28)</f>
        <v>2272.81</v>
      </c>
      <c r="E25" s="279">
        <f>SUM(E26:E28)</f>
        <v>607982.77</v>
      </c>
      <c r="F25" s="279">
        <f>SUM(F26:F28)</f>
        <v>1300623.31</v>
      </c>
      <c r="G25" s="279">
        <f>SUM(G26:G28)</f>
        <v>107410.09</v>
      </c>
      <c r="H25" s="279">
        <f>SUM(H26:H28)</f>
        <v>47855.03</v>
      </c>
      <c r="I25" s="11">
        <f t="shared" si="0"/>
        <v>2066144.0100000002</v>
      </c>
      <c r="J25" s="11"/>
      <c r="K25" s="4"/>
    </row>
    <row r="26" spans="2:11" ht="15" customHeight="1" x14ac:dyDescent="0.2">
      <c r="B26" s="3"/>
      <c r="C26" s="62" t="s">
        <v>416</v>
      </c>
      <c r="D26" s="516">
        <v>0</v>
      </c>
      <c r="E26" s="516">
        <v>35198.97</v>
      </c>
      <c r="F26" s="516">
        <v>1300623.31</v>
      </c>
      <c r="G26" s="516">
        <v>0</v>
      </c>
      <c r="H26" s="516">
        <v>37006.39</v>
      </c>
      <c r="I26" s="61">
        <f t="shared" si="0"/>
        <v>1372828.67</v>
      </c>
      <c r="J26" s="61"/>
      <c r="K26" s="4"/>
    </row>
    <row r="27" spans="2:11" ht="15" customHeight="1" x14ac:dyDescent="0.2">
      <c r="B27" s="3"/>
      <c r="C27" s="62" t="s">
        <v>417</v>
      </c>
      <c r="D27" s="516"/>
      <c r="E27" s="516"/>
      <c r="F27" s="516"/>
      <c r="G27" s="516"/>
      <c r="H27" s="516"/>
      <c r="I27" s="61">
        <f t="shared" si="0"/>
        <v>0</v>
      </c>
      <c r="J27" s="61"/>
      <c r="K27" s="4"/>
    </row>
    <row r="28" spans="2:11" ht="15" customHeight="1" x14ac:dyDescent="0.2">
      <c r="B28" s="3"/>
      <c r="C28" s="62" t="s">
        <v>418</v>
      </c>
      <c r="D28" s="516">
        <v>2272.81</v>
      </c>
      <c r="E28" s="516">
        <v>572783.80000000005</v>
      </c>
      <c r="F28" s="516">
        <v>0</v>
      </c>
      <c r="G28" s="516">
        <v>107410.09</v>
      </c>
      <c r="H28" s="516">
        <v>10848.64</v>
      </c>
      <c r="I28" s="61">
        <f t="shared" si="0"/>
        <v>693315.34000000008</v>
      </c>
      <c r="J28" s="61"/>
      <c r="K28" s="4"/>
    </row>
    <row r="29" spans="2:11" ht="15" customHeight="1" x14ac:dyDescent="0.2">
      <c r="B29" s="278">
        <f>B25+1</f>
        <v>7</v>
      </c>
      <c r="C29" s="10" t="str">
        <f>'Program Descriptions'!C11</f>
        <v>Discont'd EE AR (EEA)</v>
      </c>
      <c r="D29" s="279">
        <f>SUM(D30:D32)</f>
        <v>0</v>
      </c>
      <c r="E29" s="279">
        <f>SUM(E30:E32)</f>
        <v>0</v>
      </c>
      <c r="F29" s="279">
        <f>SUM(F30:F32)</f>
        <v>0</v>
      </c>
      <c r="G29" s="279">
        <f>SUM(G30:G32)</f>
        <v>0</v>
      </c>
      <c r="H29" s="279">
        <f>SUM(H30:H32)</f>
        <v>0</v>
      </c>
      <c r="I29" s="11">
        <f t="shared" si="0"/>
        <v>0</v>
      </c>
      <c r="J29" s="11"/>
      <c r="K29" s="4"/>
    </row>
    <row r="30" spans="2:11" ht="15" customHeight="1" x14ac:dyDescent="0.2">
      <c r="B30" s="3"/>
      <c r="C30" s="62" t="s">
        <v>416</v>
      </c>
      <c r="D30" s="516">
        <v>0</v>
      </c>
      <c r="E30" s="516">
        <v>0</v>
      </c>
      <c r="F30" s="516">
        <v>0</v>
      </c>
      <c r="G30" s="516">
        <v>0</v>
      </c>
      <c r="H30" s="516">
        <v>0</v>
      </c>
      <c r="I30" s="61">
        <f t="shared" si="0"/>
        <v>0</v>
      </c>
      <c r="J30" s="61"/>
      <c r="K30" s="4"/>
    </row>
    <row r="31" spans="2:11" ht="15" customHeight="1" x14ac:dyDescent="0.2">
      <c r="B31" s="3"/>
      <c r="C31" s="62" t="s">
        <v>417</v>
      </c>
      <c r="D31" s="516"/>
      <c r="E31" s="516"/>
      <c r="F31" s="516"/>
      <c r="G31" s="516"/>
      <c r="H31" s="516"/>
      <c r="I31" s="61">
        <f t="shared" si="0"/>
        <v>0</v>
      </c>
      <c r="J31" s="61"/>
      <c r="K31" s="4"/>
    </row>
    <row r="32" spans="2:11" ht="15" customHeight="1" x14ac:dyDescent="0.2">
      <c r="B32" s="3"/>
      <c r="C32" s="62" t="s">
        <v>418</v>
      </c>
      <c r="D32" s="516">
        <v>0</v>
      </c>
      <c r="E32" s="516">
        <v>0</v>
      </c>
      <c r="F32" s="516">
        <v>0</v>
      </c>
      <c r="G32" s="516">
        <v>0</v>
      </c>
      <c r="H32" s="516">
        <v>0</v>
      </c>
      <c r="I32" s="61">
        <f t="shared" si="0"/>
        <v>0</v>
      </c>
      <c r="J32" s="61"/>
      <c r="K32" s="4"/>
    </row>
    <row r="33" spans="2:11" ht="15" customHeight="1" x14ac:dyDescent="0.2">
      <c r="B33" s="278">
        <f>B29+1</f>
        <v>8</v>
      </c>
      <c r="C33" s="10" t="str">
        <f>'Program Descriptions'!C12</f>
        <v>Discont'd Onlne Audt(OLA)</v>
      </c>
      <c r="D33" s="279">
        <f>SUM(D34:D36)</f>
        <v>0</v>
      </c>
      <c r="E33" s="279">
        <f>SUM(E34:E36)</f>
        <v>0</v>
      </c>
      <c r="F33" s="279">
        <f>SUM(F34:F36)</f>
        <v>0</v>
      </c>
      <c r="G33" s="279">
        <f>SUM(G34:G36)</f>
        <v>0</v>
      </c>
      <c r="H33" s="279">
        <f>SUM(H34:H36)</f>
        <v>0</v>
      </c>
      <c r="I33" s="11">
        <f t="shared" si="0"/>
        <v>0</v>
      </c>
      <c r="J33" s="11"/>
      <c r="K33" s="4"/>
    </row>
    <row r="34" spans="2:11" ht="15" customHeight="1" x14ac:dyDescent="0.2">
      <c r="B34" s="3"/>
      <c r="C34" s="62" t="s">
        <v>416</v>
      </c>
      <c r="D34" s="516">
        <v>0</v>
      </c>
      <c r="E34" s="516">
        <v>0</v>
      </c>
      <c r="F34" s="516">
        <v>0</v>
      </c>
      <c r="G34" s="516">
        <v>0</v>
      </c>
      <c r="H34" s="516">
        <v>0</v>
      </c>
      <c r="I34" s="61">
        <f t="shared" si="0"/>
        <v>0</v>
      </c>
      <c r="J34" s="61"/>
      <c r="K34" s="4"/>
    </row>
    <row r="35" spans="2:11" ht="15" customHeight="1" x14ac:dyDescent="0.2">
      <c r="B35" s="3"/>
      <c r="C35" s="62" t="s">
        <v>417</v>
      </c>
      <c r="D35" s="516"/>
      <c r="E35" s="516"/>
      <c r="F35" s="516"/>
      <c r="G35" s="516"/>
      <c r="H35" s="516"/>
      <c r="I35" s="61">
        <f t="shared" si="0"/>
        <v>0</v>
      </c>
      <c r="J35" s="61"/>
      <c r="K35" s="4"/>
    </row>
    <row r="36" spans="2:11" ht="15" customHeight="1" x14ac:dyDescent="0.2">
      <c r="B36" s="3"/>
      <c r="C36" s="62" t="s">
        <v>418</v>
      </c>
      <c r="D36" s="516">
        <v>0</v>
      </c>
      <c r="E36" s="516">
        <v>0</v>
      </c>
      <c r="F36" s="516">
        <v>0</v>
      </c>
      <c r="G36" s="516">
        <v>0</v>
      </c>
      <c r="H36" s="516">
        <v>0</v>
      </c>
      <c r="I36" s="61">
        <f t="shared" si="0"/>
        <v>0</v>
      </c>
      <c r="J36" s="61"/>
      <c r="K36" s="4"/>
    </row>
    <row r="37" spans="2:11" ht="15" customHeight="1" x14ac:dyDescent="0.2">
      <c r="B37" s="278">
        <f>B33+1</f>
        <v>9</v>
      </c>
      <c r="C37" s="10" t="str">
        <f>'Program Descriptions'!C13</f>
        <v>Income Qualified (IQW)</v>
      </c>
      <c r="D37" s="279">
        <f>SUM(D38:D40)</f>
        <v>0</v>
      </c>
      <c r="E37" s="279">
        <f>SUM(E38:E40)</f>
        <v>265942.03000000003</v>
      </c>
      <c r="F37" s="279">
        <f>SUM(F38:F40)</f>
        <v>801439.52</v>
      </c>
      <c r="G37" s="279">
        <f>SUM(G38:G40)</f>
        <v>14290.84</v>
      </c>
      <c r="H37" s="279">
        <f>SUM(H38:H40)</f>
        <v>29916.39</v>
      </c>
      <c r="I37" s="11">
        <f t="shared" ref="I37:I68" si="1">SUM(D37:H37)</f>
        <v>1111588.78</v>
      </c>
      <c r="J37" s="11"/>
      <c r="K37" s="4"/>
    </row>
    <row r="38" spans="2:11" ht="15" customHeight="1" x14ac:dyDescent="0.2">
      <c r="B38" s="3"/>
      <c r="C38" s="62" t="s">
        <v>416</v>
      </c>
      <c r="D38" s="516">
        <v>0</v>
      </c>
      <c r="E38" s="516">
        <v>29506.02</v>
      </c>
      <c r="F38" s="516">
        <v>801439.52</v>
      </c>
      <c r="G38" s="516">
        <v>0</v>
      </c>
      <c r="H38" s="516">
        <v>20426.29</v>
      </c>
      <c r="I38" s="61">
        <f t="shared" si="1"/>
        <v>851371.83000000007</v>
      </c>
      <c r="J38" s="61"/>
      <c r="K38" s="4"/>
    </row>
    <row r="39" spans="2:11" ht="15" customHeight="1" x14ac:dyDescent="0.2">
      <c r="B39" s="3"/>
      <c r="C39" s="62" t="s">
        <v>417</v>
      </c>
      <c r="D39" s="516"/>
      <c r="E39" s="516"/>
      <c r="F39" s="516"/>
      <c r="G39" s="516"/>
      <c r="H39" s="516"/>
      <c r="I39" s="61">
        <f t="shared" si="1"/>
        <v>0</v>
      </c>
      <c r="J39" s="61"/>
      <c r="K39" s="4"/>
    </row>
    <row r="40" spans="2:11" ht="15" customHeight="1" x14ac:dyDescent="0.2">
      <c r="B40" s="3"/>
      <c r="C40" s="62" t="s">
        <v>418</v>
      </c>
      <c r="D40" s="516">
        <v>0</v>
      </c>
      <c r="E40" s="516">
        <v>236436.01</v>
      </c>
      <c r="F40" s="516">
        <v>0</v>
      </c>
      <c r="G40" s="516">
        <v>14290.84</v>
      </c>
      <c r="H40" s="516">
        <v>9490.1</v>
      </c>
      <c r="I40" s="61">
        <f t="shared" si="1"/>
        <v>260216.95</v>
      </c>
      <c r="J40" s="61"/>
      <c r="K40" s="4"/>
    </row>
    <row r="41" spans="2:11" ht="15" customHeight="1" x14ac:dyDescent="0.2">
      <c r="B41" s="278">
        <f>B37+1</f>
        <v>10</v>
      </c>
      <c r="C41" s="10" t="str">
        <f>'Program Descriptions'!C14</f>
        <v>Discont'd Ele Veh (EVE)</v>
      </c>
      <c r="D41" s="279">
        <f>SUM(D42:D44)</f>
        <v>0</v>
      </c>
      <c r="E41" s="279">
        <f>SUM(E42:E44)</f>
        <v>15</v>
      </c>
      <c r="F41" s="279">
        <f>SUM(F42:F44)</f>
        <v>0</v>
      </c>
      <c r="G41" s="279">
        <f>SUM(G42:G44)</f>
        <v>0.2</v>
      </c>
      <c r="H41" s="279">
        <f>SUM(H42:H44)</f>
        <v>0.2</v>
      </c>
      <c r="I41" s="11">
        <f t="shared" si="1"/>
        <v>15.399999999999999</v>
      </c>
      <c r="J41" s="11"/>
      <c r="K41" s="4"/>
    </row>
    <row r="42" spans="2:11" ht="15" customHeight="1" x14ac:dyDescent="0.2">
      <c r="B42" s="3"/>
      <c r="C42" s="62" t="s">
        <v>416</v>
      </c>
      <c r="D42" s="516">
        <v>0</v>
      </c>
      <c r="E42" s="516">
        <v>15</v>
      </c>
      <c r="F42" s="516">
        <v>0</v>
      </c>
      <c r="G42" s="516">
        <v>0</v>
      </c>
      <c r="H42" s="516">
        <v>0.2</v>
      </c>
      <c r="I42" s="61">
        <f t="shared" si="1"/>
        <v>15.2</v>
      </c>
      <c r="J42" s="61"/>
      <c r="K42" s="4"/>
    </row>
    <row r="43" spans="2:11" ht="15" customHeight="1" x14ac:dyDescent="0.2">
      <c r="B43" s="3"/>
      <c r="C43" s="62" t="s">
        <v>417</v>
      </c>
      <c r="D43" s="516"/>
      <c r="E43" s="516"/>
      <c r="F43" s="516"/>
      <c r="G43" s="516"/>
      <c r="H43" s="516"/>
      <c r="I43" s="61">
        <f t="shared" si="1"/>
        <v>0</v>
      </c>
      <c r="J43" s="61"/>
      <c r="K43" s="4"/>
    </row>
    <row r="44" spans="2:11" ht="15" customHeight="1" x14ac:dyDescent="0.2">
      <c r="B44" s="3"/>
      <c r="C44" s="62" t="s">
        <v>418</v>
      </c>
      <c r="D44" s="516">
        <v>0</v>
      </c>
      <c r="E44" s="516">
        <v>0</v>
      </c>
      <c r="F44" s="516">
        <v>0</v>
      </c>
      <c r="G44" s="516">
        <v>0.2</v>
      </c>
      <c r="H44" s="516">
        <v>0</v>
      </c>
      <c r="I44" s="61">
        <f t="shared" si="1"/>
        <v>0.2</v>
      </c>
      <c r="J44" s="61"/>
      <c r="K44" s="4"/>
    </row>
    <row r="45" spans="2:11" ht="15" customHeight="1" x14ac:dyDescent="0.2">
      <c r="B45" s="278">
        <f>B41+1</f>
        <v>11</v>
      </c>
      <c r="C45" s="10" t="str">
        <f>'Program Descriptions'!C15</f>
        <v>Discont'd Comm Solutions</v>
      </c>
      <c r="D45" s="279">
        <f>SUM(D46:D48)</f>
        <v>0</v>
      </c>
      <c r="E45" s="279">
        <f>SUM(E46:E48)</f>
        <v>0</v>
      </c>
      <c r="F45" s="279">
        <f>SUM(F46:F48)</f>
        <v>0</v>
      </c>
      <c r="G45" s="279">
        <f>SUM(G46:G48)</f>
        <v>0</v>
      </c>
      <c r="H45" s="279">
        <f>SUM(H46:H48)</f>
        <v>0</v>
      </c>
      <c r="I45" s="11">
        <f t="shared" si="1"/>
        <v>0</v>
      </c>
      <c r="J45" s="11"/>
      <c r="K45" s="4"/>
    </row>
    <row r="46" spans="2:11" ht="15" customHeight="1" x14ac:dyDescent="0.2">
      <c r="B46" s="3"/>
      <c r="C46" s="62" t="s">
        <v>416</v>
      </c>
      <c r="D46" s="516">
        <v>0</v>
      </c>
      <c r="E46" s="516">
        <v>0</v>
      </c>
      <c r="F46" s="516">
        <v>0</v>
      </c>
      <c r="G46" s="516">
        <v>0</v>
      </c>
      <c r="H46" s="516">
        <v>0</v>
      </c>
      <c r="I46" s="61">
        <f t="shared" si="1"/>
        <v>0</v>
      </c>
      <c r="J46" s="61"/>
      <c r="K46" s="4"/>
    </row>
    <row r="47" spans="2:11" ht="15" customHeight="1" x14ac:dyDescent="0.2">
      <c r="B47" s="3"/>
      <c r="C47" s="62" t="s">
        <v>417</v>
      </c>
      <c r="D47" s="516"/>
      <c r="E47" s="516"/>
      <c r="F47" s="516"/>
      <c r="G47" s="516"/>
      <c r="H47" s="516"/>
      <c r="I47" s="61">
        <f t="shared" si="1"/>
        <v>0</v>
      </c>
      <c r="J47" s="61"/>
      <c r="K47" s="4"/>
    </row>
    <row r="48" spans="2:11" ht="15" customHeight="1" x14ac:dyDescent="0.2">
      <c r="B48" s="3"/>
      <c r="C48" s="62" t="s">
        <v>418</v>
      </c>
      <c r="D48" s="516">
        <v>0</v>
      </c>
      <c r="E48" s="516">
        <v>0</v>
      </c>
      <c r="F48" s="516">
        <v>0</v>
      </c>
      <c r="G48" s="516">
        <v>0</v>
      </c>
      <c r="H48" s="516">
        <v>0</v>
      </c>
      <c r="I48" s="61">
        <f t="shared" si="1"/>
        <v>0</v>
      </c>
      <c r="J48" s="61"/>
      <c r="K48" s="4"/>
    </row>
    <row r="49" spans="2:11" ht="15" customHeight="1" x14ac:dyDescent="0.2">
      <c r="B49" s="278">
        <f>B45+1</f>
        <v>12</v>
      </c>
      <c r="C49" s="10" t="str">
        <f>'Program Descriptions'!C16</f>
        <v>Discont'd Res Appliance</v>
      </c>
      <c r="D49" s="279">
        <f>SUM(D50:D52)</f>
        <v>0</v>
      </c>
      <c r="E49" s="279">
        <f>SUM(E50:E52)</f>
        <v>0</v>
      </c>
      <c r="F49" s="279">
        <f>SUM(F50:F52)</f>
        <v>0</v>
      </c>
      <c r="G49" s="279">
        <f>SUM(G50:G52)</f>
        <v>0</v>
      </c>
      <c r="H49" s="279">
        <f>SUM(H50:H52)</f>
        <v>0</v>
      </c>
      <c r="I49" s="11">
        <f t="shared" si="1"/>
        <v>0</v>
      </c>
      <c r="J49" s="11"/>
      <c r="K49" s="4"/>
    </row>
    <row r="50" spans="2:11" ht="15" customHeight="1" x14ac:dyDescent="0.2">
      <c r="B50" s="3"/>
      <c r="C50" s="62" t="s">
        <v>416</v>
      </c>
      <c r="D50" s="516">
        <v>0</v>
      </c>
      <c r="E50" s="516">
        <v>0</v>
      </c>
      <c r="F50" s="516">
        <v>0</v>
      </c>
      <c r="G50" s="516">
        <v>0</v>
      </c>
      <c r="H50" s="516">
        <v>0</v>
      </c>
      <c r="I50" s="61">
        <f t="shared" si="1"/>
        <v>0</v>
      </c>
      <c r="J50" s="61"/>
      <c r="K50" s="4"/>
    </row>
    <row r="51" spans="2:11" ht="15" customHeight="1" x14ac:dyDescent="0.2">
      <c r="B51" s="3"/>
      <c r="C51" s="62" t="s">
        <v>417</v>
      </c>
      <c r="D51" s="516"/>
      <c r="E51" s="516"/>
      <c r="F51" s="516"/>
      <c r="G51" s="516"/>
      <c r="H51" s="516"/>
      <c r="I51" s="61">
        <f t="shared" si="1"/>
        <v>0</v>
      </c>
      <c r="J51" s="61"/>
      <c r="K51" s="4"/>
    </row>
    <row r="52" spans="2:11" ht="15" customHeight="1" x14ac:dyDescent="0.2">
      <c r="B52" s="3"/>
      <c r="C52" s="62" t="s">
        <v>418</v>
      </c>
      <c r="D52" s="516">
        <v>0</v>
      </c>
      <c r="E52" s="516">
        <v>0</v>
      </c>
      <c r="F52" s="516">
        <v>0</v>
      </c>
      <c r="G52" s="516">
        <v>0</v>
      </c>
      <c r="H52" s="516">
        <v>0</v>
      </c>
      <c r="I52" s="61">
        <f t="shared" si="1"/>
        <v>0</v>
      </c>
      <c r="J52" s="61"/>
      <c r="K52" s="4"/>
    </row>
    <row r="53" spans="2:11" ht="15" customHeight="1" x14ac:dyDescent="0.2">
      <c r="B53" s="278">
        <f>B49+1</f>
        <v>13</v>
      </c>
      <c r="C53" s="10" t="str">
        <f>'Program Descriptions'!C17</f>
        <v>Discont'd Res Solutions</v>
      </c>
      <c r="D53" s="279">
        <f>SUM(D54:D56)</f>
        <v>0</v>
      </c>
      <c r="E53" s="279">
        <f>SUM(E54:E56)</f>
        <v>0</v>
      </c>
      <c r="F53" s="279">
        <f>SUM(F54:F56)</f>
        <v>0</v>
      </c>
      <c r="G53" s="279">
        <f>SUM(G54:G56)</f>
        <v>0</v>
      </c>
      <c r="H53" s="279">
        <f>SUM(H54:H56)</f>
        <v>0</v>
      </c>
      <c r="I53" s="11">
        <f t="shared" si="1"/>
        <v>0</v>
      </c>
      <c r="J53" s="11"/>
      <c r="K53" s="4"/>
    </row>
    <row r="54" spans="2:11" ht="15" customHeight="1" x14ac:dyDescent="0.2">
      <c r="B54" s="3"/>
      <c r="C54" s="62" t="s">
        <v>416</v>
      </c>
      <c r="D54" s="516">
        <v>0</v>
      </c>
      <c r="E54" s="516">
        <v>0</v>
      </c>
      <c r="F54" s="516">
        <v>0</v>
      </c>
      <c r="G54" s="516">
        <v>0</v>
      </c>
      <c r="H54" s="516">
        <v>0</v>
      </c>
      <c r="I54" s="61">
        <f t="shared" si="1"/>
        <v>0</v>
      </c>
      <c r="J54" s="61"/>
      <c r="K54" s="4"/>
    </row>
    <row r="55" spans="2:11" ht="15" customHeight="1" x14ac:dyDescent="0.2">
      <c r="B55" s="3"/>
      <c r="C55" s="62" t="s">
        <v>417</v>
      </c>
      <c r="D55" s="516"/>
      <c r="E55" s="516"/>
      <c r="F55" s="516"/>
      <c r="G55" s="516"/>
      <c r="H55" s="516"/>
      <c r="I55" s="61">
        <f t="shared" si="1"/>
        <v>0</v>
      </c>
      <c r="J55" s="61"/>
      <c r="K55" s="4"/>
    </row>
    <row r="56" spans="2:11" ht="15" customHeight="1" x14ac:dyDescent="0.2">
      <c r="B56" s="3"/>
      <c r="C56" s="62" t="s">
        <v>418</v>
      </c>
      <c r="D56" s="516">
        <v>0</v>
      </c>
      <c r="E56" s="516">
        <v>0</v>
      </c>
      <c r="F56" s="516">
        <v>0</v>
      </c>
      <c r="G56" s="516">
        <v>0</v>
      </c>
      <c r="H56" s="516">
        <v>0</v>
      </c>
      <c r="I56" s="61">
        <f t="shared" si="1"/>
        <v>0</v>
      </c>
      <c r="J56" s="61"/>
      <c r="K56" s="4"/>
    </row>
    <row r="57" spans="2:11" ht="15" customHeight="1" x14ac:dyDescent="0.2">
      <c r="B57" s="278">
        <f>B53+1</f>
        <v>14</v>
      </c>
      <c r="C57" s="10" t="str">
        <f>'Program Descriptions'!C18</f>
        <v>Discont'd R ES Appliance</v>
      </c>
      <c r="D57" s="279">
        <f>SUM(D58:D60)</f>
        <v>0</v>
      </c>
      <c r="E57" s="279">
        <f>SUM(E58:E60)</f>
        <v>0</v>
      </c>
      <c r="F57" s="279">
        <f>SUM(F58:F60)</f>
        <v>0</v>
      </c>
      <c r="G57" s="279">
        <f>SUM(G58:G60)</f>
        <v>0</v>
      </c>
      <c r="H57" s="279">
        <f>SUM(H58:H60)</f>
        <v>0</v>
      </c>
      <c r="I57" s="11">
        <f t="shared" si="1"/>
        <v>0</v>
      </c>
      <c r="J57" s="11"/>
      <c r="K57" s="4"/>
    </row>
    <row r="58" spans="2:11" ht="15" customHeight="1" x14ac:dyDescent="0.2">
      <c r="B58" s="3"/>
      <c r="C58" s="62" t="s">
        <v>416</v>
      </c>
      <c r="D58" s="516">
        <v>0</v>
      </c>
      <c r="E58" s="516">
        <v>0</v>
      </c>
      <c r="F58" s="516">
        <v>0</v>
      </c>
      <c r="G58" s="516">
        <v>0</v>
      </c>
      <c r="H58" s="516">
        <v>0</v>
      </c>
      <c r="I58" s="61">
        <f t="shared" si="1"/>
        <v>0</v>
      </c>
      <c r="J58" s="61"/>
      <c r="K58" s="4"/>
    </row>
    <row r="59" spans="2:11" ht="15" customHeight="1" x14ac:dyDescent="0.2">
      <c r="B59" s="3"/>
      <c r="C59" s="62" t="s">
        <v>417</v>
      </c>
      <c r="D59" s="516"/>
      <c r="E59" s="516"/>
      <c r="F59" s="516"/>
      <c r="G59" s="516"/>
      <c r="H59" s="516"/>
      <c r="I59" s="61">
        <f t="shared" si="1"/>
        <v>0</v>
      </c>
      <c r="J59" s="61"/>
      <c r="K59" s="4"/>
    </row>
    <row r="60" spans="2:11" ht="15" customHeight="1" x14ac:dyDescent="0.2">
      <c r="B60" s="3"/>
      <c r="C60" s="62" t="s">
        <v>418</v>
      </c>
      <c r="D60" s="516">
        <v>0</v>
      </c>
      <c r="E60" s="516">
        <v>0</v>
      </c>
      <c r="F60" s="516">
        <v>0</v>
      </c>
      <c r="G60" s="516">
        <v>0</v>
      </c>
      <c r="H60" s="516">
        <v>0</v>
      </c>
      <c r="I60" s="61">
        <f t="shared" si="1"/>
        <v>0</v>
      </c>
      <c r="J60" s="61"/>
      <c r="K60" s="4"/>
    </row>
    <row r="61" spans="2:11" ht="15" customHeight="1" x14ac:dyDescent="0.2">
      <c r="B61" s="278">
        <f>B57+1</f>
        <v>15</v>
      </c>
      <c r="C61" s="10" t="str">
        <f>'Program Descriptions'!C19</f>
        <v>Discont'd ARWX (AWIP)</v>
      </c>
      <c r="D61" s="279">
        <f>SUM(D62:D64)</f>
        <v>0</v>
      </c>
      <c r="E61" s="279">
        <f>SUM(E62:E64)</f>
        <v>0</v>
      </c>
      <c r="F61" s="279">
        <f>SUM(F62:F64)</f>
        <v>0</v>
      </c>
      <c r="G61" s="279">
        <f>SUM(G62:G64)</f>
        <v>0</v>
      </c>
      <c r="H61" s="279">
        <f>SUM(H62:H64)</f>
        <v>0</v>
      </c>
      <c r="I61" s="11">
        <f t="shared" si="1"/>
        <v>0</v>
      </c>
      <c r="J61" s="11"/>
      <c r="K61" s="4"/>
    </row>
    <row r="62" spans="2:11" ht="15" customHeight="1" x14ac:dyDescent="0.2">
      <c r="B62" s="3"/>
      <c r="C62" s="62" t="s">
        <v>416</v>
      </c>
      <c r="D62" s="516">
        <v>0</v>
      </c>
      <c r="E62" s="516">
        <v>0</v>
      </c>
      <c r="F62" s="516">
        <v>0</v>
      </c>
      <c r="G62" s="516">
        <v>0</v>
      </c>
      <c r="H62" s="516">
        <v>0</v>
      </c>
      <c r="I62" s="61">
        <f t="shared" si="1"/>
        <v>0</v>
      </c>
      <c r="J62" s="61"/>
      <c r="K62" s="4"/>
    </row>
    <row r="63" spans="2:11" ht="15" customHeight="1" x14ac:dyDescent="0.2">
      <c r="B63" s="3"/>
      <c r="C63" s="62" t="s">
        <v>417</v>
      </c>
      <c r="D63" s="516"/>
      <c r="E63" s="516"/>
      <c r="F63" s="516"/>
      <c r="G63" s="516"/>
      <c r="H63" s="516"/>
      <c r="I63" s="61">
        <f t="shared" si="1"/>
        <v>0</v>
      </c>
      <c r="J63" s="61"/>
      <c r="K63" s="4"/>
    </row>
    <row r="64" spans="2:11" ht="15" customHeight="1" x14ac:dyDescent="0.2">
      <c r="B64" s="3"/>
      <c r="C64" s="62" t="s">
        <v>418</v>
      </c>
      <c r="D64" s="516">
        <v>0</v>
      </c>
      <c r="E64" s="516">
        <v>0</v>
      </c>
      <c r="F64" s="516">
        <v>0</v>
      </c>
      <c r="G64" s="516">
        <v>0</v>
      </c>
      <c r="H64" s="516">
        <v>0</v>
      </c>
      <c r="I64" s="61">
        <f t="shared" si="1"/>
        <v>0</v>
      </c>
      <c r="J64" s="61"/>
      <c r="K64" s="4"/>
    </row>
    <row r="65" spans="2:11" ht="15" customHeight="1" x14ac:dyDescent="0.2">
      <c r="B65" s="278">
        <f>B61+1</f>
        <v>16</v>
      </c>
      <c r="C65" s="10" t="str">
        <f>'Program Descriptions'!C20</f>
        <v>New Construction (NCP)</v>
      </c>
      <c r="D65" s="279">
        <f>SUM(D66:D68)</f>
        <v>347.94</v>
      </c>
      <c r="E65" s="279">
        <f>SUM(E66:E68)</f>
        <v>157785.51</v>
      </c>
      <c r="F65" s="279">
        <f>SUM(F66:F68)</f>
        <v>221414.33</v>
      </c>
      <c r="G65" s="279">
        <f>SUM(G66:G68)</f>
        <v>12027.44</v>
      </c>
      <c r="H65" s="279">
        <f>SUM(H66:H68)</f>
        <v>19185.62</v>
      </c>
      <c r="I65" s="11">
        <f t="shared" si="1"/>
        <v>410760.84</v>
      </c>
      <c r="J65" s="11"/>
      <c r="K65" s="4"/>
    </row>
    <row r="66" spans="2:11" ht="15" customHeight="1" x14ac:dyDescent="0.2">
      <c r="B66" s="3"/>
      <c r="C66" s="62" t="s">
        <v>416</v>
      </c>
      <c r="D66" s="516">
        <v>0</v>
      </c>
      <c r="E66" s="516">
        <v>58856.800000000003</v>
      </c>
      <c r="F66" s="516">
        <v>221414.33</v>
      </c>
      <c r="G66" s="516">
        <v>0</v>
      </c>
      <c r="H66" s="516">
        <v>10004.06</v>
      </c>
      <c r="I66" s="61">
        <f t="shared" si="1"/>
        <v>290275.19</v>
      </c>
      <c r="J66" s="61"/>
      <c r="K66" s="4"/>
    </row>
    <row r="67" spans="2:11" ht="15" customHeight="1" x14ac:dyDescent="0.2">
      <c r="B67" s="3"/>
      <c r="C67" s="62" t="s">
        <v>417</v>
      </c>
      <c r="D67" s="516"/>
      <c r="E67" s="516"/>
      <c r="F67" s="516"/>
      <c r="G67" s="516"/>
      <c r="H67" s="516"/>
      <c r="I67" s="61">
        <f t="shared" si="1"/>
        <v>0</v>
      </c>
      <c r="J67" s="61"/>
      <c r="K67" s="4"/>
    </row>
    <row r="68" spans="2:11" ht="15" customHeight="1" x14ac:dyDescent="0.2">
      <c r="B68" s="3"/>
      <c r="C68" s="62" t="s">
        <v>418</v>
      </c>
      <c r="D68" s="516">
        <v>347.94</v>
      </c>
      <c r="E68" s="516">
        <v>98928.71</v>
      </c>
      <c r="F68" s="516">
        <v>0</v>
      </c>
      <c r="G68" s="516">
        <v>12027.44</v>
      </c>
      <c r="H68" s="516">
        <v>9181.56</v>
      </c>
      <c r="I68" s="61">
        <f t="shared" si="1"/>
        <v>120485.65000000001</v>
      </c>
      <c r="J68" s="61"/>
      <c r="K68" s="4"/>
    </row>
    <row r="69" spans="2:11" ht="15" customHeight="1" x14ac:dyDescent="0.2">
      <c r="B69" s="278">
        <f>B65+1</f>
        <v>17</v>
      </c>
      <c r="C69" s="10" t="str">
        <f>'Program Descriptions'!C21</f>
        <v>Strat Energy Mgmt (SEMP)</v>
      </c>
      <c r="D69" s="279">
        <f>SUM(D70:D72)</f>
        <v>0</v>
      </c>
      <c r="E69" s="279">
        <f>SUM(E70:E72)</f>
        <v>324225.26</v>
      </c>
      <c r="F69" s="279">
        <f>SUM(F70:F72)</f>
        <v>209655.36</v>
      </c>
      <c r="G69" s="279">
        <f>SUM(G70:G72)</f>
        <v>16013.27</v>
      </c>
      <c r="H69" s="279">
        <f>SUM(H70:H72)</f>
        <v>24961.690000000002</v>
      </c>
      <c r="I69" s="11">
        <f t="shared" ref="I69:I84" si="2">SUM(D69:H69)</f>
        <v>574855.58000000007</v>
      </c>
      <c r="J69" s="11"/>
      <c r="K69" s="4"/>
    </row>
    <row r="70" spans="2:11" ht="15" customHeight="1" x14ac:dyDescent="0.2">
      <c r="B70" s="3"/>
      <c r="C70" s="62" t="s">
        <v>416</v>
      </c>
      <c r="D70" s="516">
        <v>0</v>
      </c>
      <c r="E70" s="516">
        <v>9267.44</v>
      </c>
      <c r="F70" s="516">
        <v>209655.36</v>
      </c>
      <c r="G70" s="516">
        <v>0</v>
      </c>
      <c r="H70" s="516">
        <v>10849.85</v>
      </c>
      <c r="I70" s="61">
        <f t="shared" si="2"/>
        <v>229772.65</v>
      </c>
      <c r="J70" s="61"/>
      <c r="K70" s="4"/>
    </row>
    <row r="71" spans="2:11" ht="15" customHeight="1" x14ac:dyDescent="0.2">
      <c r="B71" s="3"/>
      <c r="C71" s="62" t="s">
        <v>417</v>
      </c>
      <c r="D71" s="516"/>
      <c r="E71" s="516"/>
      <c r="F71" s="516"/>
      <c r="G71" s="516"/>
      <c r="H71" s="516"/>
      <c r="I71" s="61">
        <f t="shared" si="2"/>
        <v>0</v>
      </c>
      <c r="J71" s="61"/>
      <c r="K71" s="4"/>
    </row>
    <row r="72" spans="2:11" ht="15" customHeight="1" x14ac:dyDescent="0.2">
      <c r="B72" s="3"/>
      <c r="C72" s="62" t="s">
        <v>418</v>
      </c>
      <c r="D72" s="516">
        <v>0</v>
      </c>
      <c r="E72" s="516">
        <v>314957.82</v>
      </c>
      <c r="F72" s="516">
        <v>0</v>
      </c>
      <c r="G72" s="516">
        <v>16013.27</v>
      </c>
      <c r="H72" s="516">
        <v>14111.84</v>
      </c>
      <c r="I72" s="61">
        <f t="shared" si="2"/>
        <v>345082.93000000005</v>
      </c>
      <c r="J72" s="61"/>
      <c r="K72" s="4"/>
    </row>
    <row r="73" spans="2:11" ht="15" customHeight="1" x14ac:dyDescent="0.2">
      <c r="B73" s="278">
        <f>B69+1</f>
        <v>18</v>
      </c>
      <c r="C73" s="10" t="str">
        <f>'Program Descriptions'!C22</f>
        <v>Bring Y/Otstat (BYOT)</v>
      </c>
      <c r="D73" s="279">
        <f>SUM(D74:D76)</f>
        <v>0</v>
      </c>
      <c r="E73" s="279">
        <f>SUM(E74:E76)</f>
        <v>63169.380000000005</v>
      </c>
      <c r="F73" s="279">
        <f>SUM(F74:F76)</f>
        <v>110000</v>
      </c>
      <c r="G73" s="279">
        <f>SUM(G74:G76)</f>
        <v>11126.54</v>
      </c>
      <c r="H73" s="279">
        <f>SUM(H74:H76)</f>
        <v>4691.6099999999997</v>
      </c>
      <c r="I73" s="11">
        <f t="shared" si="2"/>
        <v>188987.53</v>
      </c>
      <c r="J73" s="11"/>
      <c r="K73" s="4"/>
    </row>
    <row r="74" spans="2:11" ht="15" customHeight="1" x14ac:dyDescent="0.2">
      <c r="B74" s="3"/>
      <c r="C74" s="62" t="s">
        <v>416</v>
      </c>
      <c r="D74" s="516">
        <v>0</v>
      </c>
      <c r="E74" s="516">
        <v>9879.09</v>
      </c>
      <c r="F74" s="516">
        <v>110000</v>
      </c>
      <c r="G74" s="516">
        <v>0</v>
      </c>
      <c r="H74" s="516">
        <v>4639.1899999999996</v>
      </c>
      <c r="I74" s="61">
        <f t="shared" si="2"/>
        <v>124518.28</v>
      </c>
      <c r="J74" s="61"/>
      <c r="K74" s="4"/>
    </row>
    <row r="75" spans="2:11" ht="15" customHeight="1" x14ac:dyDescent="0.2">
      <c r="B75" s="3"/>
      <c r="C75" s="62" t="s">
        <v>417</v>
      </c>
      <c r="D75" s="516"/>
      <c r="E75" s="516"/>
      <c r="F75" s="516"/>
      <c r="G75" s="516"/>
      <c r="H75" s="516"/>
      <c r="I75" s="61">
        <f t="shared" si="2"/>
        <v>0</v>
      </c>
      <c r="J75" s="61"/>
      <c r="K75" s="4"/>
    </row>
    <row r="76" spans="2:11" ht="15" customHeight="1" x14ac:dyDescent="0.2">
      <c r="B76" s="3"/>
      <c r="C76" s="62" t="s">
        <v>418</v>
      </c>
      <c r="D76" s="516">
        <v>0</v>
      </c>
      <c r="E76" s="516">
        <v>53290.29</v>
      </c>
      <c r="F76" s="516">
        <v>0</v>
      </c>
      <c r="G76" s="516">
        <v>11126.54</v>
      </c>
      <c r="H76" s="516">
        <v>52.42</v>
      </c>
      <c r="I76" s="61">
        <f t="shared" si="2"/>
        <v>64469.25</v>
      </c>
      <c r="J76" s="61"/>
      <c r="K76" s="4"/>
    </row>
    <row r="77" spans="2:11" ht="15" customHeight="1" x14ac:dyDescent="0.2">
      <c r="B77" s="278">
        <f>B73+1</f>
        <v>19</v>
      </c>
      <c r="C77" s="10" t="str">
        <f>'Program Descriptions'!C23</f>
        <v>Empty</v>
      </c>
      <c r="D77" s="279">
        <f>SUM(D78:D80)</f>
        <v>0</v>
      </c>
      <c r="E77" s="279">
        <f>SUM(E78:E80)</f>
        <v>0</v>
      </c>
      <c r="F77" s="279">
        <f>SUM(F78:F80)</f>
        <v>0</v>
      </c>
      <c r="G77" s="279">
        <f>SUM(G78:G80)</f>
        <v>0</v>
      </c>
      <c r="H77" s="279">
        <f>SUM(H78:H80)</f>
        <v>0</v>
      </c>
      <c r="I77" s="11">
        <f t="shared" si="2"/>
        <v>0</v>
      </c>
      <c r="J77" s="11"/>
      <c r="K77" s="4"/>
    </row>
    <row r="78" spans="2:11" ht="15" customHeight="1" x14ac:dyDescent="0.2">
      <c r="B78" s="3"/>
      <c r="C78" s="62" t="s">
        <v>416</v>
      </c>
      <c r="D78" s="516">
        <v>0</v>
      </c>
      <c r="E78" s="516">
        <v>0</v>
      </c>
      <c r="F78" s="516">
        <v>0</v>
      </c>
      <c r="G78" s="516">
        <v>0</v>
      </c>
      <c r="H78" s="516">
        <v>0</v>
      </c>
      <c r="I78" s="61">
        <f t="shared" si="2"/>
        <v>0</v>
      </c>
      <c r="J78" s="61"/>
      <c r="K78" s="4"/>
    </row>
    <row r="79" spans="2:11" ht="15" customHeight="1" x14ac:dyDescent="0.2">
      <c r="B79" s="3"/>
      <c r="C79" s="62" t="s">
        <v>417</v>
      </c>
      <c r="D79" s="516"/>
      <c r="E79" s="516"/>
      <c r="F79" s="516"/>
      <c r="G79" s="516"/>
      <c r="H79" s="516"/>
      <c r="I79" s="61">
        <f t="shared" si="2"/>
        <v>0</v>
      </c>
      <c r="J79" s="61"/>
      <c r="K79" s="4"/>
    </row>
    <row r="80" spans="2:11" ht="15" customHeight="1" x14ac:dyDescent="0.2">
      <c r="B80" s="3"/>
      <c r="C80" s="62" t="s">
        <v>418</v>
      </c>
      <c r="D80" s="516">
        <v>0</v>
      </c>
      <c r="E80" s="516">
        <v>0</v>
      </c>
      <c r="F80" s="516">
        <v>0</v>
      </c>
      <c r="G80" s="516">
        <v>0</v>
      </c>
      <c r="H80" s="516">
        <v>0</v>
      </c>
      <c r="I80" s="61">
        <f t="shared" si="2"/>
        <v>0</v>
      </c>
      <c r="J80" s="61"/>
      <c r="K80" s="4"/>
    </row>
    <row r="81" spans="2:11" ht="15" customHeight="1" x14ac:dyDescent="0.2">
      <c r="B81" s="278">
        <f>B77+1</f>
        <v>20</v>
      </c>
      <c r="C81" s="10" t="str">
        <f>'Program Descriptions'!C24</f>
        <v>Empty</v>
      </c>
      <c r="D81" s="279">
        <f>SUM(D82:D84)</f>
        <v>0</v>
      </c>
      <c r="E81" s="279">
        <f>SUM(E82:E84)</f>
        <v>0</v>
      </c>
      <c r="F81" s="279">
        <f>SUM(F82:F84)</f>
        <v>0</v>
      </c>
      <c r="G81" s="279">
        <f>SUM(G82:G84)</f>
        <v>0</v>
      </c>
      <c r="H81" s="279">
        <f>SUM(H82:H84)</f>
        <v>0</v>
      </c>
      <c r="I81" s="11">
        <f t="shared" si="2"/>
        <v>0</v>
      </c>
      <c r="J81" s="11"/>
      <c r="K81" s="4"/>
    </row>
    <row r="82" spans="2:11" ht="15" customHeight="1" x14ac:dyDescent="0.2">
      <c r="B82" s="3"/>
      <c r="C82" s="62" t="s">
        <v>416</v>
      </c>
      <c r="D82" s="516">
        <v>0</v>
      </c>
      <c r="E82" s="516">
        <v>0</v>
      </c>
      <c r="F82" s="516">
        <v>0</v>
      </c>
      <c r="G82" s="516">
        <v>0</v>
      </c>
      <c r="H82" s="516">
        <v>0</v>
      </c>
      <c r="I82" s="61">
        <f t="shared" si="2"/>
        <v>0</v>
      </c>
      <c r="J82" s="61"/>
      <c r="K82" s="4"/>
    </row>
    <row r="83" spans="2:11" ht="15" customHeight="1" x14ac:dyDescent="0.2">
      <c r="B83" s="3"/>
      <c r="C83" s="62" t="s">
        <v>417</v>
      </c>
      <c r="D83" s="516"/>
      <c r="E83" s="516"/>
      <c r="F83" s="516"/>
      <c r="G83" s="516"/>
      <c r="H83" s="516"/>
      <c r="I83" s="61">
        <f t="shared" si="2"/>
        <v>0</v>
      </c>
      <c r="J83" s="61"/>
      <c r="K83" s="4"/>
    </row>
    <row r="84" spans="2:11" ht="15" customHeight="1" x14ac:dyDescent="0.2">
      <c r="B84" s="3"/>
      <c r="C84" s="62" t="s">
        <v>418</v>
      </c>
      <c r="D84" s="516">
        <v>0</v>
      </c>
      <c r="E84" s="516">
        <v>0</v>
      </c>
      <c r="F84" s="516">
        <v>0</v>
      </c>
      <c r="G84" s="516">
        <v>0</v>
      </c>
      <c r="H84" s="516">
        <v>0</v>
      </c>
      <c r="I84" s="61">
        <f t="shared" si="2"/>
        <v>0</v>
      </c>
      <c r="J84" s="61"/>
      <c r="K84" s="4"/>
    </row>
    <row r="85" spans="2:11" ht="15" customHeight="1" x14ac:dyDescent="0.2">
      <c r="B85" s="3"/>
      <c r="K85" s="4"/>
    </row>
    <row r="86" spans="2:11" ht="15" customHeight="1" x14ac:dyDescent="0.2">
      <c r="B86" s="3"/>
      <c r="K86" s="4"/>
    </row>
    <row r="87" spans="2:11" ht="41.25" customHeight="1" x14ac:dyDescent="0.25">
      <c r="B87" s="3"/>
      <c r="C87" s="9" t="s">
        <v>419</v>
      </c>
      <c r="D87" s="274" t="str">
        <f>D4</f>
        <v>Planning / Design</v>
      </c>
      <c r="E87" s="274" t="str">
        <f>E4</f>
        <v>Marketing &amp; Delivery</v>
      </c>
      <c r="F87" s="274" t="str">
        <f>F4</f>
        <v>Incentives / Direct Install Costs</v>
      </c>
      <c r="G87" s="274" t="str">
        <f>G4</f>
        <v>EM&amp;V</v>
      </c>
      <c r="H87" s="274" t="str">
        <f>H4</f>
        <v>Administration</v>
      </c>
      <c r="I87" s="274" t="str">
        <f>Cost!C25</f>
        <v>Regulatory</v>
      </c>
      <c r="J87" s="274" t="s">
        <v>182</v>
      </c>
      <c r="K87" s="4"/>
    </row>
    <row r="88" spans="2:11" ht="15" customHeight="1" x14ac:dyDescent="0.2">
      <c r="B88" s="3"/>
      <c r="C88" s="62" t="s">
        <v>416</v>
      </c>
      <c r="D88" s="526">
        <f t="array" ref="D88">SUM(IF(MOD(ROW(D6:D$84)-ROW(D6),4)=0,D6:D$84,0))</f>
        <v>124.77</v>
      </c>
      <c r="E88" s="526">
        <f t="array" ref="E88">SUM(IF(MOD(ROW(E6:E$84)-ROW(E6),4)=0,E6:E$84,0))</f>
        <v>361200.53</v>
      </c>
      <c r="F88" s="526">
        <f t="array" ref="F88">SUM(IF(MOD(ROW(F6:F$84)-ROW(F6),4)=0,F6:F$84,0))</f>
        <v>7456409.4400000004</v>
      </c>
      <c r="G88" s="526">
        <f t="array" ref="G88">SUM(IF(MOD(ROW(G6:G$84)-ROW(G6),4)=0,G6:G$84,0))</f>
        <v>0</v>
      </c>
      <c r="H88" s="526">
        <f t="array" ref="H88">SUM(IF(MOD(ROW(H6:H$84)-ROW(H6),4)=0,H6:H$84,0))</f>
        <v>237894.30000000005</v>
      </c>
      <c r="I88" s="430">
        <v>55066.05</v>
      </c>
      <c r="J88" s="11">
        <f>SUM(D88:I88)</f>
        <v>8110695.0899999999</v>
      </c>
      <c r="K88" s="4"/>
    </row>
    <row r="89" spans="2:11" ht="15" customHeight="1" x14ac:dyDescent="0.2">
      <c r="B89" s="3"/>
      <c r="C89" s="62" t="s">
        <v>417</v>
      </c>
      <c r="D89" s="526">
        <f t="array" ref="D89">SUM(IF(MOD(ROW(D7:D$84)-ROW(D7),4)=0,D7:D$84,0))</f>
        <v>0</v>
      </c>
      <c r="E89" s="526">
        <f t="array" ref="E89">SUM(IF(MOD(ROW(E7:E$84)-ROW(E7),4)=0,E7:E$84,0))</f>
        <v>0</v>
      </c>
      <c r="F89" s="526">
        <f t="array" ref="F89">SUM(IF(MOD(ROW(F7:F$84)-ROW(F7),4)=0,F7:F$84,0))</f>
        <v>0</v>
      </c>
      <c r="G89" s="526">
        <f t="array" ref="G89">SUM(IF(MOD(ROW(G7:G$84)-ROW(G7),4)=0,G7:G$84,0))</f>
        <v>0</v>
      </c>
      <c r="H89" s="526">
        <f t="array" ref="H89">SUM(IF(MOD(ROW(H7:H$84)-ROW(H7),4)=0,H7:H$84,0))</f>
        <v>0</v>
      </c>
      <c r="I89" s="430">
        <v>0</v>
      </c>
      <c r="J89" s="11">
        <f>SUM(D89:I89)</f>
        <v>0</v>
      </c>
      <c r="K89" s="4"/>
    </row>
    <row r="90" spans="2:11" ht="15" customHeight="1" thickBot="1" x14ac:dyDescent="0.25">
      <c r="B90" s="3"/>
      <c r="C90" s="62" t="s">
        <v>418</v>
      </c>
      <c r="D90" s="527">
        <f t="array" ref="D90">SUM(IF(MOD(ROW(D8:D$84)-ROW(D8),4)=0,D8:D$84,0))</f>
        <v>17381.78</v>
      </c>
      <c r="E90" s="527">
        <f t="array" ref="E90">SUM(IF(MOD(ROW(E8:E$84)-ROW(E8),4)=0,E8:E$84,0))</f>
        <v>4376236.53</v>
      </c>
      <c r="F90" s="527">
        <f t="array" ref="F90">SUM(IF(MOD(ROW(F8:F$84)-ROW(F8),4)=0,F8:F$84,0))</f>
        <v>0</v>
      </c>
      <c r="G90" s="527">
        <f t="array" ref="G90">SUM(IF(MOD(ROW(G8:G$84)-ROW(G8),4)=0,G8:G$84,0))</f>
        <v>484690.9</v>
      </c>
      <c r="H90" s="527">
        <f t="array" ref="H90">SUM(IF(MOD(ROW(H8:H$84)-ROW(H8),4)=0,H8:H$84,0))</f>
        <v>196648.68000000002</v>
      </c>
      <c r="I90" s="517">
        <v>33777.82</v>
      </c>
      <c r="J90" s="11">
        <f>SUM(D90:I90)</f>
        <v>5108735.7100000009</v>
      </c>
      <c r="K90" s="4"/>
    </row>
    <row r="91" spans="2:11" ht="15" customHeight="1" x14ac:dyDescent="0.25">
      <c r="B91" s="3"/>
      <c r="C91" s="276" t="s">
        <v>183</v>
      </c>
      <c r="D91" s="14">
        <f>SUM(D88:D90)</f>
        <v>17506.55</v>
      </c>
      <c r="E91" s="14">
        <f t="shared" ref="E91:J91" si="3">SUM(E88:E90)</f>
        <v>4737437.0600000005</v>
      </c>
      <c r="F91" s="14">
        <f t="shared" si="3"/>
        <v>7456409.4400000004</v>
      </c>
      <c r="G91" s="14">
        <f t="shared" si="3"/>
        <v>484690.9</v>
      </c>
      <c r="H91" s="14">
        <f t="shared" si="3"/>
        <v>434542.9800000001</v>
      </c>
      <c r="I91" s="14">
        <f t="shared" si="3"/>
        <v>88843.87</v>
      </c>
      <c r="J91" s="14">
        <f t="shared" si="3"/>
        <v>13219430.800000001</v>
      </c>
      <c r="K91" s="4"/>
    </row>
    <row r="92" spans="2:11" ht="15" customHeight="1" x14ac:dyDescent="0.2">
      <c r="B92" s="5"/>
      <c r="C92" s="6"/>
      <c r="D92" s="6"/>
      <c r="E92" s="6"/>
      <c r="F92" s="6"/>
      <c r="G92" s="6"/>
      <c r="H92" s="6"/>
      <c r="I92" s="6"/>
      <c r="J92" s="6"/>
      <c r="K92" s="7"/>
    </row>
    <row r="93" spans="2:11" ht="15" customHeight="1" x14ac:dyDescent="0.2"/>
    <row r="94" spans="2:11" ht="15" customHeight="1" x14ac:dyDescent="0.2"/>
    <row r="95" spans="2:11" ht="15" customHeight="1" x14ac:dyDescent="0.2"/>
    <row r="96" spans="2:11"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sheetData>
  <sheetProtection algorithmName="SHA-512" hashValue="rstKQ5fK3vl1G3nSHlrCrSbNZBZIhXeOPOOmRNUwweDrLf5ltKpfG2+mbJeq9WqyzzshWcKbNgYnsZmyR5MrRw==" saltValue="qcwDn0Gk+25ftgsa/Te5OQ==" spinCount="100000" sheet="1" objects="1" scenarios="1" formatRows="0"/>
  <conditionalFormatting sqref="D6:H6">
    <cfRule type="expression" dxfId="84" priority="66">
      <formula>$B5&gt;Programs</formula>
    </cfRule>
  </conditionalFormatting>
  <conditionalFormatting sqref="D7:H7">
    <cfRule type="expression" dxfId="83" priority="65">
      <formula>$B5&gt;Programs</formula>
    </cfRule>
  </conditionalFormatting>
  <conditionalFormatting sqref="D8:H8">
    <cfRule type="expression" dxfId="82" priority="64">
      <formula>$B5&gt;Programs</formula>
    </cfRule>
  </conditionalFormatting>
  <conditionalFormatting sqref="D10:H10">
    <cfRule type="expression" dxfId="81" priority="54">
      <formula>$B9&gt;Programs</formula>
    </cfRule>
  </conditionalFormatting>
  <conditionalFormatting sqref="D11:H11">
    <cfRule type="expression" dxfId="80" priority="53">
      <formula>$B9&gt;Programs</formula>
    </cfRule>
  </conditionalFormatting>
  <conditionalFormatting sqref="D12:H12">
    <cfRule type="expression" dxfId="79" priority="52">
      <formula>$B9&gt;Programs</formula>
    </cfRule>
  </conditionalFormatting>
  <conditionalFormatting sqref="D14:H14">
    <cfRule type="expression" dxfId="78" priority="51">
      <formula>$B13&gt;Programs</formula>
    </cfRule>
  </conditionalFormatting>
  <conditionalFormatting sqref="D15:H15">
    <cfRule type="expression" dxfId="77" priority="50">
      <formula>$B13&gt;Programs</formula>
    </cfRule>
  </conditionalFormatting>
  <conditionalFormatting sqref="D16:H16">
    <cfRule type="expression" dxfId="76" priority="49">
      <formula>$B13&gt;Programs</formula>
    </cfRule>
  </conditionalFormatting>
  <conditionalFormatting sqref="D18:H18">
    <cfRule type="expression" dxfId="75" priority="48">
      <formula>$B17&gt;Programs</formula>
    </cfRule>
  </conditionalFormatting>
  <conditionalFormatting sqref="D19:H19">
    <cfRule type="expression" dxfId="74" priority="47">
      <formula>$B17&gt;Programs</formula>
    </cfRule>
  </conditionalFormatting>
  <conditionalFormatting sqref="D20:H20">
    <cfRule type="expression" dxfId="73" priority="46">
      <formula>$B17&gt;Programs</formula>
    </cfRule>
  </conditionalFormatting>
  <conditionalFormatting sqref="D22:H22">
    <cfRule type="expression" dxfId="72" priority="57">
      <formula>$B21&gt;Programs</formula>
    </cfRule>
  </conditionalFormatting>
  <conditionalFormatting sqref="D23:H23">
    <cfRule type="expression" dxfId="71" priority="56">
      <formula>$B21&gt;Programs</formula>
    </cfRule>
  </conditionalFormatting>
  <conditionalFormatting sqref="D24:H24">
    <cfRule type="expression" dxfId="70" priority="55">
      <formula>$B21&gt;Programs</formula>
    </cfRule>
  </conditionalFormatting>
  <conditionalFormatting sqref="D26:H26">
    <cfRule type="expression" dxfId="69" priority="45">
      <formula>$B25&gt;Programs</formula>
    </cfRule>
  </conditionalFormatting>
  <conditionalFormatting sqref="D27:H27">
    <cfRule type="expression" dxfId="68" priority="44">
      <formula>$B25&gt;Programs</formula>
    </cfRule>
  </conditionalFormatting>
  <conditionalFormatting sqref="D28:H28">
    <cfRule type="expression" dxfId="67" priority="43">
      <formula>$B25&gt;Programs</formula>
    </cfRule>
  </conditionalFormatting>
  <conditionalFormatting sqref="D30:H30">
    <cfRule type="expression" dxfId="66" priority="42">
      <formula>$B29&gt;Programs</formula>
    </cfRule>
  </conditionalFormatting>
  <conditionalFormatting sqref="D31:H31">
    <cfRule type="expression" dxfId="65" priority="41">
      <formula>$B29&gt;Programs</formula>
    </cfRule>
  </conditionalFormatting>
  <conditionalFormatting sqref="D32:H32">
    <cfRule type="expression" dxfId="64" priority="40">
      <formula>$B29&gt;Programs</formula>
    </cfRule>
  </conditionalFormatting>
  <conditionalFormatting sqref="D34:H34">
    <cfRule type="expression" dxfId="63" priority="39">
      <formula>$B33&gt;Programs</formula>
    </cfRule>
  </conditionalFormatting>
  <conditionalFormatting sqref="D35:H35">
    <cfRule type="expression" dxfId="62" priority="38">
      <formula>$B33&gt;Programs</formula>
    </cfRule>
  </conditionalFormatting>
  <conditionalFormatting sqref="D36:H36">
    <cfRule type="expression" dxfId="61" priority="37">
      <formula>$B33&gt;Programs</formula>
    </cfRule>
  </conditionalFormatting>
  <conditionalFormatting sqref="D38:H38">
    <cfRule type="expression" dxfId="60" priority="36">
      <formula>$B37&gt;Programs</formula>
    </cfRule>
  </conditionalFormatting>
  <conditionalFormatting sqref="D39:H39">
    <cfRule type="expression" dxfId="59" priority="35">
      <formula>$B37&gt;Programs</formula>
    </cfRule>
  </conditionalFormatting>
  <conditionalFormatting sqref="D40:H40">
    <cfRule type="expression" dxfId="58" priority="34">
      <formula>$B37&gt;Programs</formula>
    </cfRule>
  </conditionalFormatting>
  <conditionalFormatting sqref="D42:H42">
    <cfRule type="expression" dxfId="57" priority="33">
      <formula>$B41&gt;Programs</formula>
    </cfRule>
  </conditionalFormatting>
  <conditionalFormatting sqref="D43:H43">
    <cfRule type="expression" dxfId="56" priority="32">
      <formula>$B41&gt;Programs</formula>
    </cfRule>
  </conditionalFormatting>
  <conditionalFormatting sqref="D44:H44">
    <cfRule type="expression" dxfId="55" priority="31">
      <formula>$B41&gt;Programs</formula>
    </cfRule>
  </conditionalFormatting>
  <conditionalFormatting sqref="D46:H46">
    <cfRule type="expression" dxfId="54" priority="30">
      <formula>$B45&gt;Programs</formula>
    </cfRule>
  </conditionalFormatting>
  <conditionalFormatting sqref="D47:H47">
    <cfRule type="expression" dxfId="53" priority="29">
      <formula>$B45&gt;Programs</formula>
    </cfRule>
  </conditionalFormatting>
  <conditionalFormatting sqref="D48:H48">
    <cfRule type="expression" dxfId="52" priority="28">
      <formula>$B45&gt;Programs</formula>
    </cfRule>
  </conditionalFormatting>
  <conditionalFormatting sqref="D50:H50">
    <cfRule type="expression" dxfId="51" priority="27">
      <formula>$B49&gt;Programs</formula>
    </cfRule>
  </conditionalFormatting>
  <conditionalFormatting sqref="D51:H51">
    <cfRule type="expression" dxfId="50" priority="26">
      <formula>$B49&gt;Programs</formula>
    </cfRule>
  </conditionalFormatting>
  <conditionalFormatting sqref="D52:H52">
    <cfRule type="expression" dxfId="49" priority="25">
      <formula>$B49&gt;Programs</formula>
    </cfRule>
  </conditionalFormatting>
  <conditionalFormatting sqref="D54:H54">
    <cfRule type="expression" dxfId="48" priority="24">
      <formula>$B53&gt;Programs</formula>
    </cfRule>
  </conditionalFormatting>
  <conditionalFormatting sqref="D55:H55">
    <cfRule type="expression" dxfId="47" priority="23">
      <formula>$B53&gt;Programs</formula>
    </cfRule>
  </conditionalFormatting>
  <conditionalFormatting sqref="D56:H56">
    <cfRule type="expression" dxfId="46" priority="22">
      <formula>$B53&gt;Programs</formula>
    </cfRule>
  </conditionalFormatting>
  <conditionalFormatting sqref="D58:H58">
    <cfRule type="expression" dxfId="45" priority="21">
      <formula>$B57&gt;Programs</formula>
    </cfRule>
  </conditionalFormatting>
  <conditionalFormatting sqref="D59:H59">
    <cfRule type="expression" dxfId="44" priority="20">
      <formula>$B57&gt;Programs</formula>
    </cfRule>
  </conditionalFormatting>
  <conditionalFormatting sqref="D60:H60">
    <cfRule type="expression" dxfId="43" priority="19">
      <formula>$B57&gt;Programs</formula>
    </cfRule>
  </conditionalFormatting>
  <conditionalFormatting sqref="D62:H62">
    <cfRule type="expression" dxfId="42" priority="18">
      <formula>$B61&gt;Programs</formula>
    </cfRule>
  </conditionalFormatting>
  <conditionalFormatting sqref="D63:H63">
    <cfRule type="expression" dxfId="41" priority="17">
      <formula>$B61&gt;Programs</formula>
    </cfRule>
  </conditionalFormatting>
  <conditionalFormatting sqref="D64:H64">
    <cfRule type="expression" dxfId="40" priority="16">
      <formula>$B61&gt;Programs</formula>
    </cfRule>
  </conditionalFormatting>
  <conditionalFormatting sqref="D66:H66">
    <cfRule type="expression" dxfId="39" priority="15">
      <formula>$B65&gt;Programs</formula>
    </cfRule>
  </conditionalFormatting>
  <conditionalFormatting sqref="D67:H67">
    <cfRule type="expression" dxfId="38" priority="14">
      <formula>$B65&gt;Programs</formula>
    </cfRule>
  </conditionalFormatting>
  <conditionalFormatting sqref="D68:H68">
    <cfRule type="expression" dxfId="37" priority="13">
      <formula>$B65&gt;Programs</formula>
    </cfRule>
  </conditionalFormatting>
  <conditionalFormatting sqref="D70:H70">
    <cfRule type="expression" dxfId="36" priority="12">
      <formula>$B69&gt;Programs</formula>
    </cfRule>
  </conditionalFormatting>
  <conditionalFormatting sqref="D71:H71">
    <cfRule type="expression" dxfId="35" priority="11">
      <formula>$B69&gt;Programs</formula>
    </cfRule>
  </conditionalFormatting>
  <conditionalFormatting sqref="D72:H72">
    <cfRule type="expression" dxfId="34" priority="10">
      <formula>$B69&gt;Programs</formula>
    </cfRule>
  </conditionalFormatting>
  <conditionalFormatting sqref="D74:H74">
    <cfRule type="expression" dxfId="33" priority="9">
      <formula>$B73&gt;Programs</formula>
    </cfRule>
  </conditionalFormatting>
  <conditionalFormatting sqref="D75:H75">
    <cfRule type="expression" dxfId="32" priority="8">
      <formula>$B73&gt;Programs</formula>
    </cfRule>
  </conditionalFormatting>
  <conditionalFormatting sqref="D76:H76">
    <cfRule type="expression" dxfId="31" priority="7">
      <formula>$B73&gt;Programs</formula>
    </cfRule>
  </conditionalFormatting>
  <conditionalFormatting sqref="D78:H78">
    <cfRule type="expression" dxfId="30" priority="6">
      <formula>$B77&gt;Programs</formula>
    </cfRule>
  </conditionalFormatting>
  <conditionalFormatting sqref="D79:H79">
    <cfRule type="expression" dxfId="29" priority="5">
      <formula>$B77&gt;Programs</formula>
    </cfRule>
  </conditionalFormatting>
  <conditionalFormatting sqref="D80:H80">
    <cfRule type="expression" dxfId="28" priority="4">
      <formula>$B77&gt;Programs</formula>
    </cfRule>
  </conditionalFormatting>
  <conditionalFormatting sqref="D82:H82">
    <cfRule type="expression" dxfId="27" priority="3">
      <formula>$B81&gt;Programs</formula>
    </cfRule>
  </conditionalFormatting>
  <conditionalFormatting sqref="D83:H83">
    <cfRule type="expression" dxfId="26" priority="2">
      <formula>$B81&gt;Programs</formula>
    </cfRule>
  </conditionalFormatting>
  <conditionalFormatting sqref="D84:H84">
    <cfRule type="expression" dxfId="25" priority="1">
      <formula>$B81&gt;Programs</formula>
    </cfRule>
  </conditionalFormatting>
  <pageMargins left="0.25" right="0.25" top="0.25" bottom="0.25" header="0.3" footer="0.3"/>
  <pageSetup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L15"/>
  <sheetViews>
    <sheetView showGridLines="0" showRowColHeaders="0" zoomScale="110" zoomScaleNormal="110" workbookViewId="0">
      <selection activeCell="E7" sqref="E7"/>
    </sheetView>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7" width="12.85546875" style="2" customWidth="1"/>
    <col min="8" max="8" width="49.85546875" style="2" customWidth="1"/>
    <col min="9" max="9" width="3" style="2" customWidth="1"/>
    <col min="10" max="10" width="1" style="2" customWidth="1"/>
    <col min="11" max="11" width="9.140625" style="2"/>
    <col min="12" max="12" width="0" style="2" hidden="1" customWidth="1"/>
    <col min="13" max="16384" width="9.140625" style="2"/>
  </cols>
  <sheetData>
    <row r="1" spans="2:12" ht="5.0999999999999996" customHeight="1" thickBot="1" x14ac:dyDescent="0.25"/>
    <row r="2" spans="2:12" ht="38.25" customHeight="1" thickBot="1" x14ac:dyDescent="0.25">
      <c r="B2" s="671" t="s">
        <v>420</v>
      </c>
      <c r="C2" s="671"/>
      <c r="D2" s="671"/>
      <c r="E2" s="671"/>
      <c r="F2" s="671"/>
      <c r="G2" s="671"/>
      <c r="H2" s="671"/>
      <c r="I2" s="671"/>
    </row>
    <row r="3" spans="2:12" ht="36" customHeight="1" x14ac:dyDescent="0.2">
      <c r="B3" s="511"/>
      <c r="C3" s="347"/>
      <c r="D3" s="347"/>
      <c r="E3" s="347"/>
      <c r="F3" s="347"/>
      <c r="G3" s="347"/>
      <c r="H3" s="347"/>
      <c r="I3" s="512"/>
    </row>
    <row r="4" spans="2:12" ht="11.25" customHeight="1" x14ac:dyDescent="0.2">
      <c r="B4" s="3"/>
      <c r="D4" s="350" t="str">
        <f>IF(L11&gt;0,"Incomplete - Explanation for difference must be provided.","")</f>
        <v/>
      </c>
      <c r="I4" s="4"/>
    </row>
    <row r="5" spans="2:12" x14ac:dyDescent="0.2">
      <c r="B5" s="3"/>
      <c r="D5" s="31" t="s">
        <v>421</v>
      </c>
      <c r="E5" s="33">
        <f>'Actual Expenses'!J91</f>
        <v>13219430.800000001</v>
      </c>
      <c r="G5" s="29"/>
      <c r="H5" s="29"/>
      <c r="I5" s="4"/>
    </row>
    <row r="6" spans="2:12" x14ac:dyDescent="0.2">
      <c r="B6" s="3"/>
      <c r="D6" s="31" t="s">
        <v>422</v>
      </c>
      <c r="E6" s="528">
        <v>13219431</v>
      </c>
      <c r="F6" s="29"/>
      <c r="G6" s="29"/>
      <c r="H6" s="29"/>
      <c r="I6" s="4"/>
      <c r="L6" s="2">
        <f>IF(E7&lt;&gt;0,1,0)</f>
        <v>1</v>
      </c>
    </row>
    <row r="7" spans="2:12" x14ac:dyDescent="0.2">
      <c r="B7" s="3"/>
      <c r="D7" s="31" t="s">
        <v>188</v>
      </c>
      <c r="E7" s="263">
        <f>E5-E6</f>
        <v>-0.19999999925494194</v>
      </c>
      <c r="F7" s="29"/>
      <c r="G7" s="29"/>
      <c r="H7" s="29"/>
      <c r="I7" s="4"/>
    </row>
    <row r="8" spans="2:12" x14ac:dyDescent="0.2">
      <c r="B8" s="3"/>
      <c r="D8" s="10"/>
      <c r="E8" s="29"/>
      <c r="F8" s="29"/>
      <c r="G8" s="29"/>
      <c r="H8" s="29"/>
      <c r="I8" s="4"/>
    </row>
    <row r="9" spans="2:12" x14ac:dyDescent="0.2">
      <c r="B9" s="3"/>
      <c r="D9" s="10" t="s">
        <v>423</v>
      </c>
      <c r="I9" s="4"/>
    </row>
    <row r="10" spans="2:12" x14ac:dyDescent="0.2">
      <c r="B10" s="3"/>
      <c r="D10" s="675" t="s">
        <v>424</v>
      </c>
      <c r="E10" s="676"/>
      <c r="F10" s="676"/>
      <c r="G10" s="676"/>
      <c r="H10" s="677"/>
      <c r="I10" s="4"/>
    </row>
    <row r="11" spans="2:12" x14ac:dyDescent="0.2">
      <c r="B11" s="3"/>
      <c r="D11" s="678"/>
      <c r="E11" s="679"/>
      <c r="F11" s="679"/>
      <c r="G11" s="679"/>
      <c r="H11" s="680"/>
      <c r="I11" s="4"/>
      <c r="L11" s="2">
        <f>IF(L6=1,IF(ISBLANK(D10),1,0),0)</f>
        <v>0</v>
      </c>
    </row>
    <row r="12" spans="2:12" x14ac:dyDescent="0.2">
      <c r="B12" s="3"/>
      <c r="D12" s="678"/>
      <c r="E12" s="679"/>
      <c r="F12" s="679"/>
      <c r="G12" s="679"/>
      <c r="H12" s="680"/>
      <c r="I12" s="4"/>
    </row>
    <row r="13" spans="2:12" x14ac:dyDescent="0.2">
      <c r="B13" s="3"/>
      <c r="D13" s="678"/>
      <c r="E13" s="679"/>
      <c r="F13" s="679"/>
      <c r="G13" s="679"/>
      <c r="H13" s="680"/>
      <c r="I13" s="4"/>
    </row>
    <row r="14" spans="2:12" x14ac:dyDescent="0.2">
      <c r="B14" s="3"/>
      <c r="D14" s="681"/>
      <c r="E14" s="682"/>
      <c r="F14" s="682"/>
      <c r="G14" s="682"/>
      <c r="H14" s="683"/>
      <c r="I14" s="4"/>
    </row>
    <row r="15" spans="2:12" x14ac:dyDescent="0.2">
      <c r="B15" s="5"/>
      <c r="C15" s="6"/>
      <c r="D15" s="6"/>
      <c r="E15" s="6"/>
      <c r="F15" s="6"/>
      <c r="G15" s="6"/>
      <c r="H15" s="6"/>
      <c r="I15" s="7"/>
    </row>
  </sheetData>
  <sheetProtection password="C925" sheet="1" objects="1" scenarios="1" formatRows="0"/>
  <mergeCells count="2">
    <mergeCell ref="D10:H14"/>
    <mergeCell ref="B2:I2"/>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N114"/>
  <sheetViews>
    <sheetView showGridLines="0" showRowColHeaders="0" zoomScaleNormal="100" workbookViewId="0">
      <pane ySplit="5" topLeftCell="A6" activePane="bottomLeft" state="frozen"/>
      <selection pane="bottomLeft" activeCell="G11" sqref="G11"/>
    </sheetView>
  </sheetViews>
  <sheetFormatPr defaultColWidth="9.140625" defaultRowHeight="12.75" x14ac:dyDescent="0.2"/>
  <cols>
    <col min="1" max="1" width="1" style="2" customWidth="1"/>
    <col min="2" max="2" width="3.85546875" style="2" customWidth="1"/>
    <col min="3" max="3" width="36.140625" style="2" customWidth="1"/>
    <col min="4" max="5" width="14.140625" style="2" customWidth="1"/>
    <col min="6" max="6" width="9.140625" style="2" customWidth="1"/>
    <col min="7" max="7" width="14.140625" style="2" customWidth="1"/>
    <col min="8" max="10" width="9.140625" style="2"/>
    <col min="11" max="11" width="14.140625"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64.5" customHeight="1" x14ac:dyDescent="0.2">
      <c r="B2" s="508"/>
      <c r="C2" s="509"/>
      <c r="D2" s="509"/>
      <c r="E2" s="509"/>
      <c r="F2" s="509"/>
      <c r="G2" s="509"/>
      <c r="H2" s="509"/>
      <c r="I2" s="509"/>
      <c r="J2" s="509"/>
      <c r="K2" s="510"/>
    </row>
    <row r="3" spans="2:14" ht="13.5" customHeight="1" x14ac:dyDescent="0.2">
      <c r="B3" s="511"/>
      <c r="C3" s="350" t="str">
        <f>IF(N26&gt;0,"Incomplete - All yellow shaded cells must be completed.","")</f>
        <v/>
      </c>
      <c r="D3" s="347"/>
      <c r="E3" s="347"/>
      <c r="F3" s="347"/>
      <c r="G3" s="347"/>
      <c r="H3" s="347"/>
      <c r="I3" s="347"/>
      <c r="J3" s="347"/>
      <c r="K3" s="512"/>
    </row>
    <row r="4" spans="2:14" ht="25.5" x14ac:dyDescent="0.2">
      <c r="B4" s="3"/>
      <c r="D4" s="274" t="s">
        <v>200</v>
      </c>
      <c r="E4" s="274" t="s">
        <v>201</v>
      </c>
      <c r="K4" s="4"/>
    </row>
    <row r="5" spans="2:14" ht="15" customHeight="1" x14ac:dyDescent="0.25">
      <c r="B5" s="3"/>
      <c r="C5" s="9" t="s">
        <v>93</v>
      </c>
      <c r="D5" s="274" t="str">
        <f>"("&amp;Demand_1&amp;")"</f>
        <v>(kW)</v>
      </c>
      <c r="E5" s="274" t="str">
        <f>"("&amp;Energy_1&amp;")"</f>
        <v>(kWh)</v>
      </c>
      <c r="G5" s="274" t="s">
        <v>202</v>
      </c>
      <c r="H5" s="10" t="s">
        <v>203</v>
      </c>
      <c r="K5" s="4"/>
    </row>
    <row r="6" spans="2:14" ht="15" customHeight="1" x14ac:dyDescent="0.2">
      <c r="B6" s="272">
        <v>1</v>
      </c>
      <c r="C6" s="273" t="str">
        <f>'Program Descriptions'!C5</f>
        <v>Load Mgt (LMP)</v>
      </c>
      <c r="D6" s="284">
        <v>8209.93</v>
      </c>
      <c r="E6" s="284">
        <v>166783</v>
      </c>
      <c r="G6" s="284">
        <v>19</v>
      </c>
      <c r="H6" s="684" t="str">
        <f>IF(ISBLANK('Savings &amp; Participants'!H6),"",'Savings &amp; Participants'!H6)</f>
        <v>Accounts</v>
      </c>
      <c r="I6" s="684"/>
      <c r="K6" s="4"/>
      <c r="N6" s="333">
        <f t="shared" ref="N6:N25" si="0">IF(C6="Empty",0,IF(OR(ISBLANK(IF(Demand_1=NG_Demand,E6,D6)),ISBLANK(E6),ISBLANK(G6),ISBLANK(H6)),1,0))</f>
        <v>0</v>
      </c>
    </row>
    <row r="7" spans="2:14" ht="15" customHeight="1" x14ac:dyDescent="0.2">
      <c r="B7" s="272">
        <v>2</v>
      </c>
      <c r="C7" s="273" t="str">
        <f>'Program Descriptions'!C6</f>
        <v>Comm &amp; Industrial (CIEEP)</v>
      </c>
      <c r="D7" s="284">
        <v>1270.3900000000001</v>
      </c>
      <c r="E7" s="284">
        <v>8691274</v>
      </c>
      <c r="G7" s="284">
        <v>462</v>
      </c>
      <c r="H7" s="684" t="str">
        <f>IF(ISBLANK('Savings &amp; Participants'!H7),"",'Savings &amp; Participants'!H7)</f>
        <v>Projects</v>
      </c>
      <c r="I7" s="684"/>
      <c r="K7" s="4"/>
      <c r="N7" s="333">
        <f t="shared" si="0"/>
        <v>0</v>
      </c>
    </row>
    <row r="8" spans="2:14" ht="15" customHeight="1" x14ac:dyDescent="0.2">
      <c r="B8" s="272">
        <v>3</v>
      </c>
      <c r="C8" s="273" t="str">
        <f>'Program Descriptions'!C7</f>
        <v>Small Business (SBP)</v>
      </c>
      <c r="D8" s="284">
        <v>1068.72</v>
      </c>
      <c r="E8" s="284">
        <v>4161317</v>
      </c>
      <c r="G8" s="284">
        <v>645</v>
      </c>
      <c r="H8" s="684" t="str">
        <f>IF(ISBLANK('Savings &amp; Participants'!H8),"",'Savings &amp; Participants'!H8)</f>
        <v>Projects</v>
      </c>
      <c r="I8" s="684"/>
      <c r="K8" s="4"/>
      <c r="N8" s="333">
        <f t="shared" si="0"/>
        <v>0</v>
      </c>
    </row>
    <row r="9" spans="2:14" ht="15" customHeight="1" x14ac:dyDescent="0.2">
      <c r="B9" s="272">
        <v>4</v>
      </c>
      <c r="C9" s="273" t="str">
        <f>'Program Descriptions'!C8</f>
        <v>Efficient Products (EPP)</v>
      </c>
      <c r="D9" s="284">
        <v>290.13</v>
      </c>
      <c r="E9" s="284">
        <v>3792328</v>
      </c>
      <c r="G9" s="284">
        <v>129782</v>
      </c>
      <c r="H9" s="684" t="str">
        <f>IF(ISBLANK('Savings &amp; Participants'!H9),"",'Savings &amp; Participants'!H9)</f>
        <v>Measure</v>
      </c>
      <c r="I9" s="684"/>
      <c r="K9" s="4"/>
      <c r="N9" s="333">
        <f t="shared" si="0"/>
        <v>0</v>
      </c>
    </row>
    <row r="10" spans="2:14" ht="15" customHeight="1" x14ac:dyDescent="0.2">
      <c r="B10" s="272">
        <v>5</v>
      </c>
      <c r="C10" s="273" t="str">
        <f>'Program Descriptions'!C9</f>
        <v>Res Energy Imprv (REIP)</v>
      </c>
      <c r="D10" s="284">
        <v>642.01</v>
      </c>
      <c r="E10" s="284">
        <v>7788226</v>
      </c>
      <c r="G10" s="284">
        <v>6238</v>
      </c>
      <c r="H10" s="684" t="str">
        <f>IF(ISBLANK('Savings &amp; Participants'!H10),"",'Savings &amp; Participants'!H10)</f>
        <v>Measure</v>
      </c>
      <c r="I10" s="684"/>
      <c r="K10" s="4"/>
      <c r="N10" s="333">
        <f t="shared" si="0"/>
        <v>0</v>
      </c>
    </row>
    <row r="11" spans="2:14" ht="15" customHeight="1" x14ac:dyDescent="0.2">
      <c r="B11" s="272">
        <v>6</v>
      </c>
      <c r="C11" s="273" t="str">
        <f>'Program Descriptions'!C10</f>
        <v>Home Weatherization (HWP)</v>
      </c>
      <c r="D11" s="284">
        <v>1194.19</v>
      </c>
      <c r="E11" s="284">
        <v>3106874</v>
      </c>
      <c r="G11" s="284">
        <v>1180</v>
      </c>
      <c r="H11" s="684" t="str">
        <f>IF(ISBLANK('Savings &amp; Participants'!H11),"",'Savings &amp; Participants'!H11)</f>
        <v>Homes</v>
      </c>
      <c r="I11" s="684"/>
      <c r="K11" s="4"/>
      <c r="N11" s="333">
        <f t="shared" si="0"/>
        <v>0</v>
      </c>
    </row>
    <row r="12" spans="2:14" ht="15" customHeight="1" x14ac:dyDescent="0.2">
      <c r="B12" s="272">
        <v>7</v>
      </c>
      <c r="C12" s="273" t="str">
        <f>'Program Descriptions'!C11</f>
        <v>Discont'd EE AR (EEA)</v>
      </c>
      <c r="D12" s="284">
        <v>0</v>
      </c>
      <c r="E12" s="284">
        <v>0</v>
      </c>
      <c r="G12" s="284">
        <v>0</v>
      </c>
      <c r="H12" s="684" t="str">
        <f>IF(ISBLANK('Savings &amp; Participants'!H12),"",'Savings &amp; Participants'!H12)</f>
        <v/>
      </c>
      <c r="I12" s="684"/>
      <c r="K12" s="4"/>
      <c r="N12" s="333">
        <f t="shared" si="0"/>
        <v>0</v>
      </c>
    </row>
    <row r="13" spans="2:14" ht="15" customHeight="1" x14ac:dyDescent="0.2">
      <c r="B13" s="272">
        <v>8</v>
      </c>
      <c r="C13" s="273" t="str">
        <f>'Program Descriptions'!C12</f>
        <v>Discont'd Onlne Audt(OLA)</v>
      </c>
      <c r="D13" s="284">
        <v>0</v>
      </c>
      <c r="E13" s="284">
        <v>0</v>
      </c>
      <c r="G13" s="284">
        <v>0</v>
      </c>
      <c r="H13" s="684" t="str">
        <f>IF(ISBLANK('Savings &amp; Participants'!H13),"",'Savings &amp; Participants'!H13)</f>
        <v/>
      </c>
      <c r="I13" s="684"/>
      <c r="K13" s="4"/>
      <c r="N13" s="333">
        <f t="shared" si="0"/>
        <v>0</v>
      </c>
    </row>
    <row r="14" spans="2:14" ht="15" customHeight="1" x14ac:dyDescent="0.2">
      <c r="B14" s="272">
        <v>9</v>
      </c>
      <c r="C14" s="273" t="str">
        <f>'Program Descriptions'!C13</f>
        <v>Income Qualified (IQW)</v>
      </c>
      <c r="D14" s="284">
        <v>605.71</v>
      </c>
      <c r="E14" s="284">
        <v>1700442</v>
      </c>
      <c r="G14" s="284">
        <v>695</v>
      </c>
      <c r="H14" s="684" t="str">
        <f>IF(ISBLANK('Savings &amp; Participants'!H14),"",'Savings &amp; Participants'!H14)</f>
        <v>Homes</v>
      </c>
      <c r="I14" s="684"/>
      <c r="K14" s="4"/>
      <c r="N14" s="333">
        <f t="shared" si="0"/>
        <v>0</v>
      </c>
    </row>
    <row r="15" spans="2:14" ht="15" customHeight="1" x14ac:dyDescent="0.2">
      <c r="B15" s="272">
        <v>10</v>
      </c>
      <c r="C15" s="273" t="str">
        <f>'Program Descriptions'!C14</f>
        <v>Discont'd Ele Veh (EVE)</v>
      </c>
      <c r="D15" s="284">
        <v>0</v>
      </c>
      <c r="E15" s="284">
        <v>0</v>
      </c>
      <c r="G15" s="284">
        <v>0</v>
      </c>
      <c r="H15" s="684" t="str">
        <f>IF(ISBLANK('Savings &amp; Participants'!H15),"",'Savings &amp; Participants'!H15)</f>
        <v/>
      </c>
      <c r="I15" s="684"/>
      <c r="K15" s="4"/>
      <c r="N15" s="333">
        <f t="shared" si="0"/>
        <v>0</v>
      </c>
    </row>
    <row r="16" spans="2:14" ht="15" customHeight="1" x14ac:dyDescent="0.2">
      <c r="B16" s="272">
        <v>11</v>
      </c>
      <c r="C16" s="273" t="str">
        <f>'Program Descriptions'!C15</f>
        <v>Discont'd Comm Solutions</v>
      </c>
      <c r="D16" s="284">
        <v>0</v>
      </c>
      <c r="E16" s="284">
        <v>0</v>
      </c>
      <c r="G16" s="284">
        <v>0</v>
      </c>
      <c r="H16" s="684" t="str">
        <f>IF(ISBLANK('Savings &amp; Participants'!H16),"",'Savings &amp; Participants'!H16)</f>
        <v/>
      </c>
      <c r="I16" s="684"/>
      <c r="K16" s="4"/>
      <c r="N16" s="333">
        <f t="shared" si="0"/>
        <v>0</v>
      </c>
    </row>
    <row r="17" spans="2:14" ht="15" customHeight="1" x14ac:dyDescent="0.2">
      <c r="B17" s="272">
        <v>12</v>
      </c>
      <c r="C17" s="273" t="str">
        <f>'Program Descriptions'!C16</f>
        <v>Discont'd Res Appliance</v>
      </c>
      <c r="D17" s="284">
        <v>0</v>
      </c>
      <c r="E17" s="284">
        <v>0</v>
      </c>
      <c r="G17" s="284">
        <v>0</v>
      </c>
      <c r="H17" s="684" t="str">
        <f>IF(ISBLANK('Savings &amp; Participants'!H17),"",'Savings &amp; Participants'!H17)</f>
        <v/>
      </c>
      <c r="I17" s="684"/>
      <c r="K17" s="4"/>
      <c r="N17" s="333">
        <f t="shared" si="0"/>
        <v>0</v>
      </c>
    </row>
    <row r="18" spans="2:14" ht="15" customHeight="1" x14ac:dyDescent="0.2">
      <c r="B18" s="272">
        <v>13</v>
      </c>
      <c r="C18" s="273" t="str">
        <f>'Program Descriptions'!C17</f>
        <v>Discont'd Res Solutions</v>
      </c>
      <c r="D18" s="284">
        <v>0</v>
      </c>
      <c r="E18" s="284">
        <v>0</v>
      </c>
      <c r="G18" s="284">
        <v>0</v>
      </c>
      <c r="H18" s="684" t="str">
        <f>IF(ISBLANK('Savings &amp; Participants'!H18),"",'Savings &amp; Participants'!H18)</f>
        <v/>
      </c>
      <c r="I18" s="684"/>
      <c r="K18" s="4"/>
      <c r="N18" s="333">
        <f t="shared" si="0"/>
        <v>0</v>
      </c>
    </row>
    <row r="19" spans="2:14" ht="15" customHeight="1" x14ac:dyDescent="0.2">
      <c r="B19" s="272">
        <v>14</v>
      </c>
      <c r="C19" s="273" t="str">
        <f>'Program Descriptions'!C18</f>
        <v>Discont'd R ES Appliance</v>
      </c>
      <c r="D19" s="284">
        <v>0</v>
      </c>
      <c r="E19" s="284">
        <v>0</v>
      </c>
      <c r="G19" s="284">
        <v>0</v>
      </c>
      <c r="H19" s="684" t="str">
        <f>IF(ISBLANK('Savings &amp; Participants'!H19),"",'Savings &amp; Participants'!H19)</f>
        <v/>
      </c>
      <c r="I19" s="684"/>
      <c r="K19" s="4"/>
      <c r="N19" s="333">
        <f t="shared" si="0"/>
        <v>0</v>
      </c>
    </row>
    <row r="20" spans="2:14" ht="15" customHeight="1" x14ac:dyDescent="0.2">
      <c r="B20" s="272">
        <v>15</v>
      </c>
      <c r="C20" s="273" t="str">
        <f>'Program Descriptions'!C19</f>
        <v>Discont'd ARWX (AWIP)</v>
      </c>
      <c r="D20" s="284">
        <v>0</v>
      </c>
      <c r="E20" s="284">
        <v>0</v>
      </c>
      <c r="G20" s="284">
        <v>0</v>
      </c>
      <c r="H20" s="684" t="str">
        <f>IF(ISBLANK('Savings &amp; Participants'!H20),"",'Savings &amp; Participants'!H20)</f>
        <v/>
      </c>
      <c r="I20" s="684"/>
      <c r="K20" s="4"/>
      <c r="N20" s="333">
        <f t="shared" si="0"/>
        <v>0</v>
      </c>
    </row>
    <row r="21" spans="2:14" ht="15" customHeight="1" x14ac:dyDescent="0.2">
      <c r="B21" s="272">
        <v>16</v>
      </c>
      <c r="C21" s="273" t="str">
        <f>'Program Descriptions'!C20</f>
        <v>New Construction (NCP)</v>
      </c>
      <c r="D21" s="284">
        <v>72.8</v>
      </c>
      <c r="E21" s="284">
        <v>482893</v>
      </c>
      <c r="G21" s="284">
        <v>48</v>
      </c>
      <c r="H21" s="684" t="str">
        <f>IF(ISBLANK('Savings &amp; Participants'!H21),"",'Savings &amp; Participants'!H21)</f>
        <v>Projects</v>
      </c>
      <c r="I21" s="684"/>
      <c r="K21" s="4"/>
      <c r="N21" s="333">
        <f t="shared" si="0"/>
        <v>0</v>
      </c>
    </row>
    <row r="22" spans="2:14" ht="15" customHeight="1" x14ac:dyDescent="0.2">
      <c r="B22" s="272">
        <v>17</v>
      </c>
      <c r="C22" s="273" t="str">
        <f>'Program Descriptions'!C21</f>
        <v>Strat Energy Mgmt (SEMP)</v>
      </c>
      <c r="D22" s="284">
        <v>894.55</v>
      </c>
      <c r="E22" s="284">
        <v>14670946</v>
      </c>
      <c r="G22" s="284">
        <v>17</v>
      </c>
      <c r="H22" s="684" t="str">
        <f>IF(ISBLANK('Savings &amp; Participants'!H22),"",'Savings &amp; Participants'!H22)</f>
        <v>Accounts</v>
      </c>
      <c r="I22" s="684"/>
      <c r="K22" s="4"/>
      <c r="N22" s="333">
        <f t="shared" si="0"/>
        <v>0</v>
      </c>
    </row>
    <row r="23" spans="2:14" ht="15" customHeight="1" x14ac:dyDescent="0.2">
      <c r="B23" s="272">
        <v>18</v>
      </c>
      <c r="C23" s="273" t="str">
        <f>'Program Descriptions'!C22</f>
        <v>Bring Y/Otstat (BYOT)</v>
      </c>
      <c r="D23" s="284">
        <v>3228.35</v>
      </c>
      <c r="E23" s="284">
        <v>16677</v>
      </c>
      <c r="G23" s="284">
        <v>2177</v>
      </c>
      <c r="H23" s="684" t="str">
        <f>IF(ISBLANK('Savings &amp; Participants'!H23),"",'Savings &amp; Participants'!H23)</f>
        <v>Customer</v>
      </c>
      <c r="I23" s="684"/>
      <c r="K23" s="4"/>
      <c r="N23" s="333">
        <f t="shared" si="0"/>
        <v>0</v>
      </c>
    </row>
    <row r="24" spans="2:14" ht="15" customHeight="1" x14ac:dyDescent="0.2">
      <c r="B24" s="272">
        <v>19</v>
      </c>
      <c r="C24" s="273" t="str">
        <f>'Program Descriptions'!C23</f>
        <v>Empty</v>
      </c>
      <c r="D24" s="284">
        <v>0</v>
      </c>
      <c r="E24" s="284">
        <v>0</v>
      </c>
      <c r="G24" s="284">
        <v>0</v>
      </c>
      <c r="H24" s="684" t="str">
        <f>IF(ISBLANK('Savings &amp; Participants'!H24),"",'Savings &amp; Participants'!H24)</f>
        <v/>
      </c>
      <c r="I24" s="684"/>
      <c r="K24" s="4"/>
      <c r="N24" s="333">
        <f t="shared" si="0"/>
        <v>0</v>
      </c>
    </row>
    <row r="25" spans="2:14" ht="15" customHeight="1" thickBot="1" x14ac:dyDescent="0.25">
      <c r="B25" s="272">
        <v>20</v>
      </c>
      <c r="C25" s="273" t="str">
        <f>'Program Descriptions'!C24</f>
        <v>Empty</v>
      </c>
      <c r="D25" s="284">
        <v>0</v>
      </c>
      <c r="E25" s="284">
        <v>0</v>
      </c>
      <c r="G25" s="284">
        <v>0</v>
      </c>
      <c r="H25" s="684" t="str">
        <f>IF(ISBLANK('Savings &amp; Participants'!H25),"",'Savings &amp; Participants'!H25)</f>
        <v/>
      </c>
      <c r="I25" s="684"/>
      <c r="K25" s="4"/>
      <c r="N25" s="333">
        <f t="shared" si="0"/>
        <v>0</v>
      </c>
    </row>
    <row r="26" spans="2:14" ht="15" customHeight="1" x14ac:dyDescent="0.2">
      <c r="B26" s="3"/>
      <c r="C26" s="277" t="s">
        <v>183</v>
      </c>
      <c r="D26" s="16">
        <f>SUM(D6:D25)</f>
        <v>17476.779999999995</v>
      </c>
      <c r="E26" s="16">
        <f>SUM(E6:E25)</f>
        <v>44577760</v>
      </c>
      <c r="G26" s="16">
        <f>SUM(G6:G25)</f>
        <v>141263</v>
      </c>
      <c r="K26" s="4"/>
      <c r="N26" s="2">
        <f>SUM(N6:N25)</f>
        <v>0</v>
      </c>
    </row>
    <row r="27" spans="2:14" ht="15" customHeight="1" x14ac:dyDescent="0.2">
      <c r="B27" s="5"/>
      <c r="C27" s="6"/>
      <c r="D27" s="6"/>
      <c r="E27" s="6"/>
      <c r="F27" s="6"/>
      <c r="G27" s="6"/>
      <c r="H27" s="6"/>
      <c r="I27" s="6"/>
      <c r="J27" s="6"/>
      <c r="K27" s="7"/>
    </row>
    <row r="28" spans="2:14" ht="15" customHeight="1" x14ac:dyDescent="0.2">
      <c r="C28" s="2" t="s">
        <v>425</v>
      </c>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sheetData>
  <sheetProtection password="C925" sheet="1" objects="1" scenarios="1" formatColumns="0"/>
  <mergeCells count="20">
    <mergeCell ref="H24:I24"/>
    <mergeCell ref="H25:I25"/>
    <mergeCell ref="H18:I18"/>
    <mergeCell ref="H19:I19"/>
    <mergeCell ref="H20:I20"/>
    <mergeCell ref="H21:I21"/>
    <mergeCell ref="H22:I22"/>
    <mergeCell ref="H23:I23"/>
    <mergeCell ref="H17:I17"/>
    <mergeCell ref="H6:I6"/>
    <mergeCell ref="H7:I7"/>
    <mergeCell ref="H8:I8"/>
    <mergeCell ref="H9:I9"/>
    <mergeCell ref="H10:I10"/>
    <mergeCell ref="H11:I11"/>
    <mergeCell ref="H12:I12"/>
    <mergeCell ref="H13:I13"/>
    <mergeCell ref="H14:I14"/>
    <mergeCell ref="H15:I15"/>
    <mergeCell ref="H16:I16"/>
  </mergeCells>
  <conditionalFormatting sqref="D6:D25">
    <cfRule type="expression" dxfId="24" priority="70">
      <formula>Demand_1=NG_Demand</formula>
    </cfRule>
  </conditionalFormatting>
  <conditionalFormatting sqref="D6:E25 G6:H25">
    <cfRule type="expression" dxfId="23" priority="1">
      <formula>$B6&gt;Programs</formula>
    </cfRule>
  </conditionalFormatting>
  <pageMargins left="0.25" right="0.25" top="0.25" bottom="0.2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B1:N29"/>
  <sheetViews>
    <sheetView showGridLines="0" showRowColHeaders="0" zoomScaleNormal="100" workbookViewId="0">
      <selection activeCell="M32" sqref="M32:M33"/>
    </sheetView>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8" width="17.140625" style="2" customWidth="1"/>
    <col min="9" max="9" width="7.85546875" style="2" customWidth="1"/>
    <col min="10" max="10" width="7.140625" style="2" customWidth="1"/>
    <col min="11" max="11" width="6.85546875" style="2" customWidth="1"/>
    <col min="12" max="12" width="1" style="2" customWidth="1"/>
    <col min="13" max="13" width="9.140625" style="2"/>
    <col min="14" max="14" width="0" style="2" hidden="1" customWidth="1"/>
    <col min="15" max="16384" width="9.140625" style="2"/>
  </cols>
  <sheetData>
    <row r="1" spans="2:14" ht="5.0999999999999996" customHeight="1" thickBot="1" x14ac:dyDescent="0.25"/>
    <row r="2" spans="2:14" ht="38.25" customHeight="1" thickBot="1" x14ac:dyDescent="0.25">
      <c r="B2" s="671" t="s">
        <v>426</v>
      </c>
      <c r="C2" s="671"/>
      <c r="D2" s="671"/>
      <c r="E2" s="671"/>
      <c r="F2" s="671"/>
      <c r="G2" s="671"/>
      <c r="H2" s="671"/>
      <c r="I2" s="671"/>
      <c r="J2" s="671"/>
      <c r="K2" s="671"/>
    </row>
    <row r="3" spans="2:14" x14ac:dyDescent="0.2">
      <c r="B3" s="511"/>
      <c r="C3" s="347"/>
      <c r="D3" s="350" t="str">
        <f>IF(N26&gt;0,"Incomplete - All 'yellow' shaded cells must be completed.","")</f>
        <v>Incomplete - All 'yellow' shaded cells must be completed.</v>
      </c>
      <c r="E3" s="347"/>
      <c r="F3" s="347"/>
      <c r="G3" s="347"/>
      <c r="H3" s="347"/>
      <c r="I3" s="347"/>
      <c r="J3" s="347"/>
      <c r="K3" s="512"/>
    </row>
    <row r="4" spans="2:14" x14ac:dyDescent="0.2">
      <c r="B4" s="3"/>
      <c r="E4" s="29" t="s">
        <v>427</v>
      </c>
      <c r="F4" s="29" t="s">
        <v>428</v>
      </c>
      <c r="G4" s="29" t="s">
        <v>429</v>
      </c>
      <c r="H4" s="29" t="s">
        <v>430</v>
      </c>
      <c r="K4" s="4"/>
    </row>
    <row r="5" spans="2:14" x14ac:dyDescent="0.2">
      <c r="B5" s="3"/>
      <c r="D5" s="10" t="s">
        <v>93</v>
      </c>
      <c r="E5" s="29" t="str">
        <f>"("&amp;Energy_1&amp;")"</f>
        <v>(kWh)</v>
      </c>
      <c r="F5" s="29" t="str">
        <f>E5</f>
        <v>(kWh)</v>
      </c>
      <c r="G5" s="29" t="str">
        <f>E5</f>
        <v>(kWh)</v>
      </c>
      <c r="H5" s="29" t="str">
        <f>E5</f>
        <v>(kWh)</v>
      </c>
      <c r="I5" s="29"/>
      <c r="J5" s="29"/>
      <c r="K5" s="4"/>
    </row>
    <row r="6" spans="2:14" x14ac:dyDescent="0.2">
      <c r="B6" s="272"/>
      <c r="C6" s="280">
        <v>1</v>
      </c>
      <c r="D6" s="273" t="str">
        <f>'Program Descriptions'!C5</f>
        <v>Load Mgt (LMP)</v>
      </c>
      <c r="E6" s="284">
        <v>166783</v>
      </c>
      <c r="F6" s="284">
        <v>0</v>
      </c>
      <c r="G6" s="284">
        <v>0</v>
      </c>
      <c r="H6" s="18">
        <f>E6+F6+G6</f>
        <v>166783</v>
      </c>
      <c r="I6" s="64"/>
      <c r="J6" s="64"/>
      <c r="K6" s="63"/>
      <c r="N6" s="333">
        <f>IF(C6="Empty",0,IF('Evaluated Savings'!E6-'Savings Methodology'!H6&lt;&gt;0,1,0))</f>
        <v>0</v>
      </c>
    </row>
    <row r="7" spans="2:14" x14ac:dyDescent="0.2">
      <c r="B7" s="272"/>
      <c r="C7" s="280">
        <v>2</v>
      </c>
      <c r="D7" s="273" t="str">
        <f>'Program Descriptions'!C6</f>
        <v>Comm &amp; Industrial (CIEEP)</v>
      </c>
      <c r="E7" s="284">
        <v>3003253</v>
      </c>
      <c r="F7" s="284">
        <v>5688020</v>
      </c>
      <c r="G7" s="284">
        <v>0</v>
      </c>
      <c r="H7" s="18">
        <f>E7+F7+G7</f>
        <v>8691273</v>
      </c>
      <c r="I7" s="64"/>
      <c r="J7" s="64"/>
      <c r="K7" s="63"/>
      <c r="N7" s="333">
        <f>IF(C7="Empty",0,IF('Evaluated Savings'!E7-'Savings Methodology'!H7&lt;&gt;0,1,0))</f>
        <v>1</v>
      </c>
    </row>
    <row r="8" spans="2:14" x14ac:dyDescent="0.2">
      <c r="B8" s="272"/>
      <c r="C8" s="280">
        <v>3</v>
      </c>
      <c r="D8" s="273" t="str">
        <f>'Program Descriptions'!C7</f>
        <v>Small Business (SBP)</v>
      </c>
      <c r="E8" s="284">
        <v>3944789</v>
      </c>
      <c r="F8" s="284">
        <v>216529</v>
      </c>
      <c r="G8" s="284">
        <v>0</v>
      </c>
      <c r="H8" s="18">
        <f t="shared" ref="H8:H25" si="0">E8+F8+G8</f>
        <v>4161318</v>
      </c>
      <c r="I8" s="64"/>
      <c r="J8" s="64"/>
      <c r="K8" s="63"/>
      <c r="N8" s="333">
        <f>IF(C8="Empty",0,IF('Evaluated Savings'!E8-'Savings Methodology'!H8&lt;&gt;0,1,0))</f>
        <v>1</v>
      </c>
    </row>
    <row r="9" spans="2:14" x14ac:dyDescent="0.2">
      <c r="B9" s="272"/>
      <c r="C9" s="280">
        <v>4</v>
      </c>
      <c r="D9" s="273" t="str">
        <f>'Program Descriptions'!C8</f>
        <v>Efficient Products (EPP)</v>
      </c>
      <c r="E9" s="284">
        <v>3792328</v>
      </c>
      <c r="F9" s="284">
        <v>0</v>
      </c>
      <c r="G9" s="284">
        <v>0</v>
      </c>
      <c r="H9" s="18">
        <f t="shared" si="0"/>
        <v>3792328</v>
      </c>
      <c r="I9" s="64"/>
      <c r="J9" s="64"/>
      <c r="K9" s="63"/>
      <c r="N9" s="333">
        <f>IF(C9="Empty",0,IF('Evaluated Savings'!E9-'Savings Methodology'!H9&lt;&gt;0,1,0))</f>
        <v>0</v>
      </c>
    </row>
    <row r="10" spans="2:14" x14ac:dyDescent="0.2">
      <c r="B10" s="272"/>
      <c r="C10" s="280">
        <v>5</v>
      </c>
      <c r="D10" s="273" t="str">
        <f>'Program Descriptions'!C9</f>
        <v>Res Energy Imprv (REIP)</v>
      </c>
      <c r="E10" s="284">
        <v>7045193</v>
      </c>
      <c r="F10" s="284">
        <v>743033</v>
      </c>
      <c r="G10" s="284">
        <v>0</v>
      </c>
      <c r="H10" s="18">
        <f t="shared" si="0"/>
        <v>7788226</v>
      </c>
      <c r="I10" s="64"/>
      <c r="J10" s="64"/>
      <c r="K10" s="63"/>
      <c r="N10" s="333">
        <f>IF(C10="Empty",0,IF('Evaluated Savings'!E10-'Savings Methodology'!H10&lt;&gt;0,1,0))</f>
        <v>0</v>
      </c>
    </row>
    <row r="11" spans="2:14" x14ac:dyDescent="0.2">
      <c r="B11" s="272"/>
      <c r="C11" s="280">
        <v>6</v>
      </c>
      <c r="D11" s="273" t="str">
        <f>'Program Descriptions'!C10</f>
        <v>Home Weatherization (HWP)</v>
      </c>
      <c r="E11" s="284">
        <v>3106874</v>
      </c>
      <c r="F11" s="284">
        <v>0</v>
      </c>
      <c r="G11" s="284">
        <v>0</v>
      </c>
      <c r="H11" s="18">
        <f t="shared" si="0"/>
        <v>3106874</v>
      </c>
      <c r="I11" s="64"/>
      <c r="J11" s="64"/>
      <c r="K11" s="63"/>
      <c r="N11" s="333">
        <f>IF(C11="Empty",0,IF('Evaluated Savings'!E11-'Savings Methodology'!H11&lt;&gt;0,1,0))</f>
        <v>0</v>
      </c>
    </row>
    <row r="12" spans="2:14" x14ac:dyDescent="0.2">
      <c r="B12" s="272"/>
      <c r="C12" s="280">
        <v>7</v>
      </c>
      <c r="D12" s="273" t="str">
        <f>'Program Descriptions'!C11</f>
        <v>Discont'd EE AR (EEA)</v>
      </c>
      <c r="E12" s="284">
        <v>0</v>
      </c>
      <c r="F12" s="284">
        <v>0</v>
      </c>
      <c r="G12" s="284">
        <v>0</v>
      </c>
      <c r="H12" s="18">
        <f t="shared" si="0"/>
        <v>0</v>
      </c>
      <c r="I12" s="64"/>
      <c r="J12" s="64"/>
      <c r="K12" s="63"/>
      <c r="N12" s="333">
        <f>IF(C12="Empty",0,IF('Evaluated Savings'!E12-'Savings Methodology'!H12&lt;&gt;0,1,0))</f>
        <v>0</v>
      </c>
    </row>
    <row r="13" spans="2:14" x14ac:dyDescent="0.2">
      <c r="B13" s="272"/>
      <c r="C13" s="280">
        <v>8</v>
      </c>
      <c r="D13" s="273" t="str">
        <f>'Program Descriptions'!C12</f>
        <v>Discont'd Onlne Audt(OLA)</v>
      </c>
      <c r="E13" s="284">
        <v>0</v>
      </c>
      <c r="F13" s="284">
        <v>0</v>
      </c>
      <c r="G13" s="284">
        <v>0</v>
      </c>
      <c r="H13" s="18">
        <f t="shared" si="0"/>
        <v>0</v>
      </c>
      <c r="I13" s="64"/>
      <c r="J13" s="64"/>
      <c r="K13" s="63"/>
      <c r="N13" s="333">
        <f>IF(C13="Empty",0,IF('Evaluated Savings'!E13-'Savings Methodology'!H13&lt;&gt;0,1,0))</f>
        <v>0</v>
      </c>
    </row>
    <row r="14" spans="2:14" x14ac:dyDescent="0.2">
      <c r="B14" s="272"/>
      <c r="C14" s="280">
        <v>9</v>
      </c>
      <c r="D14" s="273" t="str">
        <f>'Program Descriptions'!C13</f>
        <v>Income Qualified (IQW)</v>
      </c>
      <c r="E14" s="284">
        <v>1548448</v>
      </c>
      <c r="F14" s="284">
        <v>151994</v>
      </c>
      <c r="G14" s="284">
        <v>0</v>
      </c>
      <c r="H14" s="18">
        <f t="shared" si="0"/>
        <v>1700442</v>
      </c>
      <c r="I14" s="64"/>
      <c r="J14" s="64"/>
      <c r="K14" s="63"/>
      <c r="N14" s="333">
        <f>IF(C14="Empty",0,IF('Evaluated Savings'!E14-'Savings Methodology'!H14&lt;&gt;0,1,0))</f>
        <v>0</v>
      </c>
    </row>
    <row r="15" spans="2:14" x14ac:dyDescent="0.2">
      <c r="B15" s="272"/>
      <c r="C15" s="280">
        <v>10</v>
      </c>
      <c r="D15" s="273" t="str">
        <f>'Program Descriptions'!C14</f>
        <v>Discont'd Ele Veh (EVE)</v>
      </c>
      <c r="E15" s="284">
        <v>0</v>
      </c>
      <c r="F15" s="284">
        <v>0</v>
      </c>
      <c r="G15" s="284">
        <v>0</v>
      </c>
      <c r="H15" s="18">
        <f t="shared" si="0"/>
        <v>0</v>
      </c>
      <c r="I15" s="64"/>
      <c r="J15" s="64"/>
      <c r="K15" s="63"/>
      <c r="N15" s="333">
        <f>IF(C15="Empty",0,IF('Evaluated Savings'!E15-'Savings Methodology'!H15&lt;&gt;0,1,0))</f>
        <v>0</v>
      </c>
    </row>
    <row r="16" spans="2:14" x14ac:dyDescent="0.2">
      <c r="B16" s="272"/>
      <c r="C16" s="280">
        <v>11</v>
      </c>
      <c r="D16" s="273" t="str">
        <f>'Program Descriptions'!C15</f>
        <v>Discont'd Comm Solutions</v>
      </c>
      <c r="E16" s="284">
        <v>0</v>
      </c>
      <c r="F16" s="284">
        <v>0</v>
      </c>
      <c r="G16" s="284">
        <v>0</v>
      </c>
      <c r="H16" s="18">
        <f t="shared" si="0"/>
        <v>0</v>
      </c>
      <c r="I16" s="64"/>
      <c r="J16" s="64"/>
      <c r="K16" s="63"/>
      <c r="N16" s="333">
        <f>IF(C16="Empty",0,IF('Evaluated Savings'!E16-'Savings Methodology'!H16&lt;&gt;0,1,0))</f>
        <v>0</v>
      </c>
    </row>
    <row r="17" spans="2:14" x14ac:dyDescent="0.2">
      <c r="B17" s="272"/>
      <c r="C17" s="280">
        <v>12</v>
      </c>
      <c r="D17" s="273" t="str">
        <f>'Program Descriptions'!C16</f>
        <v>Discont'd Res Appliance</v>
      </c>
      <c r="E17" s="284">
        <v>0</v>
      </c>
      <c r="F17" s="284">
        <v>0</v>
      </c>
      <c r="G17" s="284">
        <v>0</v>
      </c>
      <c r="H17" s="18">
        <f t="shared" si="0"/>
        <v>0</v>
      </c>
      <c r="I17" s="64"/>
      <c r="J17" s="64"/>
      <c r="K17" s="63"/>
      <c r="N17" s="333">
        <f>IF(C17="Empty",0,IF('Evaluated Savings'!E17-'Savings Methodology'!H17&lt;&gt;0,1,0))</f>
        <v>0</v>
      </c>
    </row>
    <row r="18" spans="2:14" x14ac:dyDescent="0.2">
      <c r="B18" s="272"/>
      <c r="C18" s="280">
        <v>13</v>
      </c>
      <c r="D18" s="273" t="str">
        <f>'Program Descriptions'!C17</f>
        <v>Discont'd Res Solutions</v>
      </c>
      <c r="E18" s="284">
        <v>0</v>
      </c>
      <c r="F18" s="284">
        <v>0</v>
      </c>
      <c r="G18" s="284">
        <v>0</v>
      </c>
      <c r="H18" s="18">
        <f t="shared" si="0"/>
        <v>0</v>
      </c>
      <c r="I18" s="64"/>
      <c r="J18" s="64"/>
      <c r="K18" s="63"/>
      <c r="N18" s="333">
        <f>IF(C18="Empty",0,IF('Evaluated Savings'!E18-'Savings Methodology'!H18&lt;&gt;0,1,0))</f>
        <v>0</v>
      </c>
    </row>
    <row r="19" spans="2:14" x14ac:dyDescent="0.2">
      <c r="B19" s="272"/>
      <c r="C19" s="280">
        <v>14</v>
      </c>
      <c r="D19" s="273" t="str">
        <f>'Program Descriptions'!C18</f>
        <v>Discont'd R ES Appliance</v>
      </c>
      <c r="E19" s="284">
        <v>0</v>
      </c>
      <c r="F19" s="284">
        <v>0</v>
      </c>
      <c r="G19" s="284">
        <v>0</v>
      </c>
      <c r="H19" s="18">
        <f t="shared" si="0"/>
        <v>0</v>
      </c>
      <c r="I19" s="64"/>
      <c r="J19" s="64"/>
      <c r="K19" s="63"/>
      <c r="N19" s="333">
        <f>IF(C19="Empty",0,IF('Evaluated Savings'!E19-'Savings Methodology'!H19&lt;&gt;0,1,0))</f>
        <v>0</v>
      </c>
    </row>
    <row r="20" spans="2:14" x14ac:dyDescent="0.2">
      <c r="B20" s="272"/>
      <c r="C20" s="280">
        <v>15</v>
      </c>
      <c r="D20" s="273" t="str">
        <f>'Program Descriptions'!C19</f>
        <v>Discont'd ARWX (AWIP)</v>
      </c>
      <c r="E20" s="284">
        <v>0</v>
      </c>
      <c r="F20" s="284">
        <v>0</v>
      </c>
      <c r="G20" s="284">
        <v>0</v>
      </c>
      <c r="H20" s="18">
        <f t="shared" si="0"/>
        <v>0</v>
      </c>
      <c r="I20" s="64"/>
      <c r="J20" s="64"/>
      <c r="K20" s="63"/>
      <c r="N20" s="333">
        <f>IF(C20="Empty",0,IF('Evaluated Savings'!E20-'Savings Methodology'!H20&lt;&gt;0,1,0))</f>
        <v>0</v>
      </c>
    </row>
    <row r="21" spans="2:14" x14ac:dyDescent="0.2">
      <c r="B21" s="272"/>
      <c r="C21" s="280">
        <v>16</v>
      </c>
      <c r="D21" s="273" t="str">
        <f>'Program Descriptions'!C20</f>
        <v>New Construction (NCP)</v>
      </c>
      <c r="E21" s="284">
        <v>482893</v>
      </c>
      <c r="F21" s="284">
        <v>0</v>
      </c>
      <c r="G21" s="284">
        <v>0</v>
      </c>
      <c r="H21" s="18">
        <f t="shared" si="0"/>
        <v>482893</v>
      </c>
      <c r="I21" s="64"/>
      <c r="J21" s="64"/>
      <c r="K21" s="63"/>
      <c r="N21" s="333">
        <f>IF(C21="Empty",0,IF('Evaluated Savings'!E21-'Savings Methodology'!H21&lt;&gt;0,1,0))</f>
        <v>0</v>
      </c>
    </row>
    <row r="22" spans="2:14" x14ac:dyDescent="0.2">
      <c r="B22" s="272"/>
      <c r="C22" s="280">
        <v>17</v>
      </c>
      <c r="D22" s="273" t="str">
        <f>'Program Descriptions'!C21</f>
        <v>Strat Energy Mgmt (SEMP)</v>
      </c>
      <c r="E22" s="284">
        <v>14670946.300000001</v>
      </c>
      <c r="F22" s="284">
        <v>0</v>
      </c>
      <c r="G22" s="284">
        <v>0</v>
      </c>
      <c r="H22" s="18">
        <f t="shared" si="0"/>
        <v>14670946.300000001</v>
      </c>
      <c r="I22" s="64"/>
      <c r="J22" s="64"/>
      <c r="K22" s="63"/>
      <c r="N22" s="333">
        <f>IF(C22="Empty",0,IF('Evaluated Savings'!E22-'Savings Methodology'!H22&lt;&gt;0,1,0))</f>
        <v>1</v>
      </c>
    </row>
    <row r="23" spans="2:14" x14ac:dyDescent="0.2">
      <c r="B23" s="272"/>
      <c r="C23" s="280">
        <v>18</v>
      </c>
      <c r="D23" s="273" t="str">
        <f>'Program Descriptions'!C22</f>
        <v>Bring Y/Otstat (BYOT)</v>
      </c>
      <c r="E23" s="284">
        <v>16677</v>
      </c>
      <c r="F23" s="284">
        <v>0</v>
      </c>
      <c r="G23" s="284">
        <v>0</v>
      </c>
      <c r="H23" s="18">
        <f t="shared" si="0"/>
        <v>16677</v>
      </c>
      <c r="I23" s="64"/>
      <c r="J23" s="64"/>
      <c r="K23" s="63"/>
      <c r="N23" s="333">
        <f>IF(C23="Empty",0,IF('Evaluated Savings'!E23-'Savings Methodology'!H23&lt;&gt;0,1,0))</f>
        <v>0</v>
      </c>
    </row>
    <row r="24" spans="2:14" x14ac:dyDescent="0.2">
      <c r="B24" s="272"/>
      <c r="C24" s="280">
        <v>19</v>
      </c>
      <c r="D24" s="273" t="str">
        <f>'Program Descriptions'!C23</f>
        <v>Empty</v>
      </c>
      <c r="E24" s="284">
        <v>0</v>
      </c>
      <c r="F24" s="284">
        <v>0</v>
      </c>
      <c r="G24" s="284">
        <v>0</v>
      </c>
      <c r="H24" s="18">
        <f t="shared" si="0"/>
        <v>0</v>
      </c>
      <c r="I24" s="64"/>
      <c r="J24" s="64"/>
      <c r="K24" s="63"/>
      <c r="N24" s="333">
        <f>IF(C24="Empty",0,IF('Evaluated Savings'!E24-'Savings Methodology'!H24&lt;&gt;0,1,0))</f>
        <v>0</v>
      </c>
    </row>
    <row r="25" spans="2:14" ht="13.5" thickBot="1" x14ac:dyDescent="0.25">
      <c r="B25" s="272"/>
      <c r="C25" s="280">
        <v>20</v>
      </c>
      <c r="D25" s="273" t="str">
        <f>'Program Descriptions'!C24</f>
        <v>Empty</v>
      </c>
      <c r="E25" s="284">
        <v>0</v>
      </c>
      <c r="F25" s="284">
        <v>0</v>
      </c>
      <c r="G25" s="284">
        <v>0</v>
      </c>
      <c r="H25" s="18">
        <f t="shared" si="0"/>
        <v>0</v>
      </c>
      <c r="I25" s="64"/>
      <c r="J25" s="64"/>
      <c r="K25" s="63"/>
      <c r="N25" s="333">
        <f>IF(C25="Empty",0,IF('Evaluated Savings'!E25-'Savings Methodology'!H25&lt;&gt;0,1,0))</f>
        <v>0</v>
      </c>
    </row>
    <row r="26" spans="2:14" x14ac:dyDescent="0.2">
      <c r="B26" s="3"/>
      <c r="C26" s="30"/>
      <c r="D26" s="31" t="s">
        <v>196</v>
      </c>
      <c r="E26" s="16">
        <f>SUM(E6:E25)</f>
        <v>37778184.299999997</v>
      </c>
      <c r="F26" s="16">
        <f>SUM(F6:F25)</f>
        <v>6799576</v>
      </c>
      <c r="G26" s="16">
        <f>SUM(G6:G25)</f>
        <v>0</v>
      </c>
      <c r="H26" s="16">
        <f>SUM(H6:H25)</f>
        <v>44577760.299999997</v>
      </c>
      <c r="I26" s="33"/>
      <c r="J26" s="33"/>
      <c r="K26" s="4"/>
      <c r="N26" s="2">
        <f>SUM(N6:N25)</f>
        <v>3</v>
      </c>
    </row>
    <row r="27" spans="2:14" x14ac:dyDescent="0.2">
      <c r="B27" s="3"/>
      <c r="K27" s="4"/>
    </row>
    <row r="28" spans="2:14" x14ac:dyDescent="0.2">
      <c r="B28" s="3"/>
      <c r="K28" s="4"/>
    </row>
    <row r="29" spans="2:14" x14ac:dyDescent="0.2">
      <c r="B29" s="5"/>
      <c r="C29" s="6"/>
      <c r="D29" s="6"/>
      <c r="E29" s="6"/>
      <c r="F29" s="6"/>
      <c r="G29" s="6"/>
      <c r="H29" s="6"/>
      <c r="I29" s="6"/>
      <c r="J29" s="6"/>
      <c r="K29" s="7"/>
    </row>
  </sheetData>
  <sheetProtection password="C925" sheet="1" objects="1" scenarios="1" formatColumns="0"/>
  <mergeCells count="1">
    <mergeCell ref="B2:K2"/>
  </mergeCells>
  <conditionalFormatting sqref="E6:G25">
    <cfRule type="expression" dxfId="22" priority="1">
      <formula>$C6&gt;Programs</formula>
    </cfRule>
  </conditionalFormatting>
  <pageMargins left="0.25" right="0.25" top="0.5" bottom="0.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P115"/>
  <sheetViews>
    <sheetView showGridLines="0" zoomScaleNormal="100" workbookViewId="0">
      <pane ySplit="6" topLeftCell="A9" activePane="bottomLeft" state="frozen"/>
      <selection pane="bottomLeft" activeCell="S20" sqref="S20"/>
    </sheetView>
  </sheetViews>
  <sheetFormatPr defaultColWidth="9.140625" defaultRowHeight="12.75" x14ac:dyDescent="0.2"/>
  <cols>
    <col min="1" max="1" width="1" style="2" customWidth="1"/>
    <col min="2" max="2" width="3.85546875" style="2" customWidth="1"/>
    <col min="3" max="3" width="35.85546875" style="2" customWidth="1"/>
    <col min="4" max="4" width="12.140625" style="2" customWidth="1"/>
    <col min="5" max="5" width="9.140625" style="2"/>
    <col min="6" max="6" width="12.85546875" style="2" customWidth="1"/>
    <col min="7" max="9" width="11.140625" style="2" customWidth="1"/>
    <col min="10" max="10" width="9" style="2" customWidth="1"/>
    <col min="11" max="11" width="9" style="2" hidden="1" customWidth="1"/>
    <col min="12" max="12" width="13.85546875" style="2" customWidth="1"/>
    <col min="13" max="13" width="3.140625" style="2" customWidth="1"/>
    <col min="14" max="14" width="1" style="2" customWidth="1"/>
    <col min="15" max="15" width="9.140625" style="2"/>
    <col min="16" max="16" width="0" style="2" hidden="1" customWidth="1"/>
    <col min="17" max="16384" width="9.140625" style="2"/>
  </cols>
  <sheetData>
    <row r="1" spans="2:16" ht="28.5" customHeight="1" x14ac:dyDescent="0.2"/>
    <row r="2" spans="2:16" ht="64.5" customHeight="1" x14ac:dyDescent="0.2">
      <c r="B2" s="508"/>
      <c r="C2" s="509"/>
      <c r="D2" s="509"/>
      <c r="E2" s="509"/>
      <c r="F2" s="509"/>
      <c r="G2" s="509"/>
      <c r="H2" s="509"/>
      <c r="I2" s="509"/>
      <c r="J2" s="509"/>
      <c r="K2" s="509"/>
      <c r="L2" s="509"/>
      <c r="M2" s="510"/>
    </row>
    <row r="3" spans="2:16" ht="15" customHeight="1" thickBot="1" x14ac:dyDescent="0.25">
      <c r="B3" s="511"/>
      <c r="C3" s="350" t="str">
        <f>IF(P27&gt;0,"Incomplete - All 'yellow' shaded cells must be completed.","")</f>
        <v/>
      </c>
      <c r="D3" s="347"/>
      <c r="E3" s="347"/>
      <c r="F3" s="347"/>
      <c r="G3" s="347"/>
      <c r="H3" s="347"/>
      <c r="I3" s="347"/>
      <c r="J3" s="347"/>
      <c r="K3" s="347"/>
      <c r="L3" s="347"/>
      <c r="M3" s="512"/>
    </row>
    <row r="4" spans="2:16" ht="21" customHeight="1" x14ac:dyDescent="0.2">
      <c r="B4" s="3"/>
      <c r="D4" s="685" t="s">
        <v>431</v>
      </c>
      <c r="E4" s="686"/>
      <c r="F4" s="687"/>
      <c r="G4" s="685" t="s">
        <v>432</v>
      </c>
      <c r="H4" s="686"/>
      <c r="I4" s="686"/>
      <c r="J4" s="686"/>
      <c r="K4" s="686"/>
      <c r="L4" s="687"/>
      <c r="M4" s="4"/>
    </row>
    <row r="5" spans="2:16" ht="30.75" customHeight="1" x14ac:dyDescent="0.2">
      <c r="B5" s="3"/>
      <c r="D5" s="109" t="s">
        <v>433</v>
      </c>
      <c r="E5" s="529" t="s">
        <v>434</v>
      </c>
      <c r="F5" s="110" t="s">
        <v>435</v>
      </c>
      <c r="G5" s="109" t="s">
        <v>436</v>
      </c>
      <c r="H5" s="529" t="s">
        <v>437</v>
      </c>
      <c r="I5" s="529" t="s">
        <v>438</v>
      </c>
      <c r="J5" s="634" t="s">
        <v>439</v>
      </c>
      <c r="K5" s="688" t="s">
        <v>440</v>
      </c>
      <c r="L5" s="110" t="s">
        <v>441</v>
      </c>
      <c r="M5" s="4"/>
    </row>
    <row r="6" spans="2:16" ht="15" customHeight="1" x14ac:dyDescent="0.25">
      <c r="B6" s="3"/>
      <c r="C6" s="9" t="s">
        <v>93</v>
      </c>
      <c r="D6" s="111" t="str">
        <f>"("&amp;Titles!F13&amp;")"</f>
        <v>(kWh)</v>
      </c>
      <c r="E6" s="65" t="s">
        <v>442</v>
      </c>
      <c r="F6" s="112" t="str">
        <f>"("&amp;Titles!F14&amp;")"</f>
        <v>(MWh)</v>
      </c>
      <c r="G6" s="111" t="s">
        <v>443</v>
      </c>
      <c r="H6" s="65" t="s">
        <v>443</v>
      </c>
      <c r="I6" s="65" t="s">
        <v>443</v>
      </c>
      <c r="J6" s="65" t="s">
        <v>442</v>
      </c>
      <c r="K6" s="689"/>
      <c r="L6" s="112" t="str">
        <f>"($/"&amp;Titles!F13&amp;")"</f>
        <v>($/kWh)</v>
      </c>
      <c r="M6" s="4"/>
    </row>
    <row r="7" spans="2:16" ht="15" customHeight="1" x14ac:dyDescent="0.2">
      <c r="B7" s="272">
        <v>1</v>
      </c>
      <c r="C7" s="273" t="str">
        <f>'Program Descriptions'!C5</f>
        <v>Load Mgt (LMP)</v>
      </c>
      <c r="D7" s="113">
        <f>'Evaluated Savings'!E6</f>
        <v>166783</v>
      </c>
      <c r="E7" s="433">
        <v>100</v>
      </c>
      <c r="F7" s="530">
        <v>166.78299999999999</v>
      </c>
      <c r="G7" s="261">
        <v>366.87</v>
      </c>
      <c r="H7" s="516">
        <v>618.20899999999995</v>
      </c>
      <c r="I7" s="66">
        <f>H7-G7</f>
        <v>251.33899999999994</v>
      </c>
      <c r="J7" s="117">
        <f>IF(ISERROR(H7/G7),"n/a",H7/G7)</f>
        <v>1.6850900864066289</v>
      </c>
      <c r="K7" s="253">
        <f>IF($F$6="(MWh)",F7*1000/D7,F7/D7)</f>
        <v>1</v>
      </c>
      <c r="L7" s="154">
        <f t="shared" ref="L7:L27" si="0">IF(ISERROR(G7*1000*((Discount_Rate*(1+Discount_Rate)^(K7))/(((1+Discount_Rate)^(K7))-1))/D7),"n/a",G7*1000*((Discount_Rate*(1+Discount_Rate)^(K7))/(((1+Discount_Rate)^(K7))-1))/D7)</f>
        <v>2.3039496711295464</v>
      </c>
      <c r="M7" s="4"/>
      <c r="P7" s="333">
        <f>IF(C7="Empty",0,IF(OR(ISBLANK(E7),ISBLANK(F7),ISBLANK(G7),ISBLANK(H7)),1,0))</f>
        <v>0</v>
      </c>
    </row>
    <row r="8" spans="2:16" ht="15" customHeight="1" x14ac:dyDescent="0.2">
      <c r="B8" s="272">
        <v>2</v>
      </c>
      <c r="C8" s="273" t="str">
        <f>'Program Descriptions'!C6</f>
        <v>Comm &amp; Industrial (CIEEP)</v>
      </c>
      <c r="D8" s="113">
        <f>'Evaluated Savings'!E7</f>
        <v>8691274</v>
      </c>
      <c r="E8" s="433">
        <v>90.6</v>
      </c>
      <c r="F8" s="530">
        <v>127814.393</v>
      </c>
      <c r="G8" s="261">
        <v>4399.2529999999997</v>
      </c>
      <c r="H8" s="516">
        <v>5596.9120000000003</v>
      </c>
      <c r="I8" s="66">
        <f>H8-G8</f>
        <v>1197.6590000000006</v>
      </c>
      <c r="J8" s="117">
        <f>IF(ISERROR(H8/G8),"n/a",H8/G8)</f>
        <v>1.2722414464455671</v>
      </c>
      <c r="K8" s="253">
        <f>IF($F$6="(MWh)",F8*1000/D8,F8/D8)</f>
        <v>14.706059548922287</v>
      </c>
      <c r="L8" s="154">
        <f t="shared" si="0"/>
        <v>4.8575973103719493E-2</v>
      </c>
      <c r="M8" s="4"/>
      <c r="P8" s="333">
        <f t="shared" ref="P8:P26" si="1">IF(C8="Empty",0,IF(OR(ISBLANK(E8),ISBLANK(F8),ISBLANK(G8),ISBLANK(H8)),1,0))</f>
        <v>0</v>
      </c>
    </row>
    <row r="9" spans="2:16" ht="15" customHeight="1" x14ac:dyDescent="0.2">
      <c r="B9" s="272">
        <v>3</v>
      </c>
      <c r="C9" s="273" t="str">
        <f>'Program Descriptions'!C7</f>
        <v>Small Business (SBP)</v>
      </c>
      <c r="D9" s="113">
        <f>'Evaluated Savings'!E8</f>
        <v>4161317</v>
      </c>
      <c r="E9" s="433">
        <v>95.8</v>
      </c>
      <c r="F9" s="530">
        <v>45473.733</v>
      </c>
      <c r="G9" s="261">
        <v>1507.752</v>
      </c>
      <c r="H9" s="516">
        <v>2502.1550000000002</v>
      </c>
      <c r="I9" s="66">
        <f>H9-G9</f>
        <v>994.40300000000025</v>
      </c>
      <c r="J9" s="117">
        <f t="shared" ref="J9:J26" si="2">IF(ISERROR(H9/G9),"n/a",H9/G9)</f>
        <v>1.6595268983228013</v>
      </c>
      <c r="K9" s="253">
        <f>IF($F$6="(MWh)",F9*1000/D9,F9/D9)</f>
        <v>10.927726246282127</v>
      </c>
      <c r="L9" s="154">
        <f t="shared" si="0"/>
        <v>4.3244623189936021E-2</v>
      </c>
      <c r="M9" s="4"/>
      <c r="P9" s="333">
        <f t="shared" si="1"/>
        <v>0</v>
      </c>
    </row>
    <row r="10" spans="2:16" ht="15" customHeight="1" x14ac:dyDescent="0.2">
      <c r="B10" s="272">
        <v>4</v>
      </c>
      <c r="C10" s="273" t="str">
        <f>'Program Descriptions'!C8</f>
        <v>Efficient Products (EPP)</v>
      </c>
      <c r="D10" s="113">
        <f>'Evaluated Savings'!E9</f>
        <v>3792328</v>
      </c>
      <c r="E10" s="433">
        <v>81.5</v>
      </c>
      <c r="F10" s="530">
        <v>45597.411</v>
      </c>
      <c r="G10" s="261">
        <v>1002.715</v>
      </c>
      <c r="H10" s="516">
        <v>2356.4169999999999</v>
      </c>
      <c r="I10" s="66">
        <f>H10-G10</f>
        <v>1353.7019999999998</v>
      </c>
      <c r="J10" s="117">
        <f t="shared" si="2"/>
        <v>2.3500366504939088</v>
      </c>
      <c r="K10" s="253">
        <f t="shared" ref="K10:K27" si="3">IF($F$6="(MWh)",F10*1000/D10,F10/D10)</f>
        <v>12.023593687043947</v>
      </c>
      <c r="L10" s="154">
        <f t="shared" si="0"/>
        <v>2.9352760018344817E-2</v>
      </c>
      <c r="M10" s="4"/>
      <c r="P10" s="333">
        <f t="shared" si="1"/>
        <v>0</v>
      </c>
    </row>
    <row r="11" spans="2:16" ht="15" customHeight="1" x14ac:dyDescent="0.2">
      <c r="B11" s="272">
        <v>5</v>
      </c>
      <c r="C11" s="273" t="str">
        <f>'Program Descriptions'!C9</f>
        <v>Res Energy Imprv (REIP)</v>
      </c>
      <c r="D11" s="113">
        <f>'Evaluated Savings'!E10</f>
        <v>7788226</v>
      </c>
      <c r="E11" s="433">
        <v>95.7</v>
      </c>
      <c r="F11" s="530">
        <v>117124.44500000001</v>
      </c>
      <c r="G11" s="261">
        <v>2982.0630000000001</v>
      </c>
      <c r="H11" s="516">
        <v>4615.1509999999998</v>
      </c>
      <c r="I11" s="66">
        <f>H11-G11</f>
        <v>1633.0879999999997</v>
      </c>
      <c r="J11" s="117">
        <f t="shared" si="2"/>
        <v>1.5476369882192293</v>
      </c>
      <c r="K11" s="253">
        <f t="shared" si="3"/>
        <v>15.038655144316563</v>
      </c>
      <c r="L11" s="154">
        <f t="shared" si="0"/>
        <v>3.6178898194397867E-2</v>
      </c>
      <c r="M11" s="4"/>
      <c r="P11" s="333">
        <f t="shared" si="1"/>
        <v>0</v>
      </c>
    </row>
    <row r="12" spans="2:16" ht="15" customHeight="1" x14ac:dyDescent="0.2">
      <c r="B12" s="272">
        <v>6</v>
      </c>
      <c r="C12" s="273" t="str">
        <f>'Program Descriptions'!C10</f>
        <v>Home Weatherization (HWP)</v>
      </c>
      <c r="D12" s="113">
        <f>'Evaluated Savings'!E11</f>
        <v>3106874</v>
      </c>
      <c r="E12" s="433">
        <v>99</v>
      </c>
      <c r="F12" s="530">
        <v>72756.159</v>
      </c>
      <c r="G12" s="261">
        <v>2069.826</v>
      </c>
      <c r="H12" s="516">
        <v>4858.973</v>
      </c>
      <c r="I12" s="66">
        <f t="shared" ref="I12:I20" si="4">H12-G12</f>
        <v>2789.1469999999999</v>
      </c>
      <c r="J12" s="117">
        <f t="shared" si="2"/>
        <v>2.3475272800708851</v>
      </c>
      <c r="K12" s="253">
        <f t="shared" si="3"/>
        <v>23.417801623110559</v>
      </c>
      <c r="L12" s="154">
        <f t="shared" si="0"/>
        <v>4.7706448672980427E-2</v>
      </c>
      <c r="M12" s="4"/>
      <c r="P12" s="333">
        <f t="shared" si="1"/>
        <v>0</v>
      </c>
    </row>
    <row r="13" spans="2:16" ht="15" customHeight="1" x14ac:dyDescent="0.2">
      <c r="B13" s="272">
        <v>7</v>
      </c>
      <c r="C13" s="273" t="str">
        <f>'Program Descriptions'!C11</f>
        <v>Discont'd EE AR (EEA)</v>
      </c>
      <c r="D13" s="113">
        <f>'Evaluated Savings'!E12</f>
        <v>0</v>
      </c>
      <c r="E13" s="433">
        <v>0</v>
      </c>
      <c r="F13" s="530">
        <v>0</v>
      </c>
      <c r="G13" s="261">
        <v>0</v>
      </c>
      <c r="H13" s="516">
        <v>0</v>
      </c>
      <c r="I13" s="66">
        <f t="shared" si="4"/>
        <v>0</v>
      </c>
      <c r="J13" s="117" t="str">
        <f t="shared" si="2"/>
        <v>n/a</v>
      </c>
      <c r="K13" s="253" t="e">
        <f t="shared" si="3"/>
        <v>#DIV/0!</v>
      </c>
      <c r="L13" s="154" t="str">
        <f t="shared" si="0"/>
        <v>n/a</v>
      </c>
      <c r="M13" s="4"/>
      <c r="P13" s="333">
        <f t="shared" si="1"/>
        <v>0</v>
      </c>
    </row>
    <row r="14" spans="2:16" ht="15" customHeight="1" x14ac:dyDescent="0.2">
      <c r="B14" s="272">
        <v>8</v>
      </c>
      <c r="C14" s="273" t="str">
        <f>'Program Descriptions'!C12</f>
        <v>Discont'd Onlne Audt(OLA)</v>
      </c>
      <c r="D14" s="113">
        <f>'Evaluated Savings'!E13</f>
        <v>0</v>
      </c>
      <c r="E14" s="433">
        <v>0</v>
      </c>
      <c r="F14" s="530">
        <v>0</v>
      </c>
      <c r="G14" s="261">
        <v>0</v>
      </c>
      <c r="H14" s="516">
        <v>0</v>
      </c>
      <c r="I14" s="66">
        <f t="shared" si="4"/>
        <v>0</v>
      </c>
      <c r="J14" s="117" t="str">
        <f t="shared" si="2"/>
        <v>n/a</v>
      </c>
      <c r="K14" s="253" t="e">
        <f t="shared" si="3"/>
        <v>#DIV/0!</v>
      </c>
      <c r="L14" s="154" t="str">
        <f t="shared" si="0"/>
        <v>n/a</v>
      </c>
      <c r="M14" s="4"/>
      <c r="P14" s="333">
        <f t="shared" si="1"/>
        <v>0</v>
      </c>
    </row>
    <row r="15" spans="2:16" ht="15" customHeight="1" x14ac:dyDescent="0.2">
      <c r="B15" s="272">
        <v>9</v>
      </c>
      <c r="C15" s="273" t="str">
        <f>'Program Descriptions'!C13</f>
        <v>Income Qualified (IQW)</v>
      </c>
      <c r="D15" s="113">
        <f>'Evaluated Savings'!E14</f>
        <v>1700442</v>
      </c>
      <c r="E15" s="433">
        <v>100</v>
      </c>
      <c r="F15" s="530">
        <v>32264.522000000001</v>
      </c>
      <c r="G15" s="261">
        <v>1110.9390000000001</v>
      </c>
      <c r="H15" s="516">
        <v>2465.4940000000001</v>
      </c>
      <c r="I15" s="66">
        <f t="shared" si="4"/>
        <v>1354.5550000000001</v>
      </c>
      <c r="J15" s="117">
        <f t="shared" si="2"/>
        <v>2.2192883677681672</v>
      </c>
      <c r="K15" s="253">
        <f t="shared" si="3"/>
        <v>18.97419729693809</v>
      </c>
      <c r="L15" s="154">
        <f t="shared" si="0"/>
        <v>5.2964706420890954E-2</v>
      </c>
      <c r="M15" s="4"/>
      <c r="P15" s="333">
        <f t="shared" si="1"/>
        <v>0</v>
      </c>
    </row>
    <row r="16" spans="2:16" ht="15" customHeight="1" x14ac:dyDescent="0.2">
      <c r="B16" s="272">
        <v>10</v>
      </c>
      <c r="C16" s="273" t="str">
        <f>'Program Descriptions'!C14</f>
        <v>Discont'd Ele Veh (EVE)</v>
      </c>
      <c r="D16" s="113">
        <f>'Evaluated Savings'!E15</f>
        <v>0</v>
      </c>
      <c r="E16" s="433">
        <v>0</v>
      </c>
      <c r="F16" s="530">
        <v>0</v>
      </c>
      <c r="G16" s="261">
        <v>0</v>
      </c>
      <c r="H16" s="516">
        <v>0</v>
      </c>
      <c r="I16" s="66">
        <f t="shared" si="4"/>
        <v>0</v>
      </c>
      <c r="J16" s="117" t="str">
        <f t="shared" si="2"/>
        <v>n/a</v>
      </c>
      <c r="K16" s="253" t="e">
        <f t="shared" si="3"/>
        <v>#DIV/0!</v>
      </c>
      <c r="L16" s="154" t="str">
        <f t="shared" si="0"/>
        <v>n/a</v>
      </c>
      <c r="M16" s="4"/>
      <c r="P16" s="333">
        <f t="shared" si="1"/>
        <v>0</v>
      </c>
    </row>
    <row r="17" spans="2:16" ht="15" customHeight="1" x14ac:dyDescent="0.2">
      <c r="B17" s="272">
        <v>11</v>
      </c>
      <c r="C17" s="273" t="str">
        <f>'Program Descriptions'!C15</f>
        <v>Discont'd Comm Solutions</v>
      </c>
      <c r="D17" s="113">
        <f>'Evaluated Savings'!E16</f>
        <v>0</v>
      </c>
      <c r="E17" s="433">
        <v>0</v>
      </c>
      <c r="F17" s="530">
        <v>0</v>
      </c>
      <c r="G17" s="261">
        <v>0</v>
      </c>
      <c r="H17" s="516">
        <v>0</v>
      </c>
      <c r="I17" s="66">
        <f t="shared" si="4"/>
        <v>0</v>
      </c>
      <c r="J17" s="117" t="str">
        <f t="shared" si="2"/>
        <v>n/a</v>
      </c>
      <c r="K17" s="253" t="e">
        <f t="shared" si="3"/>
        <v>#DIV/0!</v>
      </c>
      <c r="L17" s="154" t="str">
        <f t="shared" si="0"/>
        <v>n/a</v>
      </c>
      <c r="M17" s="4"/>
      <c r="P17" s="333">
        <f t="shared" si="1"/>
        <v>0</v>
      </c>
    </row>
    <row r="18" spans="2:16" ht="15" customHeight="1" x14ac:dyDescent="0.2">
      <c r="B18" s="272">
        <v>12</v>
      </c>
      <c r="C18" s="273" t="str">
        <f>'Program Descriptions'!C16</f>
        <v>Discont'd Res Appliance</v>
      </c>
      <c r="D18" s="113">
        <f>'Evaluated Savings'!E17</f>
        <v>0</v>
      </c>
      <c r="E18" s="433">
        <v>0</v>
      </c>
      <c r="F18" s="530">
        <v>0</v>
      </c>
      <c r="G18" s="261">
        <v>0</v>
      </c>
      <c r="H18" s="516">
        <v>0</v>
      </c>
      <c r="I18" s="66">
        <f t="shared" si="4"/>
        <v>0</v>
      </c>
      <c r="J18" s="117" t="str">
        <f t="shared" si="2"/>
        <v>n/a</v>
      </c>
      <c r="K18" s="253" t="e">
        <f t="shared" si="3"/>
        <v>#DIV/0!</v>
      </c>
      <c r="L18" s="154" t="str">
        <f t="shared" si="0"/>
        <v>n/a</v>
      </c>
      <c r="M18" s="4"/>
      <c r="P18" s="333">
        <f t="shared" si="1"/>
        <v>0</v>
      </c>
    </row>
    <row r="19" spans="2:16" ht="15" customHeight="1" x14ac:dyDescent="0.2">
      <c r="B19" s="272">
        <v>13</v>
      </c>
      <c r="C19" s="273" t="str">
        <f>'Program Descriptions'!C17</f>
        <v>Discont'd Res Solutions</v>
      </c>
      <c r="D19" s="113">
        <f>'Evaluated Savings'!E18</f>
        <v>0</v>
      </c>
      <c r="E19" s="433">
        <v>0</v>
      </c>
      <c r="F19" s="530">
        <v>0</v>
      </c>
      <c r="G19" s="261">
        <v>0</v>
      </c>
      <c r="H19" s="516">
        <v>0</v>
      </c>
      <c r="I19" s="66">
        <f t="shared" si="4"/>
        <v>0</v>
      </c>
      <c r="J19" s="117" t="str">
        <f t="shared" si="2"/>
        <v>n/a</v>
      </c>
      <c r="K19" s="253" t="e">
        <f t="shared" si="3"/>
        <v>#DIV/0!</v>
      </c>
      <c r="L19" s="154" t="str">
        <f t="shared" si="0"/>
        <v>n/a</v>
      </c>
      <c r="M19" s="4"/>
      <c r="P19" s="333">
        <f t="shared" si="1"/>
        <v>0</v>
      </c>
    </row>
    <row r="20" spans="2:16" ht="15" customHeight="1" x14ac:dyDescent="0.2">
      <c r="B20" s="272">
        <v>14</v>
      </c>
      <c r="C20" s="273" t="str">
        <f>'Program Descriptions'!C18</f>
        <v>Discont'd R ES Appliance</v>
      </c>
      <c r="D20" s="113">
        <f>'Evaluated Savings'!E19</f>
        <v>0</v>
      </c>
      <c r="E20" s="433">
        <v>0</v>
      </c>
      <c r="F20" s="530">
        <v>0</v>
      </c>
      <c r="G20" s="261">
        <v>0</v>
      </c>
      <c r="H20" s="516">
        <v>0</v>
      </c>
      <c r="I20" s="66">
        <f t="shared" si="4"/>
        <v>0</v>
      </c>
      <c r="J20" s="117" t="str">
        <f t="shared" si="2"/>
        <v>n/a</v>
      </c>
      <c r="K20" s="253" t="e">
        <f t="shared" si="3"/>
        <v>#DIV/0!</v>
      </c>
      <c r="L20" s="154" t="str">
        <f t="shared" si="0"/>
        <v>n/a</v>
      </c>
      <c r="M20" s="4"/>
      <c r="P20" s="333">
        <f t="shared" si="1"/>
        <v>0</v>
      </c>
    </row>
    <row r="21" spans="2:16" ht="15" customHeight="1" x14ac:dyDescent="0.2">
      <c r="B21" s="272">
        <v>15</v>
      </c>
      <c r="C21" s="273" t="str">
        <f>'Program Descriptions'!C19</f>
        <v>Discont'd ARWX (AWIP)</v>
      </c>
      <c r="D21" s="113">
        <f>'Evaluated Savings'!E20</f>
        <v>0</v>
      </c>
      <c r="E21" s="433">
        <v>0</v>
      </c>
      <c r="F21" s="530">
        <v>0</v>
      </c>
      <c r="G21" s="261">
        <v>0</v>
      </c>
      <c r="H21" s="516">
        <v>0</v>
      </c>
      <c r="I21" s="66">
        <f t="shared" ref="I21:I26" si="5">H21-G21</f>
        <v>0</v>
      </c>
      <c r="J21" s="117" t="str">
        <f t="shared" si="2"/>
        <v>n/a</v>
      </c>
      <c r="K21" s="253" t="e">
        <f t="shared" si="3"/>
        <v>#DIV/0!</v>
      </c>
      <c r="L21" s="154" t="str">
        <f t="shared" si="0"/>
        <v>n/a</v>
      </c>
      <c r="M21" s="4"/>
      <c r="P21" s="333">
        <f t="shared" si="1"/>
        <v>0</v>
      </c>
    </row>
    <row r="22" spans="2:16" ht="15" customHeight="1" x14ac:dyDescent="0.2">
      <c r="B22" s="272">
        <v>16</v>
      </c>
      <c r="C22" s="273" t="str">
        <f>'Program Descriptions'!C20</f>
        <v>New Construction (NCP)</v>
      </c>
      <c r="D22" s="113">
        <f>'Evaluated Savings'!E21</f>
        <v>482893</v>
      </c>
      <c r="E22" s="433">
        <v>50.8</v>
      </c>
      <c r="F22" s="530">
        <v>6927.4669999999996</v>
      </c>
      <c r="G22" s="261">
        <v>300.87099999999998</v>
      </c>
      <c r="H22" s="516">
        <v>321.82600000000002</v>
      </c>
      <c r="I22" s="66">
        <f t="shared" si="5"/>
        <v>20.955000000000041</v>
      </c>
      <c r="J22" s="117">
        <f>IF(ISERROR(H22/G22),"n/a",H22/G22)</f>
        <v>1.0696477892518721</v>
      </c>
      <c r="K22" s="253">
        <f t="shared" si="3"/>
        <v>14.345759826711094</v>
      </c>
      <c r="L22" s="154">
        <f t="shared" si="0"/>
        <v>6.0842650135005359E-2</v>
      </c>
      <c r="M22" s="4"/>
      <c r="P22" s="333">
        <f t="shared" si="1"/>
        <v>0</v>
      </c>
    </row>
    <row r="23" spans="2:16" ht="15" customHeight="1" x14ac:dyDescent="0.2">
      <c r="B23" s="272">
        <v>17</v>
      </c>
      <c r="C23" s="273" t="str">
        <f>'Program Descriptions'!C21</f>
        <v>Strat Energy Mgmt (SEMP)</v>
      </c>
      <c r="D23" s="113">
        <f>'Evaluated Savings'!E22</f>
        <v>14670946</v>
      </c>
      <c r="E23" s="433">
        <v>100</v>
      </c>
      <c r="F23" s="530">
        <v>14670.946</v>
      </c>
      <c r="G23" s="54">
        <v>365.2</v>
      </c>
      <c r="H23" s="430">
        <v>430.791</v>
      </c>
      <c r="I23" s="66">
        <f t="shared" si="5"/>
        <v>65.591000000000008</v>
      </c>
      <c r="J23" s="117">
        <f t="shared" si="2"/>
        <v>1.1796029572836801</v>
      </c>
      <c r="K23" s="253">
        <f t="shared" si="3"/>
        <v>1</v>
      </c>
      <c r="L23" s="154">
        <f t="shared" si="0"/>
        <v>2.6072652711011217E-2</v>
      </c>
      <c r="M23" s="4"/>
      <c r="P23" s="333">
        <f t="shared" si="1"/>
        <v>0</v>
      </c>
    </row>
    <row r="24" spans="2:16" ht="15" customHeight="1" x14ac:dyDescent="0.2">
      <c r="B24" s="272">
        <v>18</v>
      </c>
      <c r="C24" s="273" t="str">
        <f>'Program Descriptions'!C22</f>
        <v>Bring Y/Otstat (BYOT)</v>
      </c>
      <c r="D24" s="113">
        <f>'Evaluated Savings'!E23</f>
        <v>16677</v>
      </c>
      <c r="E24" s="433">
        <v>100</v>
      </c>
      <c r="F24" s="530">
        <v>16.677</v>
      </c>
      <c r="G24" s="54">
        <v>78.988</v>
      </c>
      <c r="H24" s="430">
        <v>241.87</v>
      </c>
      <c r="I24" s="66">
        <f t="shared" si="5"/>
        <v>162.88200000000001</v>
      </c>
      <c r="J24" s="117">
        <f t="shared" si="2"/>
        <v>3.0621107003595482</v>
      </c>
      <c r="K24" s="253">
        <f t="shared" si="3"/>
        <v>1</v>
      </c>
      <c r="L24" s="154">
        <f t="shared" si="0"/>
        <v>4.9608461473886072</v>
      </c>
      <c r="M24" s="4"/>
      <c r="P24" s="333">
        <f t="shared" si="1"/>
        <v>0</v>
      </c>
    </row>
    <row r="25" spans="2:16" ht="15" customHeight="1" x14ac:dyDescent="0.2">
      <c r="B25" s="272">
        <v>19</v>
      </c>
      <c r="C25" s="273" t="str">
        <f>'Program Descriptions'!C23</f>
        <v>Empty</v>
      </c>
      <c r="D25" s="113">
        <f>'Evaluated Savings'!E24</f>
        <v>0</v>
      </c>
      <c r="E25" s="433">
        <v>0</v>
      </c>
      <c r="F25" s="530">
        <v>0</v>
      </c>
      <c r="G25" s="54">
        <v>0</v>
      </c>
      <c r="H25" s="430">
        <v>0</v>
      </c>
      <c r="I25" s="66">
        <f t="shared" si="5"/>
        <v>0</v>
      </c>
      <c r="J25" s="117" t="str">
        <f t="shared" si="2"/>
        <v>n/a</v>
      </c>
      <c r="K25" s="253" t="e">
        <f t="shared" si="3"/>
        <v>#DIV/0!</v>
      </c>
      <c r="L25" s="154" t="str">
        <f t="shared" si="0"/>
        <v>n/a</v>
      </c>
      <c r="M25" s="4"/>
      <c r="P25" s="333">
        <f t="shared" si="1"/>
        <v>0</v>
      </c>
    </row>
    <row r="26" spans="2:16" ht="15" customHeight="1" thickBot="1" x14ac:dyDescent="0.25">
      <c r="B26" s="272">
        <v>20</v>
      </c>
      <c r="C26" s="273" t="str">
        <f>'Program Descriptions'!C24</f>
        <v>Empty</v>
      </c>
      <c r="D26" s="115">
        <f>'Evaluated Savings'!E25</f>
        <v>0</v>
      </c>
      <c r="E26" s="433">
        <v>0</v>
      </c>
      <c r="F26" s="530">
        <v>0</v>
      </c>
      <c r="G26" s="55">
        <v>0</v>
      </c>
      <c r="H26" s="118">
        <v>0</v>
      </c>
      <c r="I26" s="119">
        <f t="shared" si="5"/>
        <v>0</v>
      </c>
      <c r="J26" s="254" t="str">
        <f t="shared" si="2"/>
        <v>n/a</v>
      </c>
      <c r="K26" s="253" t="e">
        <f t="shared" si="3"/>
        <v>#DIV/0!</v>
      </c>
      <c r="L26" s="255" t="str">
        <f t="shared" si="0"/>
        <v>n/a</v>
      </c>
      <c r="M26" s="4"/>
      <c r="P26" s="333">
        <f t="shared" si="1"/>
        <v>0</v>
      </c>
    </row>
    <row r="27" spans="2:16" ht="15" customHeight="1" thickBot="1" x14ac:dyDescent="0.3">
      <c r="B27" s="3"/>
      <c r="C27" s="276" t="s">
        <v>444</v>
      </c>
      <c r="D27" s="67">
        <f>SUM(D7:D26)</f>
        <v>44577760</v>
      </c>
      <c r="E27" s="68"/>
      <c r="F27" s="447">
        <f>SUM(F7:F26)</f>
        <v>462812.53600000002</v>
      </c>
      <c r="G27" s="14">
        <f>SUM(G7:G26)</f>
        <v>14184.476999999999</v>
      </c>
      <c r="H27" s="14">
        <f>SUM(H7:H26)</f>
        <v>24007.797999999999</v>
      </c>
      <c r="I27" s="14">
        <f>H27-(G27+G28)</f>
        <v>9734.4771299999993</v>
      </c>
      <c r="J27" s="266">
        <f>H27/(G27+G28)</f>
        <v>1.6820050651604246</v>
      </c>
      <c r="K27" s="256">
        <f t="shared" si="3"/>
        <v>10.38213979347549</v>
      </c>
      <c r="L27" s="257">
        <f t="shared" si="0"/>
        <v>3.9512439683455254E-2</v>
      </c>
      <c r="M27" s="4"/>
      <c r="P27" s="2">
        <f>SUM(P7:P26)</f>
        <v>0</v>
      </c>
    </row>
    <row r="28" spans="2:16" ht="15" customHeight="1" x14ac:dyDescent="0.2">
      <c r="B28" s="5"/>
      <c r="C28" s="259" t="str">
        <f>'Actual Expenses'!I87&amp;" Cost:"</f>
        <v>Regulatory Cost:</v>
      </c>
      <c r="D28" s="6"/>
      <c r="E28" s="6"/>
      <c r="F28" s="6"/>
      <c r="G28" s="260">
        <f>'Actual Expenses'!I91/1000</f>
        <v>88.843869999999995</v>
      </c>
      <c r="H28" s="6"/>
      <c r="I28" s="6"/>
      <c r="J28" s="6"/>
      <c r="K28" s="6"/>
      <c r="L28" s="6"/>
      <c r="M28" s="7"/>
    </row>
    <row r="29" spans="2:16" ht="15" customHeight="1" x14ac:dyDescent="0.2">
      <c r="C29" s="2" t="s">
        <v>425</v>
      </c>
    </row>
    <row r="30" spans="2:16" ht="15" customHeight="1" x14ac:dyDescent="0.2">
      <c r="C30" s="2" t="s">
        <v>445</v>
      </c>
    </row>
    <row r="31" spans="2:16" ht="15" customHeight="1" x14ac:dyDescent="0.2">
      <c r="C31" s="258" t="s">
        <v>446</v>
      </c>
    </row>
    <row r="32" spans="2: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sheet="1" objects="1" scenarios="1" formatColumns="0"/>
  <mergeCells count="3">
    <mergeCell ref="D4:F4"/>
    <mergeCell ref="K5:K6"/>
    <mergeCell ref="G4:L4"/>
  </mergeCells>
  <conditionalFormatting sqref="D7:L26">
    <cfRule type="expression" dxfId="21" priority="1">
      <formula>$B7&gt;Programs</formula>
    </cfRule>
  </conditionalFormatting>
  <pageMargins left="0.25" right="0.25" top="0.25" bottom="0.2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B1:N46"/>
  <sheetViews>
    <sheetView showGridLines="0" zoomScaleNormal="100" workbookViewId="0">
      <pane ySplit="3" topLeftCell="A13" activePane="bottomLeft" state="frozen"/>
      <selection pane="bottomLeft" activeCell="R25" sqref="R25"/>
    </sheetView>
  </sheetViews>
  <sheetFormatPr defaultColWidth="9.140625" defaultRowHeight="12.75" x14ac:dyDescent="0.2"/>
  <cols>
    <col min="1" max="1" width="1" style="2" customWidth="1"/>
    <col min="2" max="2" width="4" style="2" customWidth="1"/>
    <col min="3" max="3" width="30.140625" style="2" bestFit="1" customWidth="1"/>
    <col min="4" max="8" width="13.85546875" style="2" customWidth="1"/>
    <col min="9" max="9" width="12" style="2" customWidth="1"/>
    <col min="10" max="10" width="17.140625" style="2" customWidth="1"/>
    <col min="11" max="11" width="41.42578125" style="2" customWidth="1"/>
    <col min="12" max="12" width="1" style="2" customWidth="1"/>
    <col min="13" max="16384" width="9.140625" style="2"/>
  </cols>
  <sheetData>
    <row r="1" spans="2:14" ht="5.0999999999999996" customHeight="1" thickBot="1" x14ac:dyDescent="0.25"/>
    <row r="2" spans="2:14" ht="38.25" customHeight="1" thickBot="1" x14ac:dyDescent="0.25">
      <c r="B2" s="690" t="s">
        <v>447</v>
      </c>
      <c r="C2" s="691"/>
      <c r="D2" s="691"/>
      <c r="E2" s="691"/>
      <c r="F2" s="691"/>
      <c r="G2" s="691"/>
      <c r="H2" s="691"/>
      <c r="I2" s="691"/>
      <c r="J2" s="691"/>
      <c r="K2" s="691"/>
      <c r="L2" s="692"/>
    </row>
    <row r="3" spans="2:14" ht="41.25" customHeight="1" x14ac:dyDescent="0.2">
      <c r="B3" s="3"/>
      <c r="L3" s="4"/>
    </row>
    <row r="4" spans="2:14" ht="15.75" x14ac:dyDescent="0.25">
      <c r="B4" s="20"/>
      <c r="C4" s="350" t="str">
        <f>IF(N6&gt;0,"Incomplete - The utility discount rate must be completed.","")</f>
        <v/>
      </c>
      <c r="D4" s="9"/>
      <c r="E4" s="9"/>
      <c r="F4" s="9"/>
      <c r="G4" s="9"/>
      <c r="H4" s="9"/>
      <c r="I4" s="9"/>
      <c r="J4" s="9"/>
      <c r="L4" s="4"/>
    </row>
    <row r="5" spans="2:14" x14ac:dyDescent="0.2">
      <c r="B5" s="8"/>
      <c r="C5" s="351" t="s">
        <v>448</v>
      </c>
      <c r="D5" s="702" t="s">
        <v>65</v>
      </c>
      <c r="E5" s="702"/>
      <c r="F5" s="702"/>
      <c r="G5" s="702"/>
      <c r="H5" s="702"/>
      <c r="I5" s="703" t="s">
        <v>449</v>
      </c>
      <c r="J5" s="703"/>
      <c r="K5" s="703"/>
      <c r="L5" s="4"/>
    </row>
    <row r="6" spans="2:14" ht="12.75" customHeight="1" x14ac:dyDescent="0.2">
      <c r="B6" s="272">
        <v>1</v>
      </c>
      <c r="C6" s="352" t="s">
        <v>450</v>
      </c>
      <c r="D6" s="704">
        <v>4.7399999999999998E-2</v>
      </c>
      <c r="E6" s="705"/>
      <c r="F6" s="705"/>
      <c r="G6" s="705"/>
      <c r="H6" s="706"/>
      <c r="I6" s="696" t="s">
        <v>451</v>
      </c>
      <c r="J6" s="697"/>
      <c r="K6" s="698"/>
      <c r="L6" s="4"/>
      <c r="N6" s="333">
        <f>IF(ISBLANK(Discount_Rate),1,0)</f>
        <v>0</v>
      </c>
    </row>
    <row r="7" spans="2:14" ht="12.75" customHeight="1" x14ac:dyDescent="0.2">
      <c r="B7" s="272">
        <f>B6+1</f>
        <v>2</v>
      </c>
      <c r="C7" s="353" t="s">
        <v>452</v>
      </c>
      <c r="D7" s="704">
        <v>1.9199999999999998E-2</v>
      </c>
      <c r="E7" s="705"/>
      <c r="F7" s="705"/>
      <c r="G7" s="705"/>
      <c r="H7" s="706"/>
      <c r="I7" s="696" t="s">
        <v>453</v>
      </c>
      <c r="J7" s="697"/>
      <c r="K7" s="698"/>
      <c r="L7" s="4"/>
    </row>
    <row r="8" spans="2:14" x14ac:dyDescent="0.2">
      <c r="B8" s="272">
        <f>B7+1</f>
        <v>3</v>
      </c>
      <c r="C8" s="354" t="s">
        <v>454</v>
      </c>
      <c r="D8" s="693">
        <v>3.1600000000000003E-2</v>
      </c>
      <c r="E8" s="694"/>
      <c r="F8" s="694"/>
      <c r="G8" s="694"/>
      <c r="H8" s="695"/>
      <c r="I8" s="699"/>
      <c r="J8" s="700"/>
      <c r="K8" s="701"/>
      <c r="L8" s="4"/>
    </row>
    <row r="9" spans="2:14" x14ac:dyDescent="0.2">
      <c r="B9" s="3"/>
      <c r="C9" s="273"/>
      <c r="L9" s="4"/>
    </row>
    <row r="10" spans="2:14" ht="15.75" x14ac:dyDescent="0.25">
      <c r="B10" s="368" t="s">
        <v>455</v>
      </c>
      <c r="C10" s="273"/>
      <c r="L10" s="4"/>
    </row>
    <row r="11" spans="2:14" x14ac:dyDescent="0.2">
      <c r="B11" s="3"/>
      <c r="C11" s="351" t="s">
        <v>456</v>
      </c>
      <c r="D11" s="422" t="s">
        <v>457</v>
      </c>
      <c r="E11" s="422" t="s">
        <v>458</v>
      </c>
      <c r="F11" s="422" t="s">
        <v>459</v>
      </c>
      <c r="G11" s="422" t="s">
        <v>460</v>
      </c>
      <c r="H11" s="422" t="s">
        <v>461</v>
      </c>
      <c r="I11" s="703" t="s">
        <v>449</v>
      </c>
      <c r="J11" s="703"/>
      <c r="K11" s="703"/>
      <c r="L11" s="4"/>
    </row>
    <row r="12" spans="2:14" ht="12.75" customHeight="1" x14ac:dyDescent="0.2">
      <c r="B12" s="272">
        <f>B8+1</f>
        <v>4</v>
      </c>
      <c r="C12" s="352" t="s">
        <v>462</v>
      </c>
      <c r="D12" s="435"/>
      <c r="E12" s="435"/>
      <c r="F12" s="435"/>
      <c r="G12" s="435"/>
      <c r="H12" s="357"/>
      <c r="I12" s="696" t="s">
        <v>463</v>
      </c>
      <c r="J12" s="697"/>
      <c r="K12" s="698"/>
      <c r="L12" s="4"/>
    </row>
    <row r="13" spans="2:14" ht="39.950000000000003" customHeight="1" x14ac:dyDescent="0.2">
      <c r="B13" s="272">
        <f>B12+1</f>
        <v>5</v>
      </c>
      <c r="C13" s="353" t="s">
        <v>464</v>
      </c>
      <c r="D13" s="355"/>
      <c r="E13" s="355"/>
      <c r="F13" s="355"/>
      <c r="G13" s="355"/>
      <c r="H13" s="355"/>
      <c r="I13" s="696" t="s">
        <v>465</v>
      </c>
      <c r="J13" s="697"/>
      <c r="K13" s="698"/>
      <c r="L13" s="4"/>
    </row>
    <row r="14" spans="2:14" ht="12.75" customHeight="1" x14ac:dyDescent="0.2">
      <c r="B14" s="272">
        <f t="shared" ref="B14:B21" si="0">B13+1</f>
        <v>6</v>
      </c>
      <c r="C14" s="353" t="s">
        <v>466</v>
      </c>
      <c r="D14" s="356"/>
      <c r="E14" s="356"/>
      <c r="F14" s="356"/>
      <c r="G14" s="356"/>
      <c r="H14" s="356"/>
      <c r="I14" s="696" t="s">
        <v>467</v>
      </c>
      <c r="J14" s="697"/>
      <c r="K14" s="698"/>
      <c r="L14" s="4"/>
    </row>
    <row r="15" spans="2:14" ht="12.75" customHeight="1" x14ac:dyDescent="0.2">
      <c r="B15" s="272">
        <f t="shared" si="0"/>
        <v>7</v>
      </c>
      <c r="C15" s="353" t="s">
        <v>468</v>
      </c>
      <c r="D15" s="707" t="s">
        <v>469</v>
      </c>
      <c r="E15" s="708"/>
      <c r="F15" s="708"/>
      <c r="G15" s="708"/>
      <c r="H15" s="709"/>
      <c r="I15" s="696" t="s">
        <v>453</v>
      </c>
      <c r="J15" s="697"/>
      <c r="K15" s="698"/>
      <c r="L15" s="4"/>
    </row>
    <row r="16" spans="2:14" ht="12.75" customHeight="1" x14ac:dyDescent="0.2">
      <c r="B16" s="272">
        <f t="shared" si="0"/>
        <v>8</v>
      </c>
      <c r="C16" s="353" t="s">
        <v>470</v>
      </c>
      <c r="D16" s="710">
        <v>2030</v>
      </c>
      <c r="E16" s="711"/>
      <c r="F16" s="711"/>
      <c r="G16" s="711"/>
      <c r="H16" s="712"/>
      <c r="I16" s="696" t="s">
        <v>453</v>
      </c>
      <c r="J16" s="697"/>
      <c r="K16" s="698"/>
      <c r="L16" s="4"/>
    </row>
    <row r="17" spans="2:12" ht="12.75" customHeight="1" x14ac:dyDescent="0.2">
      <c r="B17" s="272">
        <f t="shared" si="0"/>
        <v>9</v>
      </c>
      <c r="C17" s="353" t="s">
        <v>471</v>
      </c>
      <c r="D17" s="710"/>
      <c r="E17" s="711"/>
      <c r="F17" s="711"/>
      <c r="G17" s="711"/>
      <c r="H17" s="712"/>
      <c r="I17" s="696" t="s">
        <v>453</v>
      </c>
      <c r="J17" s="697"/>
      <c r="K17" s="698"/>
      <c r="L17" s="4"/>
    </row>
    <row r="18" spans="2:12" ht="27" customHeight="1" x14ac:dyDescent="0.2">
      <c r="B18" s="272">
        <f t="shared" si="0"/>
        <v>10</v>
      </c>
      <c r="C18" s="420" t="s">
        <v>472</v>
      </c>
      <c r="D18" s="436">
        <v>7.3710000000000004</v>
      </c>
      <c r="E18" s="437">
        <v>12.231999999999999</v>
      </c>
      <c r="F18" s="437">
        <v>3.01</v>
      </c>
      <c r="G18" s="356"/>
      <c r="H18" s="356"/>
      <c r="I18" s="696" t="s">
        <v>473</v>
      </c>
      <c r="J18" s="697"/>
      <c r="K18" s="698"/>
      <c r="L18" s="4"/>
    </row>
    <row r="19" spans="2:12" x14ac:dyDescent="0.2">
      <c r="B19" s="272">
        <f t="shared" si="0"/>
        <v>11</v>
      </c>
      <c r="C19" s="420" t="s">
        <v>472</v>
      </c>
      <c r="D19" s="355"/>
      <c r="E19" s="356"/>
      <c r="F19" s="356"/>
      <c r="G19" s="356"/>
      <c r="H19" s="356"/>
      <c r="I19" s="699"/>
      <c r="J19" s="700"/>
      <c r="K19" s="701"/>
      <c r="L19" s="4"/>
    </row>
    <row r="20" spans="2:12" x14ac:dyDescent="0.2">
      <c r="B20" s="272">
        <f t="shared" si="0"/>
        <v>12</v>
      </c>
      <c r="C20" s="420" t="s">
        <v>472</v>
      </c>
      <c r="D20" s="355"/>
      <c r="E20" s="356"/>
      <c r="F20" s="356"/>
      <c r="G20" s="356"/>
      <c r="H20" s="356"/>
      <c r="I20" s="699"/>
      <c r="J20" s="700"/>
      <c r="K20" s="701"/>
      <c r="L20" s="4"/>
    </row>
    <row r="21" spans="2:12" x14ac:dyDescent="0.2">
      <c r="B21" s="272">
        <f t="shared" si="0"/>
        <v>13</v>
      </c>
      <c r="C21" s="421" t="s">
        <v>472</v>
      </c>
      <c r="D21" s="355"/>
      <c r="E21" s="356"/>
      <c r="F21" s="356"/>
      <c r="G21" s="356"/>
      <c r="H21" s="356"/>
      <c r="I21" s="699"/>
      <c r="J21" s="700"/>
      <c r="K21" s="701"/>
      <c r="L21" s="4"/>
    </row>
    <row r="22" spans="2:12" x14ac:dyDescent="0.2">
      <c r="B22" s="3"/>
      <c r="C22" s="351" t="s">
        <v>474</v>
      </c>
      <c r="D22" s="638" t="s">
        <v>457</v>
      </c>
      <c r="E22" s="638" t="s">
        <v>458</v>
      </c>
      <c r="F22" s="638" t="s">
        <v>459</v>
      </c>
      <c r="G22" s="638" t="s">
        <v>460</v>
      </c>
      <c r="H22" s="638" t="s">
        <v>461</v>
      </c>
      <c r="I22" s="703" t="s">
        <v>449</v>
      </c>
      <c r="J22" s="703"/>
      <c r="K22" s="703"/>
      <c r="L22" s="4"/>
    </row>
    <row r="23" spans="2:12" ht="12.75" customHeight="1" x14ac:dyDescent="0.2">
      <c r="B23" s="272">
        <f>B21+1</f>
        <v>14</v>
      </c>
      <c r="C23" s="352" t="s">
        <v>475</v>
      </c>
      <c r="D23" s="436">
        <v>700</v>
      </c>
      <c r="E23" s="437"/>
      <c r="F23" s="437"/>
      <c r="G23" s="437"/>
      <c r="H23" s="437"/>
      <c r="I23" s="696" t="s">
        <v>453</v>
      </c>
      <c r="J23" s="697"/>
      <c r="K23" s="698"/>
      <c r="L23" s="4"/>
    </row>
    <row r="24" spans="2:12" ht="12.75" customHeight="1" x14ac:dyDescent="0.2">
      <c r="B24" s="272">
        <f>B23+1</f>
        <v>15</v>
      </c>
      <c r="C24" s="353" t="s">
        <v>476</v>
      </c>
      <c r="D24" s="707">
        <v>2022</v>
      </c>
      <c r="E24" s="708"/>
      <c r="F24" s="708"/>
      <c r="G24" s="708"/>
      <c r="H24" s="709"/>
      <c r="I24" s="696" t="s">
        <v>453</v>
      </c>
      <c r="J24" s="697"/>
      <c r="K24" s="698"/>
      <c r="L24" s="4"/>
    </row>
    <row r="25" spans="2:12" ht="12.75" customHeight="1" x14ac:dyDescent="0.2">
      <c r="B25" s="272">
        <f t="shared" ref="B25:B33" si="1">B24+1</f>
        <v>16</v>
      </c>
      <c r="C25" s="353" t="s">
        <v>477</v>
      </c>
      <c r="D25" s="713">
        <v>69.272999999999996</v>
      </c>
      <c r="E25" s="714"/>
      <c r="F25" s="714"/>
      <c r="G25" s="714"/>
      <c r="H25" s="715"/>
      <c r="I25" s="696" t="s">
        <v>453</v>
      </c>
      <c r="J25" s="697"/>
      <c r="K25" s="698"/>
      <c r="L25" s="4"/>
    </row>
    <row r="26" spans="2:12" ht="12.75" customHeight="1" x14ac:dyDescent="0.2">
      <c r="B26" s="272">
        <f t="shared" si="1"/>
        <v>17</v>
      </c>
      <c r="C26" s="353" t="s">
        <v>478</v>
      </c>
      <c r="D26" s="707">
        <v>2022</v>
      </c>
      <c r="E26" s="708"/>
      <c r="F26" s="708"/>
      <c r="G26" s="708"/>
      <c r="H26" s="709"/>
      <c r="I26" s="696" t="s">
        <v>453</v>
      </c>
      <c r="J26" s="697"/>
      <c r="K26" s="698"/>
      <c r="L26" s="4"/>
    </row>
    <row r="27" spans="2:12" ht="12.75" customHeight="1" x14ac:dyDescent="0.2">
      <c r="B27" s="272">
        <f t="shared" si="1"/>
        <v>18</v>
      </c>
      <c r="C27" s="353" t="s">
        <v>479</v>
      </c>
      <c r="D27" s="707">
        <v>2042</v>
      </c>
      <c r="E27" s="708"/>
      <c r="F27" s="708"/>
      <c r="G27" s="708"/>
      <c r="H27" s="709"/>
      <c r="I27" s="696" t="s">
        <v>453</v>
      </c>
      <c r="J27" s="697"/>
      <c r="K27" s="698"/>
      <c r="L27" s="4"/>
    </row>
    <row r="28" spans="2:12" x14ac:dyDescent="0.2">
      <c r="B28" s="272">
        <f t="shared" si="1"/>
        <v>19</v>
      </c>
      <c r="C28" s="353" t="s">
        <v>480</v>
      </c>
      <c r="D28" s="710"/>
      <c r="E28" s="711"/>
      <c r="F28" s="711"/>
      <c r="G28" s="711"/>
      <c r="H28" s="712"/>
      <c r="I28" s="699"/>
      <c r="J28" s="700"/>
      <c r="K28" s="701"/>
      <c r="L28" s="4"/>
    </row>
    <row r="29" spans="2:12" x14ac:dyDescent="0.2">
      <c r="B29" s="272">
        <f t="shared" si="1"/>
        <v>20</v>
      </c>
      <c r="C29" s="353" t="s">
        <v>481</v>
      </c>
      <c r="D29" s="710"/>
      <c r="E29" s="711"/>
      <c r="F29" s="711"/>
      <c r="G29" s="711"/>
      <c r="H29" s="712"/>
      <c r="I29" s="699"/>
      <c r="J29" s="700"/>
      <c r="K29" s="701"/>
      <c r="L29" s="4"/>
    </row>
    <row r="30" spans="2:12" x14ac:dyDescent="0.2">
      <c r="B30" s="272">
        <f t="shared" si="1"/>
        <v>21</v>
      </c>
      <c r="C30" s="353" t="s">
        <v>482</v>
      </c>
      <c r="D30" s="710"/>
      <c r="E30" s="711"/>
      <c r="F30" s="711"/>
      <c r="G30" s="711"/>
      <c r="H30" s="712"/>
      <c r="I30" s="699"/>
      <c r="J30" s="700"/>
      <c r="K30" s="701"/>
      <c r="L30" s="4"/>
    </row>
    <row r="31" spans="2:12" x14ac:dyDescent="0.2">
      <c r="B31" s="272">
        <f t="shared" si="1"/>
        <v>22</v>
      </c>
      <c r="C31" s="353" t="s">
        <v>483</v>
      </c>
      <c r="D31" s="710"/>
      <c r="E31" s="711"/>
      <c r="F31" s="711"/>
      <c r="G31" s="711"/>
      <c r="H31" s="712"/>
      <c r="I31" s="635"/>
      <c r="J31" s="636"/>
      <c r="K31" s="637"/>
      <c r="L31" s="4"/>
    </row>
    <row r="32" spans="2:12" x14ac:dyDescent="0.2">
      <c r="B32" s="272">
        <f t="shared" si="1"/>
        <v>23</v>
      </c>
      <c r="C32" s="353" t="s">
        <v>484</v>
      </c>
      <c r="D32" s="355"/>
      <c r="E32" s="356"/>
      <c r="F32" s="356"/>
      <c r="G32" s="356"/>
      <c r="H32" s="356"/>
      <c r="I32" s="699"/>
      <c r="J32" s="700"/>
      <c r="K32" s="701"/>
      <c r="L32" s="4"/>
    </row>
    <row r="33" spans="2:12" x14ac:dyDescent="0.2">
      <c r="B33" s="272">
        <f t="shared" si="1"/>
        <v>24</v>
      </c>
      <c r="C33" s="354" t="s">
        <v>485</v>
      </c>
      <c r="D33" s="355"/>
      <c r="E33" s="356"/>
      <c r="F33" s="356"/>
      <c r="G33" s="356"/>
      <c r="H33" s="356"/>
      <c r="I33" s="699"/>
      <c r="J33" s="700"/>
      <c r="K33" s="701"/>
      <c r="L33" s="4"/>
    </row>
    <row r="34" spans="2:12" x14ac:dyDescent="0.2">
      <c r="B34" s="3"/>
      <c r="C34" s="351" t="s">
        <v>486</v>
      </c>
      <c r="D34" s="638" t="s">
        <v>457</v>
      </c>
      <c r="E34" s="638" t="s">
        <v>458</v>
      </c>
      <c r="F34" s="638" t="s">
        <v>459</v>
      </c>
      <c r="G34" s="638" t="s">
        <v>460</v>
      </c>
      <c r="H34" s="638" t="s">
        <v>461</v>
      </c>
      <c r="I34" s="703" t="s">
        <v>449</v>
      </c>
      <c r="J34" s="703"/>
      <c r="K34" s="703"/>
      <c r="L34" s="4"/>
    </row>
    <row r="35" spans="2:12" x14ac:dyDescent="0.2">
      <c r="B35" s="272">
        <f>B33+1</f>
        <v>25</v>
      </c>
      <c r="C35" s="352" t="s">
        <v>487</v>
      </c>
      <c r="D35" s="438"/>
      <c r="E35" s="439"/>
      <c r="F35" s="439"/>
      <c r="G35" s="440"/>
      <c r="H35" s="441"/>
      <c r="I35" s="699"/>
      <c r="J35" s="700"/>
      <c r="K35" s="701"/>
      <c r="L35" s="4"/>
    </row>
    <row r="36" spans="2:12" x14ac:dyDescent="0.2">
      <c r="B36" s="272">
        <f>B35+1</f>
        <v>26</v>
      </c>
      <c r="C36" s="353" t="s">
        <v>488</v>
      </c>
      <c r="D36" s="710">
        <v>0.45240000000000002</v>
      </c>
      <c r="E36" s="711"/>
      <c r="F36" s="711"/>
      <c r="G36" s="711"/>
      <c r="H36" s="712"/>
      <c r="I36" s="716" t="s">
        <v>489</v>
      </c>
      <c r="J36" s="717"/>
      <c r="K36" s="718"/>
      <c r="L36" s="4"/>
    </row>
    <row r="37" spans="2:12" ht="12.95" customHeight="1" x14ac:dyDescent="0.2">
      <c r="B37" s="272">
        <f t="shared" ref="B37:B41" si="2">B36+1</f>
        <v>27</v>
      </c>
      <c r="C37" s="353" t="s">
        <v>490</v>
      </c>
      <c r="D37" s="719">
        <v>2.5562</v>
      </c>
      <c r="E37" s="720"/>
      <c r="F37" s="720"/>
      <c r="G37" s="720"/>
      <c r="H37" s="721"/>
      <c r="I37" s="716" t="s">
        <v>489</v>
      </c>
      <c r="J37" s="717"/>
      <c r="K37" s="718"/>
      <c r="L37" s="4"/>
    </row>
    <row r="38" spans="2:12" x14ac:dyDescent="0.2">
      <c r="B38" s="272">
        <f t="shared" si="2"/>
        <v>28</v>
      </c>
      <c r="C38" s="353" t="s">
        <v>491</v>
      </c>
      <c r="D38" s="722">
        <v>9.9000000000000008E-3</v>
      </c>
      <c r="E38" s="723"/>
      <c r="F38" s="723"/>
      <c r="G38" s="723"/>
      <c r="H38" s="724"/>
      <c r="I38" s="716" t="s">
        <v>489</v>
      </c>
      <c r="J38" s="717"/>
      <c r="K38" s="718"/>
      <c r="L38" s="4"/>
    </row>
    <row r="39" spans="2:12" x14ac:dyDescent="0.2">
      <c r="B39" s="272">
        <f t="shared" si="2"/>
        <v>29</v>
      </c>
      <c r="C39" s="353" t="s">
        <v>492</v>
      </c>
      <c r="D39" s="710"/>
      <c r="E39" s="711"/>
      <c r="F39" s="711"/>
      <c r="G39" s="711"/>
      <c r="H39" s="712"/>
      <c r="I39" s="716" t="s">
        <v>489</v>
      </c>
      <c r="J39" s="717"/>
      <c r="K39" s="718"/>
      <c r="L39" s="4"/>
    </row>
    <row r="40" spans="2:12" x14ac:dyDescent="0.2">
      <c r="B40" s="272">
        <f t="shared" si="2"/>
        <v>30</v>
      </c>
      <c r="C40" s="353" t="s">
        <v>493</v>
      </c>
      <c r="D40" s="710"/>
      <c r="E40" s="711"/>
      <c r="F40" s="711"/>
      <c r="G40" s="711"/>
      <c r="H40" s="712"/>
      <c r="I40" s="716" t="s">
        <v>494</v>
      </c>
      <c r="J40" s="717"/>
      <c r="K40" s="718"/>
      <c r="L40" s="4"/>
    </row>
    <row r="41" spans="2:12" x14ac:dyDescent="0.2">
      <c r="B41" s="272">
        <f t="shared" si="2"/>
        <v>31</v>
      </c>
      <c r="C41" s="354" t="s">
        <v>495</v>
      </c>
      <c r="D41" s="710"/>
      <c r="E41" s="711"/>
      <c r="F41" s="711"/>
      <c r="G41" s="711"/>
      <c r="H41" s="712"/>
      <c r="I41" s="699"/>
      <c r="J41" s="700"/>
      <c r="K41" s="701"/>
      <c r="L41" s="4"/>
    </row>
    <row r="42" spans="2:12" x14ac:dyDescent="0.2">
      <c r="B42" s="5"/>
      <c r="C42" s="6"/>
      <c r="D42" s="6"/>
      <c r="E42" s="6"/>
      <c r="F42" s="6"/>
      <c r="G42" s="6"/>
      <c r="H42" s="6"/>
      <c r="I42" s="6"/>
      <c r="J42" s="6"/>
      <c r="K42" s="6"/>
      <c r="L42" s="7"/>
    </row>
    <row r="43" spans="2:12" ht="15.75" x14ac:dyDescent="0.25">
      <c r="C43" s="285" t="s">
        <v>496</v>
      </c>
    </row>
    <row r="44" spans="2:12" x14ac:dyDescent="0.2">
      <c r="C44" s="280">
        <v>1</v>
      </c>
      <c r="D44" s="2" t="s">
        <v>497</v>
      </c>
    </row>
    <row r="45" spans="2:12" x14ac:dyDescent="0.2">
      <c r="C45" s="280">
        <v>2</v>
      </c>
      <c r="D45" s="2" t="s">
        <v>498</v>
      </c>
    </row>
    <row r="46" spans="2:12" x14ac:dyDescent="0.2">
      <c r="C46" s="280">
        <v>3</v>
      </c>
      <c r="D46" s="2" t="s">
        <v>499</v>
      </c>
    </row>
  </sheetData>
  <sheetProtection algorithmName="SHA-512" hashValue="OIYXBhTR/mgr6LpKToVZOp3oZgioFt8ZIqlKWc6DNLjV3EMO4XstbbH+/F3bK9+Kq2AKM1+gjWPP+dN2Lc9trQ==" saltValue="0M5ujWB9h9BNcmi//QFukA==" spinCount="100000" sheet="1" objects="1" scenarios="1"/>
  <mergeCells count="56">
    <mergeCell ref="I40:K40"/>
    <mergeCell ref="I41:K41"/>
    <mergeCell ref="D36:H36"/>
    <mergeCell ref="D37:H37"/>
    <mergeCell ref="D38:H38"/>
    <mergeCell ref="D39:H39"/>
    <mergeCell ref="D40:H40"/>
    <mergeCell ref="D41:H41"/>
    <mergeCell ref="I35:K35"/>
    <mergeCell ref="I36:K36"/>
    <mergeCell ref="I37:K37"/>
    <mergeCell ref="I38:K38"/>
    <mergeCell ref="I39:K39"/>
    <mergeCell ref="D30:H30"/>
    <mergeCell ref="I22:K22"/>
    <mergeCell ref="I34:K34"/>
    <mergeCell ref="I23:K23"/>
    <mergeCell ref="I24:K24"/>
    <mergeCell ref="I25:K25"/>
    <mergeCell ref="I26:K26"/>
    <mergeCell ref="I27:K27"/>
    <mergeCell ref="I28:K28"/>
    <mergeCell ref="I29:K29"/>
    <mergeCell ref="I30:K30"/>
    <mergeCell ref="I32:K32"/>
    <mergeCell ref="I33:K33"/>
    <mergeCell ref="D31:H31"/>
    <mergeCell ref="D25:H25"/>
    <mergeCell ref="D26:H26"/>
    <mergeCell ref="D27:H27"/>
    <mergeCell ref="D28:H28"/>
    <mergeCell ref="D29:H29"/>
    <mergeCell ref="I18:K18"/>
    <mergeCell ref="I19:K19"/>
    <mergeCell ref="I20:K20"/>
    <mergeCell ref="I21:K21"/>
    <mergeCell ref="D24:H24"/>
    <mergeCell ref="D15:H15"/>
    <mergeCell ref="D16:H16"/>
    <mergeCell ref="D17:H17"/>
    <mergeCell ref="I11:K11"/>
    <mergeCell ref="I12:K12"/>
    <mergeCell ref="I13:K13"/>
    <mergeCell ref="I14:K14"/>
    <mergeCell ref="I15:K15"/>
    <mergeCell ref="I16:K16"/>
    <mergeCell ref="I17:K17"/>
    <mergeCell ref="B2:L2"/>
    <mergeCell ref="D8:H8"/>
    <mergeCell ref="I6:K6"/>
    <mergeCell ref="I7:K7"/>
    <mergeCell ref="I8:K8"/>
    <mergeCell ref="D5:H5"/>
    <mergeCell ref="I5:K5"/>
    <mergeCell ref="D6:H6"/>
    <mergeCell ref="D7:H7"/>
  </mergeCells>
  <dataValidations count="27">
    <dataValidation allowBlank="1" showInputMessage="1" showErrorMessage="1" prompt="The value employed to discount future nominal (inflated) benefits and costs.   " sqref="D6:H6" xr:uid="{00000000-0002-0000-1100-000000000000}"/>
    <dataValidation allowBlank="1" showInputMessage="1" showErrorMessage="1" prompt="The value employed to discount future real (deflated) benefits and costs [=(1+Nominal DR)/(1+Inflation Rate)-1].  " sqref="D8:H8" xr:uid="{00000000-0002-0000-1100-000001000000}"/>
    <dataValidation allowBlank="1" showInputMessage="1" showErrorMessage="1" prompt="First year avoided energy costs for gas utilities._x000a__x000a_First year marginal fuel cost embedded in the avoided energy cost for electric utilities." sqref="D12" xr:uid="{00000000-0002-0000-1100-000002000000}"/>
    <dataValidation allowBlank="1" showInputMessage="1" showErrorMessage="1" prompt="First year on-peak avoided energy cost." sqref="D13" xr:uid="{00000000-0002-0000-1100-000003000000}"/>
    <dataValidation allowBlank="1" showInputMessage="1" showErrorMessage="1" prompt="First year off-peak avoided energy cost." sqref="D14" xr:uid="{00000000-0002-0000-1100-000004000000}"/>
    <dataValidation allowBlank="1" showInputMessage="1" showErrorMessage="1" prompt="Cost of avoided carbon in first year." sqref="D15:H15" xr:uid="{00000000-0002-0000-1100-000005000000}"/>
    <dataValidation allowBlank="1" showInputMessage="1" showErrorMessage="1" prompt="Beginning year for period in which avoided cost of carbon &gt; 0." sqref="D16:H16" xr:uid="{00000000-0002-0000-1100-000006000000}"/>
    <dataValidation allowBlank="1" showInputMessage="1" showErrorMessage="1" prompt="Ending year for avoided cost of carbon." sqref="D17:H17" xr:uid="{00000000-0002-0000-1100-000007000000}"/>
    <dataValidation allowBlank="1" showInputMessage="1" showErrorMessage="1" prompt="By customer class, primary/secondary service, energy/demand, ect." sqref="D18:D21" xr:uid="{00000000-0002-0000-1100-000008000000}"/>
    <dataValidation allowBlank="1" showInputMessage="1" showErrorMessage="1" prompt="Total installed cost of proxy unit. " sqref="D23" xr:uid="{5701C7D0-5A68-4541-9A55-7EDB461756F0}"/>
    <dataValidation allowBlank="1" showInputMessage="1" showErrorMessage="1" prompt="In-service date of proxy unit." sqref="D24:H24" xr:uid="{B5EF1A3D-6583-4195-8EE1-0515BA24EE7C}"/>
    <dataValidation allowBlank="1" showInputMessage="1" showErrorMessage="1" prompt="Real Economic Carrying Charge (RECC) of proxy unit. " sqref="D25:H25" xr:uid="{C39F5733-978F-44B2-B374-FDDDD278BBD6}"/>
    <dataValidation allowBlank="1" showInputMessage="1" showErrorMessage="1" prompt="Beginning year for period in which RECC &gt; 0." sqref="D26:H26" xr:uid="{43E79C2C-1898-4A7A-9E1D-CDEA29A933A7}"/>
    <dataValidation allowBlank="1" showInputMessage="1" showErrorMessage="1" prompt="Ending year for RECC." sqref="D27:H27" xr:uid="{19B76C2D-DCCE-47F5-A99A-3A9142EB75F5}"/>
    <dataValidation allowBlank="1" showInputMessage="1" showErrorMessage="1" prompt="Wholesale market price of capacity used to calculate avoided capacity cost. " sqref="D28:H28" xr:uid="{00000000-0002-0000-1100-00000E000000}"/>
    <dataValidation allowBlank="1" showInputMessage="1" showErrorMessage="1" prompt="Beginning year for period in which market price &gt; 0." sqref="D29:H29" xr:uid="{00000000-0002-0000-1100-00000F000000}"/>
    <dataValidation allowBlank="1" showInputMessage="1" showErrorMessage="1" prompt="Ending year for market price." sqref="D30:H30" xr:uid="{00000000-0002-0000-1100-000010000000}"/>
    <dataValidation allowBlank="1" showInputMessage="1" showErrorMessage="1" prompt="Capacity reserve margin" sqref="D31:H31" xr:uid="{00000000-0002-0000-1100-000011000000}"/>
    <dataValidation allowBlank="1" showInputMessage="1" showErrorMessage="1" prompt="Avoided cost of distribution capacity." sqref="D32" xr:uid="{00000000-0002-0000-1100-000012000000}"/>
    <dataValidation allowBlank="1" showInputMessage="1" showErrorMessage="1" prompt="Avoided cost of transmission cpacity." sqref="D33" xr:uid="{00000000-0002-0000-1100-000013000000}"/>
    <dataValidation allowBlank="1" showInputMessage="1" showErrorMessage="1" prompt="Other fuel (electric) avoided cost." sqref="D35:H35" xr:uid="{FA54C842-4BE1-48DF-8E85-AE99EE0949E8}"/>
    <dataValidation allowBlank="1" showInputMessage="1" showErrorMessage="1" prompt="Other fuel (natural gas) avoided cost." sqref="D36:H36" xr:uid="{00000000-0002-0000-1100-000015000000}"/>
    <dataValidation allowBlank="1" showInputMessage="1" showErrorMessage="1" prompt="Other fuel (liquid propane) avoided cost." sqref="D37:H37" xr:uid="{00000000-0002-0000-1100-000016000000}"/>
    <dataValidation allowBlank="1" showInputMessage="1" showErrorMessage="1" prompt="Avoided water cost." sqref="D38:H38" xr:uid="{00000000-0002-0000-1100-000017000000}"/>
    <dataValidation allowBlank="1" showInputMessage="1" showErrorMessage="1" prompt="Avoided waste water (sewerage) cost." sqref="D39:H39" xr:uid="{00000000-0002-0000-1100-000018000000}"/>
    <dataValidation allowBlank="1" showInputMessage="1" showErrorMessage="1" prompt="Present value avoided  replacement cost. [Reference NEBs tab.]" sqref="D40:H40" xr:uid="{00000000-0002-0000-1100-000019000000}"/>
    <dataValidation allowBlank="1" showInputMessage="1" showErrorMessage="1" prompt="Present value deferred replacement cost. [Reference NEBs tab.]" sqref="D41:H41" xr:uid="{00000000-0002-0000-1100-00001A000000}"/>
  </dataValidations>
  <pageMargins left="0.25" right="0.25" top="0.5" bottom="0.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O37"/>
  <sheetViews>
    <sheetView showGridLines="0" zoomScale="90" zoomScaleNormal="90" workbookViewId="0">
      <pane ySplit="3" topLeftCell="A4" activePane="bottomLeft" state="frozen"/>
      <selection pane="bottomLeft" activeCell="M25" sqref="M25"/>
    </sheetView>
  </sheetViews>
  <sheetFormatPr defaultRowHeight="12.75" x14ac:dyDescent="0.2"/>
  <cols>
    <col min="1" max="1" width="1" customWidth="1"/>
    <col min="2" max="2" width="4.140625" customWidth="1"/>
    <col min="3" max="3" width="36.140625" bestFit="1" customWidth="1"/>
    <col min="4" max="4" width="10.85546875" customWidth="1"/>
    <col min="5" max="5" width="13.85546875" customWidth="1"/>
    <col min="6" max="11" width="10.85546875" customWidth="1"/>
    <col min="12" max="12" width="12.140625" customWidth="1"/>
    <col min="14" max="14" width="11.5703125" customWidth="1"/>
    <col min="15" max="15" width="1.85546875" customWidth="1"/>
  </cols>
  <sheetData>
    <row r="1" spans="2:15" ht="4.5" customHeight="1" thickBot="1" x14ac:dyDescent="0.25"/>
    <row r="2" spans="2:15" ht="38.25" customHeight="1" x14ac:dyDescent="0.2">
      <c r="B2" s="728" t="s">
        <v>486</v>
      </c>
      <c r="C2" s="728"/>
      <c r="D2" s="728"/>
      <c r="E2" s="728"/>
      <c r="F2" s="728"/>
      <c r="G2" s="728"/>
      <c r="H2" s="728"/>
      <c r="I2" s="728"/>
      <c r="J2" s="728"/>
      <c r="K2" s="728"/>
      <c r="L2" s="728"/>
      <c r="M2" s="728"/>
      <c r="N2" s="728"/>
      <c r="O2" s="728"/>
    </row>
    <row r="3" spans="2:15" ht="33.75" customHeight="1" x14ac:dyDescent="0.2">
      <c r="B3" s="358"/>
      <c r="C3" s="359"/>
      <c r="D3" s="359"/>
      <c r="E3" s="359"/>
      <c r="F3" s="359"/>
      <c r="G3" s="359"/>
      <c r="H3" s="359"/>
      <c r="I3" s="359"/>
      <c r="J3" s="359"/>
      <c r="K3" s="359"/>
      <c r="L3" s="359"/>
      <c r="M3" s="359"/>
      <c r="N3" s="359"/>
      <c r="O3" s="360"/>
    </row>
    <row r="4" spans="2:15" ht="13.5" thickBot="1" x14ac:dyDescent="0.25">
      <c r="B4" s="358"/>
      <c r="C4" s="359"/>
      <c r="D4" s="359"/>
      <c r="E4" s="359"/>
      <c r="F4" s="359"/>
      <c r="G4" s="359"/>
      <c r="H4" s="359"/>
      <c r="I4" s="359"/>
      <c r="J4" s="359"/>
      <c r="K4" s="359"/>
      <c r="L4" s="359"/>
      <c r="M4" s="359"/>
      <c r="N4" s="359"/>
      <c r="O4" s="360"/>
    </row>
    <row r="5" spans="2:15" ht="12.75" customHeight="1" x14ac:dyDescent="0.2">
      <c r="B5" s="8"/>
      <c r="D5" s="729" t="s">
        <v>500</v>
      </c>
      <c r="E5" s="730"/>
      <c r="F5" s="729" t="s">
        <v>501</v>
      </c>
      <c r="G5" s="730"/>
      <c r="H5" s="729" t="s">
        <v>502</v>
      </c>
      <c r="I5" s="730"/>
      <c r="J5" s="729" t="s">
        <v>503</v>
      </c>
      <c r="K5" s="730"/>
      <c r="L5" s="729" t="s">
        <v>504</v>
      </c>
      <c r="M5" s="730"/>
      <c r="N5" s="731" t="s">
        <v>505</v>
      </c>
      <c r="O5" s="19"/>
    </row>
    <row r="6" spans="2:15" ht="25.5" x14ac:dyDescent="0.25">
      <c r="B6" s="8"/>
      <c r="C6" s="9" t="s">
        <v>93</v>
      </c>
      <c r="D6" s="361" t="s">
        <v>506</v>
      </c>
      <c r="E6" s="362" t="s">
        <v>507</v>
      </c>
      <c r="F6" s="361" t="s">
        <v>508</v>
      </c>
      <c r="G6" s="362" t="s">
        <v>507</v>
      </c>
      <c r="H6" s="361" t="s">
        <v>509</v>
      </c>
      <c r="I6" s="362" t="s">
        <v>507</v>
      </c>
      <c r="J6" s="361" t="s">
        <v>509</v>
      </c>
      <c r="K6" s="362" t="s">
        <v>507</v>
      </c>
      <c r="L6" s="361" t="s">
        <v>510</v>
      </c>
      <c r="M6" s="362" t="s">
        <v>511</v>
      </c>
      <c r="N6" s="731"/>
      <c r="O6" s="19"/>
    </row>
    <row r="7" spans="2:15" x14ac:dyDescent="0.2">
      <c r="B7" s="272">
        <v>1</v>
      </c>
      <c r="C7" s="273" t="str">
        <f>'Program Descriptions'!C5</f>
        <v>Load Mgt (LMP)</v>
      </c>
      <c r="D7" s="423">
        <v>166783</v>
      </c>
      <c r="E7" s="363">
        <v>4230</v>
      </c>
      <c r="F7" s="423">
        <v>0</v>
      </c>
      <c r="G7" s="363">
        <v>0</v>
      </c>
      <c r="H7" s="423">
        <v>0</v>
      </c>
      <c r="I7" s="363">
        <v>0</v>
      </c>
      <c r="J7" s="423">
        <v>0</v>
      </c>
      <c r="K7" s="363">
        <v>0</v>
      </c>
      <c r="L7" s="366">
        <v>0</v>
      </c>
      <c r="M7" s="363">
        <v>0</v>
      </c>
      <c r="N7" s="365">
        <f>E7+G7+I7+K7+L7+M7</f>
        <v>4230</v>
      </c>
      <c r="O7" s="19"/>
    </row>
    <row r="8" spans="2:15" x14ac:dyDescent="0.2">
      <c r="B8" s="272">
        <f>B7+1</f>
        <v>2</v>
      </c>
      <c r="C8" s="273" t="str">
        <f>'Program Descriptions'!C6</f>
        <v>Comm &amp; Industrial (CIEEP)</v>
      </c>
      <c r="D8" s="423">
        <v>8691274</v>
      </c>
      <c r="E8" s="363">
        <v>4283123</v>
      </c>
      <c r="F8" s="423">
        <v>-11265</v>
      </c>
      <c r="G8" s="363">
        <v>-66073</v>
      </c>
      <c r="H8" s="423">
        <v>0</v>
      </c>
      <c r="I8" s="363">
        <v>0</v>
      </c>
      <c r="J8" s="423">
        <v>0</v>
      </c>
      <c r="K8" s="363">
        <v>0</v>
      </c>
      <c r="L8" s="366">
        <v>232033</v>
      </c>
      <c r="M8" s="363">
        <v>0</v>
      </c>
      <c r="N8" s="365">
        <f t="shared" ref="N8:N26" si="0">E8+G8+I8+K8+L8+M8</f>
        <v>4449083</v>
      </c>
      <c r="O8" s="19"/>
    </row>
    <row r="9" spans="2:15" x14ac:dyDescent="0.2">
      <c r="B9" s="272">
        <f t="shared" ref="B9:B26" si="1">B8+1</f>
        <v>3</v>
      </c>
      <c r="C9" s="273" t="str">
        <f>'Program Descriptions'!C7</f>
        <v>Small Business (SBP)</v>
      </c>
      <c r="D9" s="423">
        <v>4161317</v>
      </c>
      <c r="E9" s="363">
        <v>1464802</v>
      </c>
      <c r="F9" s="423">
        <v>0</v>
      </c>
      <c r="G9" s="363">
        <v>0</v>
      </c>
      <c r="H9" s="423">
        <v>0</v>
      </c>
      <c r="I9" s="363">
        <v>0</v>
      </c>
      <c r="J9" s="423">
        <v>0</v>
      </c>
      <c r="K9" s="363">
        <v>0</v>
      </c>
      <c r="L9" s="366">
        <v>347792</v>
      </c>
      <c r="M9" s="363">
        <v>0</v>
      </c>
      <c r="N9" s="365">
        <f t="shared" si="0"/>
        <v>1812594</v>
      </c>
      <c r="O9" s="19"/>
    </row>
    <row r="10" spans="2:15" x14ac:dyDescent="0.2">
      <c r="B10" s="272">
        <f t="shared" si="1"/>
        <v>4</v>
      </c>
      <c r="C10" s="273" t="str">
        <f>'Program Descriptions'!C8</f>
        <v>Efficient Products (EPP)</v>
      </c>
      <c r="D10" s="423">
        <v>159831</v>
      </c>
      <c r="E10" s="363">
        <v>51945</v>
      </c>
      <c r="F10" s="423">
        <v>54</v>
      </c>
      <c r="G10" s="363">
        <v>298</v>
      </c>
      <c r="H10" s="423">
        <v>0</v>
      </c>
      <c r="I10" s="363">
        <v>455361</v>
      </c>
      <c r="J10" s="423">
        <v>379134</v>
      </c>
      <c r="K10" s="363">
        <v>44270</v>
      </c>
      <c r="L10" s="366">
        <v>0</v>
      </c>
      <c r="M10" s="363">
        <v>0</v>
      </c>
      <c r="N10" s="365">
        <f t="shared" si="0"/>
        <v>551874</v>
      </c>
      <c r="O10" s="19"/>
    </row>
    <row r="11" spans="2:15" x14ac:dyDescent="0.2">
      <c r="B11" s="272">
        <f t="shared" si="1"/>
        <v>5</v>
      </c>
      <c r="C11" s="273" t="str">
        <f>'Program Descriptions'!C9</f>
        <v>Res Energy Imprv (REIP)</v>
      </c>
      <c r="D11" s="423">
        <v>7788226</v>
      </c>
      <c r="E11" s="363">
        <v>3832094</v>
      </c>
      <c r="F11" s="423">
        <v>30157</v>
      </c>
      <c r="G11" s="363">
        <v>223203</v>
      </c>
      <c r="H11" s="423">
        <v>0</v>
      </c>
      <c r="I11" s="363">
        <v>0</v>
      </c>
      <c r="J11" s="423">
        <v>67223</v>
      </c>
      <c r="K11" s="363">
        <v>5903</v>
      </c>
      <c r="L11" s="366">
        <v>198</v>
      </c>
      <c r="M11" s="363">
        <v>0</v>
      </c>
      <c r="N11" s="365">
        <f t="shared" si="0"/>
        <v>4061398</v>
      </c>
      <c r="O11" s="19"/>
    </row>
    <row r="12" spans="2:15" x14ac:dyDescent="0.2">
      <c r="B12" s="272">
        <f t="shared" si="1"/>
        <v>6</v>
      </c>
      <c r="C12" s="273" t="str">
        <f>'Program Descriptions'!C10</f>
        <v>Home Weatherization (HWP)</v>
      </c>
      <c r="D12" s="423">
        <v>3106874</v>
      </c>
      <c r="E12" s="363">
        <v>2382296</v>
      </c>
      <c r="F12" s="423">
        <v>100807</v>
      </c>
      <c r="G12" s="363">
        <v>829467</v>
      </c>
      <c r="H12" s="423">
        <v>0</v>
      </c>
      <c r="I12" s="363">
        <v>0</v>
      </c>
      <c r="J12" s="423">
        <v>120207</v>
      </c>
      <c r="K12" s="363">
        <v>10556</v>
      </c>
      <c r="L12" s="366">
        <v>5318</v>
      </c>
      <c r="M12" s="363">
        <v>0</v>
      </c>
      <c r="N12" s="365">
        <f t="shared" si="0"/>
        <v>3227637</v>
      </c>
      <c r="O12" s="19"/>
    </row>
    <row r="13" spans="2:15" x14ac:dyDescent="0.2">
      <c r="B13" s="272">
        <f t="shared" si="1"/>
        <v>7</v>
      </c>
      <c r="C13" s="273" t="str">
        <f>'Program Descriptions'!C11</f>
        <v>Discont'd EE AR (EEA)</v>
      </c>
      <c r="D13" s="423">
        <v>0</v>
      </c>
      <c r="E13" s="363">
        <v>0</v>
      </c>
      <c r="F13" s="423">
        <v>0</v>
      </c>
      <c r="G13" s="363">
        <v>0</v>
      </c>
      <c r="H13" s="423">
        <v>0</v>
      </c>
      <c r="I13" s="363">
        <v>0</v>
      </c>
      <c r="J13" s="423">
        <v>0</v>
      </c>
      <c r="K13" s="363">
        <v>0</v>
      </c>
      <c r="L13" s="366">
        <v>0</v>
      </c>
      <c r="M13" s="363">
        <v>0</v>
      </c>
      <c r="N13" s="365">
        <f t="shared" si="0"/>
        <v>0</v>
      </c>
      <c r="O13" s="19"/>
    </row>
    <row r="14" spans="2:15" x14ac:dyDescent="0.2">
      <c r="B14" s="272">
        <f t="shared" si="1"/>
        <v>8</v>
      </c>
      <c r="C14" s="273" t="str">
        <f>'Program Descriptions'!C12</f>
        <v>Discont'd Onlne Audt(OLA)</v>
      </c>
      <c r="D14" s="423">
        <v>0</v>
      </c>
      <c r="E14" s="363">
        <v>0</v>
      </c>
      <c r="F14" s="423">
        <v>0</v>
      </c>
      <c r="G14" s="363">
        <v>0</v>
      </c>
      <c r="H14" s="423">
        <v>0</v>
      </c>
      <c r="I14" s="363">
        <v>0</v>
      </c>
      <c r="J14" s="423">
        <v>0</v>
      </c>
      <c r="K14" s="363">
        <v>0</v>
      </c>
      <c r="L14" s="366">
        <v>0</v>
      </c>
      <c r="M14" s="363">
        <v>0</v>
      </c>
      <c r="N14" s="365">
        <f t="shared" si="0"/>
        <v>0</v>
      </c>
      <c r="O14" s="19"/>
    </row>
    <row r="15" spans="2:15" x14ac:dyDescent="0.2">
      <c r="B15" s="272">
        <f t="shared" si="1"/>
        <v>9</v>
      </c>
      <c r="C15" s="273" t="str">
        <f>'Program Descriptions'!C13</f>
        <v>Income Qualified (IQW)</v>
      </c>
      <c r="D15" s="423">
        <v>1700442</v>
      </c>
      <c r="E15" s="363">
        <v>1057532</v>
      </c>
      <c r="F15" s="423">
        <v>91488</v>
      </c>
      <c r="G15" s="363">
        <v>697665</v>
      </c>
      <c r="H15" s="423">
        <v>0</v>
      </c>
      <c r="I15" s="363">
        <v>0</v>
      </c>
      <c r="J15" s="423">
        <v>63175</v>
      </c>
      <c r="K15" s="363">
        <v>5548</v>
      </c>
      <c r="L15" s="366">
        <v>2150</v>
      </c>
      <c r="M15" s="363">
        <v>0</v>
      </c>
      <c r="N15" s="365">
        <f t="shared" si="0"/>
        <v>1762895</v>
      </c>
      <c r="O15" s="19"/>
    </row>
    <row r="16" spans="2:15" x14ac:dyDescent="0.2">
      <c r="B16" s="272">
        <f t="shared" si="1"/>
        <v>10</v>
      </c>
      <c r="C16" s="273" t="str">
        <f>'Program Descriptions'!C14</f>
        <v>Discont'd Ele Veh (EVE)</v>
      </c>
      <c r="D16" s="423">
        <v>0</v>
      </c>
      <c r="E16" s="363">
        <v>0</v>
      </c>
      <c r="F16" s="423">
        <v>0</v>
      </c>
      <c r="G16" s="363">
        <v>0</v>
      </c>
      <c r="H16" s="423">
        <v>0</v>
      </c>
      <c r="I16" s="363">
        <v>0</v>
      </c>
      <c r="J16" s="423">
        <v>0</v>
      </c>
      <c r="K16" s="363">
        <v>0</v>
      </c>
      <c r="L16" s="366">
        <v>0</v>
      </c>
      <c r="M16" s="363">
        <v>0</v>
      </c>
      <c r="N16" s="365">
        <f t="shared" si="0"/>
        <v>0</v>
      </c>
      <c r="O16" s="19"/>
    </row>
    <row r="17" spans="2:15" x14ac:dyDescent="0.2">
      <c r="B17" s="272">
        <f t="shared" si="1"/>
        <v>11</v>
      </c>
      <c r="C17" s="273" t="str">
        <f>'Program Descriptions'!C15</f>
        <v>Discont'd Comm Solutions</v>
      </c>
      <c r="D17" s="423">
        <v>0</v>
      </c>
      <c r="E17" s="363">
        <v>0</v>
      </c>
      <c r="F17" s="423">
        <v>0</v>
      </c>
      <c r="G17" s="363">
        <v>0</v>
      </c>
      <c r="H17" s="423">
        <v>0</v>
      </c>
      <c r="I17" s="363">
        <v>0</v>
      </c>
      <c r="J17" s="423">
        <v>0</v>
      </c>
      <c r="K17" s="363">
        <v>0</v>
      </c>
      <c r="L17" s="366">
        <v>0</v>
      </c>
      <c r="M17" s="363">
        <v>0</v>
      </c>
      <c r="N17" s="365">
        <f t="shared" si="0"/>
        <v>0</v>
      </c>
      <c r="O17" s="19"/>
    </row>
    <row r="18" spans="2:15" x14ac:dyDescent="0.2">
      <c r="B18" s="272">
        <f t="shared" si="1"/>
        <v>12</v>
      </c>
      <c r="C18" s="273" t="str">
        <f>'Program Descriptions'!C16</f>
        <v>Discont'd Res Appliance</v>
      </c>
      <c r="D18" s="423">
        <v>0</v>
      </c>
      <c r="E18" s="363">
        <v>0</v>
      </c>
      <c r="F18" s="423">
        <v>0</v>
      </c>
      <c r="G18" s="363">
        <v>0</v>
      </c>
      <c r="H18" s="423">
        <v>0</v>
      </c>
      <c r="I18" s="363">
        <v>0</v>
      </c>
      <c r="J18" s="423">
        <v>0</v>
      </c>
      <c r="K18" s="363">
        <v>0</v>
      </c>
      <c r="L18" s="366">
        <v>0</v>
      </c>
      <c r="M18" s="363">
        <v>0</v>
      </c>
      <c r="N18" s="365">
        <f t="shared" si="0"/>
        <v>0</v>
      </c>
      <c r="O18" s="19"/>
    </row>
    <row r="19" spans="2:15" x14ac:dyDescent="0.2">
      <c r="B19" s="272">
        <f t="shared" si="1"/>
        <v>13</v>
      </c>
      <c r="C19" s="273" t="str">
        <f>'Program Descriptions'!C17</f>
        <v>Discont'd Res Solutions</v>
      </c>
      <c r="D19" s="423">
        <v>0</v>
      </c>
      <c r="E19" s="363">
        <v>0</v>
      </c>
      <c r="F19" s="423">
        <v>0</v>
      </c>
      <c r="G19" s="363">
        <v>0</v>
      </c>
      <c r="H19" s="423">
        <v>0</v>
      </c>
      <c r="I19" s="363">
        <v>0</v>
      </c>
      <c r="J19" s="423">
        <v>0</v>
      </c>
      <c r="K19" s="363">
        <v>0</v>
      </c>
      <c r="L19" s="366">
        <v>0</v>
      </c>
      <c r="M19" s="363">
        <v>0</v>
      </c>
      <c r="N19" s="365">
        <f t="shared" si="0"/>
        <v>0</v>
      </c>
      <c r="O19" s="19"/>
    </row>
    <row r="20" spans="2:15" x14ac:dyDescent="0.2">
      <c r="B20" s="272">
        <f t="shared" si="1"/>
        <v>14</v>
      </c>
      <c r="C20" s="273" t="str">
        <f>'Program Descriptions'!C18</f>
        <v>Discont'd R ES Appliance</v>
      </c>
      <c r="D20" s="423">
        <v>0</v>
      </c>
      <c r="E20" s="363">
        <v>0</v>
      </c>
      <c r="F20" s="423">
        <v>0</v>
      </c>
      <c r="G20" s="363">
        <v>0</v>
      </c>
      <c r="H20" s="423">
        <v>0</v>
      </c>
      <c r="I20" s="363">
        <v>0</v>
      </c>
      <c r="J20" s="423">
        <v>0</v>
      </c>
      <c r="K20" s="363">
        <v>0</v>
      </c>
      <c r="L20" s="366">
        <v>0</v>
      </c>
      <c r="M20" s="363">
        <v>0</v>
      </c>
      <c r="N20" s="365">
        <f t="shared" si="0"/>
        <v>0</v>
      </c>
      <c r="O20" s="19"/>
    </row>
    <row r="21" spans="2:15" x14ac:dyDescent="0.2">
      <c r="B21" s="272">
        <f t="shared" si="1"/>
        <v>15</v>
      </c>
      <c r="C21" s="273" t="str">
        <f>'Program Descriptions'!C19</f>
        <v>Discont'd ARWX (AWIP)</v>
      </c>
      <c r="D21" s="423">
        <v>0</v>
      </c>
      <c r="E21" s="363">
        <v>0</v>
      </c>
      <c r="F21" s="423">
        <v>0</v>
      </c>
      <c r="G21" s="363">
        <v>0</v>
      </c>
      <c r="H21" s="423">
        <v>0</v>
      </c>
      <c r="I21" s="363">
        <v>0</v>
      </c>
      <c r="J21" s="423">
        <v>0</v>
      </c>
      <c r="K21" s="363">
        <v>0</v>
      </c>
      <c r="L21" s="366">
        <v>0</v>
      </c>
      <c r="M21" s="363">
        <v>0</v>
      </c>
      <c r="N21" s="365">
        <f t="shared" si="0"/>
        <v>0</v>
      </c>
      <c r="O21" s="19"/>
    </row>
    <row r="22" spans="2:15" x14ac:dyDescent="0.2">
      <c r="B22" s="272">
        <f t="shared" si="1"/>
        <v>16</v>
      </c>
      <c r="C22" s="273" t="str">
        <f>'Program Descriptions'!C20</f>
        <v>New Construction (NCP)</v>
      </c>
      <c r="D22" s="423">
        <v>482891</v>
      </c>
      <c r="E22" s="363">
        <v>224046</v>
      </c>
      <c r="F22" s="423">
        <v>-2098</v>
      </c>
      <c r="G22" s="363">
        <v>-12305</v>
      </c>
      <c r="H22" s="423">
        <v>0</v>
      </c>
      <c r="I22" s="363">
        <v>0</v>
      </c>
      <c r="J22" s="423">
        <v>0</v>
      </c>
      <c r="K22" s="363">
        <v>0</v>
      </c>
      <c r="L22" s="366">
        <v>42652</v>
      </c>
      <c r="M22" s="363">
        <v>0</v>
      </c>
      <c r="N22" s="365">
        <f t="shared" si="0"/>
        <v>254393</v>
      </c>
      <c r="O22" s="19"/>
    </row>
    <row r="23" spans="2:15" x14ac:dyDescent="0.2">
      <c r="B23" s="272">
        <f t="shared" si="1"/>
        <v>17</v>
      </c>
      <c r="C23" s="273" t="str">
        <f>'Program Descriptions'!C21</f>
        <v>Strat Energy Mgmt (SEMP)</v>
      </c>
      <c r="D23" s="423">
        <v>14670946</v>
      </c>
      <c r="E23" s="363">
        <v>363892</v>
      </c>
      <c r="F23" s="423">
        <v>0</v>
      </c>
      <c r="G23" s="363">
        <v>0</v>
      </c>
      <c r="H23" s="423">
        <v>0</v>
      </c>
      <c r="I23" s="363">
        <v>0</v>
      </c>
      <c r="J23" s="423">
        <v>0</v>
      </c>
      <c r="K23" s="363">
        <v>0</v>
      </c>
      <c r="L23" s="366">
        <v>0</v>
      </c>
      <c r="M23" s="363">
        <v>0</v>
      </c>
      <c r="N23" s="365">
        <f t="shared" si="0"/>
        <v>363892</v>
      </c>
      <c r="O23" s="19"/>
    </row>
    <row r="24" spans="2:15" x14ac:dyDescent="0.2">
      <c r="B24" s="272">
        <f t="shared" si="1"/>
        <v>18</v>
      </c>
      <c r="C24" s="273" t="str">
        <f>'Program Descriptions'!C22</f>
        <v>Bring Y/Otstat (BYOT)</v>
      </c>
      <c r="D24" s="423">
        <v>16677</v>
      </c>
      <c r="E24" s="363">
        <v>438</v>
      </c>
      <c r="F24" s="423">
        <v>0</v>
      </c>
      <c r="G24" s="363">
        <v>0</v>
      </c>
      <c r="H24" s="423">
        <v>0</v>
      </c>
      <c r="I24" s="363">
        <v>0</v>
      </c>
      <c r="J24" s="423">
        <v>0</v>
      </c>
      <c r="K24" s="363">
        <v>0</v>
      </c>
      <c r="L24" s="366">
        <v>0</v>
      </c>
      <c r="M24" s="363">
        <v>0</v>
      </c>
      <c r="N24" s="365">
        <f t="shared" si="0"/>
        <v>438</v>
      </c>
      <c r="O24" s="19"/>
    </row>
    <row r="25" spans="2:15" x14ac:dyDescent="0.2">
      <c r="B25" s="272">
        <f t="shared" si="1"/>
        <v>19</v>
      </c>
      <c r="C25" s="273" t="str">
        <f>'Program Descriptions'!C23</f>
        <v>Empty</v>
      </c>
      <c r="D25" s="423">
        <v>0</v>
      </c>
      <c r="E25" s="363">
        <v>0</v>
      </c>
      <c r="F25" s="423">
        <v>0</v>
      </c>
      <c r="G25" s="363">
        <v>0</v>
      </c>
      <c r="H25" s="423">
        <v>0</v>
      </c>
      <c r="I25" s="363">
        <v>0</v>
      </c>
      <c r="J25" s="423">
        <v>0</v>
      </c>
      <c r="K25" s="363">
        <v>0</v>
      </c>
      <c r="L25" s="366">
        <v>0</v>
      </c>
      <c r="M25" s="363">
        <v>0</v>
      </c>
      <c r="N25" s="365">
        <f t="shared" si="0"/>
        <v>0</v>
      </c>
      <c r="O25" s="19"/>
    </row>
    <row r="26" spans="2:15" ht="13.5" thickBot="1" x14ac:dyDescent="0.25">
      <c r="B26" s="272">
        <f t="shared" si="1"/>
        <v>20</v>
      </c>
      <c r="C26" s="273" t="str">
        <f>'Program Descriptions'!C24</f>
        <v>Empty</v>
      </c>
      <c r="D26" s="424">
        <v>0</v>
      </c>
      <c r="E26" s="364">
        <v>0</v>
      </c>
      <c r="F26" s="424">
        <v>0</v>
      </c>
      <c r="G26" s="364">
        <v>0</v>
      </c>
      <c r="H26" s="424">
        <v>0</v>
      </c>
      <c r="I26" s="364">
        <v>0</v>
      </c>
      <c r="J26" s="424">
        <v>0</v>
      </c>
      <c r="K26" s="364">
        <v>0</v>
      </c>
      <c r="L26" s="367">
        <v>0</v>
      </c>
      <c r="M26" s="364">
        <v>0</v>
      </c>
      <c r="N26" s="365">
        <f t="shared" si="0"/>
        <v>0</v>
      </c>
      <c r="O26" s="19"/>
    </row>
    <row r="27" spans="2:15" x14ac:dyDescent="0.2">
      <c r="B27" s="8"/>
      <c r="C27" s="277" t="s">
        <v>183</v>
      </c>
      <c r="D27" s="67">
        <f t="shared" ref="D27:K27" si="2">SUM(D7:D26)</f>
        <v>40945261</v>
      </c>
      <c r="E27" s="14">
        <f t="shared" si="2"/>
        <v>13664398</v>
      </c>
      <c r="F27" s="67">
        <f t="shared" si="2"/>
        <v>209143</v>
      </c>
      <c r="G27" s="14">
        <f t="shared" si="2"/>
        <v>1672255</v>
      </c>
      <c r="H27" s="67">
        <f t="shared" si="2"/>
        <v>0</v>
      </c>
      <c r="I27" s="14">
        <f t="shared" si="2"/>
        <v>455361</v>
      </c>
      <c r="J27" s="67">
        <f t="shared" si="2"/>
        <v>629739</v>
      </c>
      <c r="K27" s="14">
        <f t="shared" si="2"/>
        <v>66277</v>
      </c>
      <c r="L27" s="14">
        <f t="shared" ref="L27:N27" si="3">SUM(L7:L26)</f>
        <v>630143</v>
      </c>
      <c r="M27" s="14">
        <f t="shared" si="3"/>
        <v>0</v>
      </c>
      <c r="N27" s="14">
        <f t="shared" si="3"/>
        <v>16488434</v>
      </c>
      <c r="O27" s="19"/>
    </row>
    <row r="28" spans="2:15" x14ac:dyDescent="0.2">
      <c r="B28" s="8"/>
      <c r="C28" s="273"/>
      <c r="O28" s="19"/>
    </row>
    <row r="29" spans="2:15" x14ac:dyDescent="0.2">
      <c r="B29" s="8"/>
      <c r="O29" s="19"/>
    </row>
    <row r="30" spans="2:15" ht="15.75" x14ac:dyDescent="0.25">
      <c r="B30" s="8"/>
      <c r="C30" s="9" t="s">
        <v>496</v>
      </c>
      <c r="O30" s="19"/>
    </row>
    <row r="31" spans="2:15" x14ac:dyDescent="0.2">
      <c r="B31" s="272">
        <v>1</v>
      </c>
      <c r="C31" s="725"/>
      <c r="D31" s="726"/>
      <c r="E31" s="726"/>
      <c r="F31" s="726"/>
      <c r="G31" s="726"/>
      <c r="H31" s="726"/>
      <c r="I31" s="726"/>
      <c r="J31" s="726"/>
      <c r="K31" s="726"/>
      <c r="L31" s="726"/>
      <c r="M31" s="726"/>
      <c r="N31" s="727"/>
      <c r="O31" s="19"/>
    </row>
    <row r="32" spans="2:15" x14ac:dyDescent="0.2">
      <c r="B32" s="272">
        <f>B31+1</f>
        <v>2</v>
      </c>
      <c r="C32" s="725"/>
      <c r="D32" s="726"/>
      <c r="E32" s="726"/>
      <c r="F32" s="726"/>
      <c r="G32" s="726"/>
      <c r="H32" s="726"/>
      <c r="I32" s="726"/>
      <c r="J32" s="726"/>
      <c r="K32" s="726"/>
      <c r="L32" s="726"/>
      <c r="M32" s="726"/>
      <c r="N32" s="727"/>
      <c r="O32" s="19"/>
    </row>
    <row r="33" spans="2:15" x14ac:dyDescent="0.2">
      <c r="B33" s="272">
        <f t="shared" ref="B33:B35" si="4">B32+1</f>
        <v>3</v>
      </c>
      <c r="C33" s="725"/>
      <c r="D33" s="726"/>
      <c r="E33" s="726"/>
      <c r="F33" s="726"/>
      <c r="G33" s="726"/>
      <c r="H33" s="726"/>
      <c r="I33" s="726"/>
      <c r="J33" s="726"/>
      <c r="K33" s="726"/>
      <c r="L33" s="726"/>
      <c r="M33" s="726"/>
      <c r="N33" s="727"/>
      <c r="O33" s="19"/>
    </row>
    <row r="34" spans="2:15" x14ac:dyDescent="0.2">
      <c r="B34" s="272">
        <f t="shared" si="4"/>
        <v>4</v>
      </c>
      <c r="C34" s="725"/>
      <c r="D34" s="726"/>
      <c r="E34" s="726"/>
      <c r="F34" s="726"/>
      <c r="G34" s="726"/>
      <c r="H34" s="726"/>
      <c r="I34" s="726"/>
      <c r="J34" s="726"/>
      <c r="K34" s="726"/>
      <c r="L34" s="726"/>
      <c r="M34" s="726"/>
      <c r="N34" s="727"/>
      <c r="O34" s="19"/>
    </row>
    <row r="35" spans="2:15" x14ac:dyDescent="0.2">
      <c r="B35" s="272">
        <f t="shared" si="4"/>
        <v>5</v>
      </c>
      <c r="C35" s="725"/>
      <c r="D35" s="726"/>
      <c r="E35" s="726"/>
      <c r="F35" s="726"/>
      <c r="G35" s="726"/>
      <c r="H35" s="726"/>
      <c r="I35" s="726"/>
      <c r="J35" s="726"/>
      <c r="K35" s="726"/>
      <c r="L35" s="726"/>
      <c r="M35" s="726"/>
      <c r="N35" s="727"/>
      <c r="O35" s="19"/>
    </row>
    <row r="36" spans="2:15" x14ac:dyDescent="0.2">
      <c r="B36" s="8"/>
      <c r="O36" s="19"/>
    </row>
    <row r="37" spans="2:15" x14ac:dyDescent="0.2">
      <c r="B37" s="313"/>
      <c r="C37" s="314"/>
      <c r="D37" s="314"/>
      <c r="E37" s="314"/>
      <c r="F37" s="314"/>
      <c r="G37" s="314"/>
      <c r="H37" s="314"/>
      <c r="I37" s="314"/>
      <c r="J37" s="314"/>
      <c r="K37" s="314"/>
      <c r="L37" s="314"/>
      <c r="M37" s="314"/>
      <c r="N37" s="314"/>
      <c r="O37" s="315"/>
    </row>
  </sheetData>
  <sheetProtection algorithmName="SHA-512" hashValue="7Ln9pfxKaf4fovv8SfbbNIthwoL8kvKnewGhwSTldIJT2gZp0SA8KzpBBw6LwgZ4R8jLYomWibQ4nDzHUKvlhQ==" saltValue="WiV2kWYXsnxbgiBoS/lhVg==" spinCount="100000" sheet="1" objects="1" scenarios="1"/>
  <mergeCells count="12">
    <mergeCell ref="B2:O2"/>
    <mergeCell ref="D5:E5"/>
    <mergeCell ref="F5:G5"/>
    <mergeCell ref="H5:I5"/>
    <mergeCell ref="J5:K5"/>
    <mergeCell ref="L5:M5"/>
    <mergeCell ref="N5:N6"/>
    <mergeCell ref="C31:N31"/>
    <mergeCell ref="C32:N32"/>
    <mergeCell ref="C33:N33"/>
    <mergeCell ref="C34:N34"/>
    <mergeCell ref="C35:N35"/>
  </mergeCells>
  <conditionalFormatting sqref="D7:N26">
    <cfRule type="expression" dxfId="20" priority="1">
      <formula>$B7&gt;Programs</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CC21"/>
  <sheetViews>
    <sheetView showGridLines="0" showRowColHeaders="0" zoomScale="90" zoomScaleNormal="90" workbookViewId="0"/>
  </sheetViews>
  <sheetFormatPr defaultRowHeight="12.75" x14ac:dyDescent="0.2"/>
  <cols>
    <col min="1" max="1" width="1" customWidth="1"/>
    <col min="2" max="82" width="1.85546875" customWidth="1"/>
    <col min="85" max="85" width="10.140625" customWidth="1"/>
    <col min="86" max="86" width="2.42578125" customWidth="1"/>
  </cols>
  <sheetData>
    <row r="1" spans="2:81" ht="56.25" customHeight="1" x14ac:dyDescent="0.2">
      <c r="E1" s="56"/>
      <c r="F1" s="56"/>
      <c r="G1" s="56"/>
      <c r="S1" s="327" t="s">
        <v>59</v>
      </c>
    </row>
    <row r="2" spans="2:81" ht="56.25" customHeight="1" x14ac:dyDescent="0.2">
      <c r="E2" s="57"/>
      <c r="F2" s="57"/>
      <c r="G2" s="57"/>
      <c r="T2" s="328" t="s">
        <v>60</v>
      </c>
    </row>
    <row r="3" spans="2:81" ht="13.5" thickBot="1" x14ac:dyDescent="0.25">
      <c r="B3" s="359"/>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row>
    <row r="4" spans="2:81" ht="15.75" x14ac:dyDescent="0.25">
      <c r="B4" s="659" t="s">
        <v>61</v>
      </c>
      <c r="C4" s="660"/>
      <c r="D4" s="660"/>
      <c r="E4" s="660"/>
      <c r="F4" s="660"/>
      <c r="G4" s="660"/>
      <c r="H4" s="660"/>
      <c r="I4" s="660"/>
      <c r="J4" s="660"/>
      <c r="K4" s="660"/>
      <c r="L4" s="660"/>
      <c r="M4" s="660"/>
      <c r="N4" s="660"/>
      <c r="O4" s="660"/>
      <c r="P4" s="660"/>
      <c r="Q4" s="661"/>
      <c r="R4" s="659" t="s">
        <v>62</v>
      </c>
      <c r="S4" s="660"/>
      <c r="T4" s="660"/>
      <c r="U4" s="660"/>
      <c r="V4" s="660"/>
      <c r="W4" s="660"/>
      <c r="X4" s="660"/>
      <c r="Y4" s="660"/>
      <c r="Z4" s="660"/>
      <c r="AA4" s="660"/>
      <c r="AB4" s="660"/>
      <c r="AC4" s="660"/>
      <c r="AD4" s="660"/>
      <c r="AE4" s="660"/>
      <c r="AF4" s="660"/>
      <c r="AG4" s="660"/>
      <c r="AH4" s="660"/>
      <c r="AI4" s="660"/>
      <c r="AJ4" s="660"/>
      <c r="AK4" s="660"/>
      <c r="AL4" s="660"/>
      <c r="AM4" s="660"/>
      <c r="AN4" s="660"/>
      <c r="AO4" s="660"/>
      <c r="AP4" s="660"/>
      <c r="AQ4" s="660"/>
      <c r="AR4" s="660"/>
      <c r="AS4" s="660"/>
      <c r="AT4" s="660"/>
      <c r="AU4" s="660"/>
      <c r="AV4" s="660"/>
      <c r="AW4" s="660"/>
      <c r="AX4" s="660"/>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c r="CC4" s="661"/>
    </row>
    <row r="5" spans="2:81" ht="9.9499999999999993" customHeight="1" x14ac:dyDescent="0.2">
      <c r="B5" s="178"/>
      <c r="C5" s="89"/>
      <c r="D5" s="89"/>
      <c r="E5" s="89"/>
      <c r="F5" s="89"/>
      <c r="G5" s="89"/>
      <c r="H5" s="89"/>
      <c r="I5" s="89"/>
      <c r="J5" s="89"/>
      <c r="K5" s="89"/>
      <c r="L5" s="89"/>
      <c r="M5" s="89"/>
      <c r="N5" s="89"/>
      <c r="O5" s="89"/>
      <c r="P5" s="89"/>
      <c r="Q5" s="179"/>
      <c r="R5" s="178"/>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c r="BE5" s="89"/>
      <c r="BF5" s="89"/>
      <c r="BG5" s="89"/>
      <c r="BH5" s="89"/>
      <c r="BI5" s="89"/>
      <c r="BJ5" s="89"/>
      <c r="BK5" s="89"/>
      <c r="BL5" s="89"/>
      <c r="BM5" s="89"/>
      <c r="BN5" s="89"/>
      <c r="BO5" s="89"/>
      <c r="BP5" s="89"/>
      <c r="BQ5" s="89"/>
      <c r="BR5" s="89"/>
      <c r="BS5" s="89"/>
      <c r="BT5" s="89"/>
      <c r="BU5" s="89"/>
      <c r="BV5" s="89"/>
      <c r="BW5" s="89"/>
      <c r="BX5" s="89"/>
      <c r="BY5" s="89"/>
      <c r="BZ5" s="89"/>
      <c r="CA5" s="89"/>
      <c r="CB5" s="89"/>
      <c r="CC5" s="179"/>
    </row>
    <row r="6" spans="2:81" ht="9.9499999999999993" customHeight="1" x14ac:dyDescent="0.2">
      <c r="B6" s="178"/>
      <c r="C6" s="89"/>
      <c r="D6" s="89"/>
      <c r="E6" s="89"/>
      <c r="F6" s="89"/>
      <c r="G6" s="89"/>
      <c r="H6" s="89"/>
      <c r="I6" s="89"/>
      <c r="J6" s="89"/>
      <c r="K6" s="89"/>
      <c r="L6" s="89"/>
      <c r="M6" s="89"/>
      <c r="N6" s="89"/>
      <c r="O6" s="89"/>
      <c r="P6" s="89"/>
      <c r="Q6" s="179"/>
      <c r="R6" s="178"/>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c r="BY6" s="89"/>
      <c r="BZ6" s="89"/>
      <c r="CA6" s="89"/>
      <c r="CB6" s="89"/>
      <c r="CC6" s="179"/>
    </row>
    <row r="7" spans="2:81" ht="9.9499999999999993" customHeight="1" x14ac:dyDescent="0.2">
      <c r="B7" s="178"/>
      <c r="C7" s="89"/>
      <c r="D7" s="89"/>
      <c r="E7" s="89"/>
      <c r="F7" s="89"/>
      <c r="G7" s="89"/>
      <c r="H7" s="89"/>
      <c r="I7" s="89"/>
      <c r="J7" s="89"/>
      <c r="K7" s="89"/>
      <c r="L7" s="89"/>
      <c r="M7" s="89"/>
      <c r="N7" s="89"/>
      <c r="O7" s="89"/>
      <c r="P7" s="89"/>
      <c r="Q7" s="179"/>
      <c r="R7" s="178"/>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c r="BE7" s="89"/>
      <c r="BF7" s="89"/>
      <c r="BG7" s="89"/>
      <c r="BH7" s="89"/>
      <c r="BI7" s="89"/>
      <c r="BJ7" s="89"/>
      <c r="BK7" s="89"/>
      <c r="BL7" s="89"/>
      <c r="BM7" s="89"/>
      <c r="BN7" s="89"/>
      <c r="BO7" s="89"/>
      <c r="BP7" s="89"/>
      <c r="BQ7" s="89"/>
      <c r="BR7" s="89"/>
      <c r="BS7" s="89"/>
      <c r="BT7" s="89"/>
      <c r="BU7" s="89"/>
      <c r="BV7" s="89"/>
      <c r="BW7" s="89"/>
      <c r="BX7" s="89"/>
      <c r="BY7" s="89"/>
      <c r="BZ7" s="89"/>
      <c r="CA7" s="89"/>
      <c r="CB7" s="89"/>
      <c r="CC7" s="179"/>
    </row>
    <row r="8" spans="2:81" ht="9.9499999999999993" customHeight="1" x14ac:dyDescent="0.2">
      <c r="B8" s="178"/>
      <c r="C8" s="89"/>
      <c r="D8" s="89"/>
      <c r="E8" s="89"/>
      <c r="F8" s="89"/>
      <c r="G8" s="89"/>
      <c r="H8" s="89"/>
      <c r="I8" s="89"/>
      <c r="J8" s="89"/>
      <c r="K8" s="89"/>
      <c r="L8" s="89"/>
      <c r="M8" s="89"/>
      <c r="N8" s="89"/>
      <c r="O8" s="89"/>
      <c r="P8" s="89"/>
      <c r="Q8" s="179"/>
      <c r="R8" s="178"/>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179"/>
    </row>
    <row r="9" spans="2:81" ht="9.9499999999999993" customHeight="1" x14ac:dyDescent="0.2">
      <c r="B9" s="178"/>
      <c r="C9" s="89"/>
      <c r="D9" s="89"/>
      <c r="E9" s="89"/>
      <c r="F9" s="89"/>
      <c r="G9" s="89"/>
      <c r="H9" s="89"/>
      <c r="I9" s="89"/>
      <c r="J9" s="89"/>
      <c r="K9" s="89"/>
      <c r="L9" s="89"/>
      <c r="M9" s="89"/>
      <c r="N9" s="89"/>
      <c r="O9" s="89"/>
      <c r="P9" s="89"/>
      <c r="Q9" s="179"/>
      <c r="R9" s="178"/>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179"/>
    </row>
    <row r="10" spans="2:81" ht="9.9499999999999993" customHeight="1" x14ac:dyDescent="0.2">
      <c r="B10" s="178"/>
      <c r="C10" s="89"/>
      <c r="D10" s="89"/>
      <c r="E10" s="89"/>
      <c r="F10" s="89"/>
      <c r="G10" s="89"/>
      <c r="H10" s="89"/>
      <c r="I10" s="89"/>
      <c r="J10" s="89"/>
      <c r="K10" s="89"/>
      <c r="L10" s="89"/>
      <c r="M10" s="89"/>
      <c r="N10" s="89"/>
      <c r="O10" s="89"/>
      <c r="P10" s="89"/>
      <c r="Q10" s="179"/>
      <c r="R10" s="178"/>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179"/>
    </row>
    <row r="11" spans="2:81" ht="9.9499999999999993" customHeight="1" thickBot="1" x14ac:dyDescent="0.25">
      <c r="B11" s="180"/>
      <c r="C11" s="182"/>
      <c r="D11" s="182"/>
      <c r="E11" s="182"/>
      <c r="F11" s="182"/>
      <c r="G11" s="182"/>
      <c r="H11" s="182"/>
      <c r="I11" s="182"/>
      <c r="J11" s="182"/>
      <c r="K11" s="182"/>
      <c r="L11" s="182"/>
      <c r="M11" s="182"/>
      <c r="N11" s="182"/>
      <c r="O11" s="182"/>
      <c r="P11" s="182"/>
      <c r="Q11" s="181"/>
      <c r="R11" s="180"/>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1"/>
    </row>
    <row r="14" spans="2:81" ht="13.5" thickBot="1" x14ac:dyDescent="0.25"/>
    <row r="15" spans="2:81" ht="15.75" x14ac:dyDescent="0.25">
      <c r="B15" s="659" t="s">
        <v>63</v>
      </c>
      <c r="C15" s="660"/>
      <c r="D15" s="660"/>
      <c r="E15" s="660"/>
      <c r="F15" s="660"/>
      <c r="G15" s="660"/>
      <c r="H15" s="660"/>
      <c r="I15" s="660"/>
      <c r="J15" s="660"/>
      <c r="K15" s="660"/>
      <c r="L15" s="660"/>
      <c r="M15" s="660"/>
      <c r="N15" s="660"/>
      <c r="O15" s="660"/>
      <c r="P15" s="660"/>
      <c r="Q15" s="660"/>
      <c r="R15" s="660"/>
      <c r="S15" s="660"/>
      <c r="T15" s="660"/>
      <c r="U15" s="660"/>
      <c r="V15" s="660"/>
      <c r="W15" s="660"/>
      <c r="X15" s="660"/>
      <c r="Y15" s="660"/>
      <c r="Z15" s="660"/>
      <c r="AA15" s="660"/>
      <c r="AB15" s="660"/>
      <c r="AC15" s="660"/>
      <c r="AD15" s="660"/>
      <c r="AE15" s="660"/>
      <c r="AF15" s="660"/>
      <c r="AG15" s="660"/>
      <c r="AH15" s="660"/>
      <c r="AI15" s="660"/>
      <c r="AJ15" s="660"/>
      <c r="AK15" s="660"/>
      <c r="AL15" s="660"/>
      <c r="AM15" s="660"/>
      <c r="AN15" s="660"/>
      <c r="AO15" s="661"/>
      <c r="AP15" s="659" t="s">
        <v>64</v>
      </c>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1"/>
      <c r="BN15" s="659" t="s">
        <v>65</v>
      </c>
      <c r="BO15" s="660"/>
      <c r="BP15" s="660"/>
      <c r="BQ15" s="660"/>
      <c r="BR15" s="660"/>
      <c r="BS15" s="660"/>
      <c r="BT15" s="660"/>
      <c r="BU15" s="660"/>
      <c r="BV15" s="660"/>
      <c r="BW15" s="660"/>
      <c r="BX15" s="660"/>
      <c r="BY15" s="660"/>
      <c r="BZ15" s="660"/>
      <c r="CA15" s="660"/>
      <c r="CB15" s="660"/>
      <c r="CC15" s="661"/>
    </row>
    <row r="16" spans="2:81" ht="54.75" customHeight="1" x14ac:dyDescent="0.2">
      <c r="B16" s="653" t="s">
        <v>66</v>
      </c>
      <c r="C16" s="654"/>
      <c r="D16" s="654"/>
      <c r="E16" s="654"/>
      <c r="F16" s="654"/>
      <c r="G16" s="654"/>
      <c r="H16" s="654"/>
      <c r="I16" s="655"/>
      <c r="J16" s="657" t="s">
        <v>67</v>
      </c>
      <c r="K16" s="654"/>
      <c r="L16" s="654"/>
      <c r="M16" s="654"/>
      <c r="N16" s="654"/>
      <c r="O16" s="654"/>
      <c r="P16" s="654"/>
      <c r="Q16" s="655"/>
      <c r="R16" s="657" t="s">
        <v>68</v>
      </c>
      <c r="S16" s="654"/>
      <c r="T16" s="654"/>
      <c r="U16" s="654"/>
      <c r="V16" s="654"/>
      <c r="W16" s="654"/>
      <c r="X16" s="654"/>
      <c r="Y16" s="655"/>
      <c r="Z16" s="657" t="s">
        <v>69</v>
      </c>
      <c r="AA16" s="654"/>
      <c r="AB16" s="654"/>
      <c r="AC16" s="654"/>
      <c r="AD16" s="654"/>
      <c r="AE16" s="654"/>
      <c r="AF16" s="654"/>
      <c r="AG16" s="655"/>
      <c r="AH16" s="657" t="s">
        <v>70</v>
      </c>
      <c r="AI16" s="654"/>
      <c r="AJ16" s="654"/>
      <c r="AK16" s="654"/>
      <c r="AL16" s="654"/>
      <c r="AM16" s="654"/>
      <c r="AN16" s="654"/>
      <c r="AO16" s="658"/>
      <c r="AP16" s="653" t="s">
        <v>71</v>
      </c>
      <c r="AQ16" s="654"/>
      <c r="AR16" s="654"/>
      <c r="AS16" s="654"/>
      <c r="AT16" s="654"/>
      <c r="AU16" s="654"/>
      <c r="AV16" s="654"/>
      <c r="AW16" s="655"/>
      <c r="AX16" s="657" t="s">
        <v>72</v>
      </c>
      <c r="AY16" s="654"/>
      <c r="AZ16" s="654"/>
      <c r="BA16" s="654"/>
      <c r="BB16" s="654"/>
      <c r="BC16" s="654"/>
      <c r="BD16" s="654"/>
      <c r="BE16" s="655"/>
      <c r="BF16" s="657" t="s">
        <v>73</v>
      </c>
      <c r="BG16" s="654"/>
      <c r="BH16" s="654"/>
      <c r="BI16" s="654"/>
      <c r="BJ16" s="654"/>
      <c r="BK16" s="654"/>
      <c r="BL16" s="654"/>
      <c r="BM16" s="658"/>
      <c r="BN16" s="653" t="s">
        <v>74</v>
      </c>
      <c r="BO16" s="654"/>
      <c r="BP16" s="654"/>
      <c r="BQ16" s="654"/>
      <c r="BR16" s="654"/>
      <c r="BS16" s="654"/>
      <c r="BT16" s="654"/>
      <c r="BU16" s="655"/>
      <c r="BV16" s="657" t="s">
        <v>75</v>
      </c>
      <c r="BW16" s="654"/>
      <c r="BX16" s="654"/>
      <c r="BY16" s="654"/>
      <c r="BZ16" s="654"/>
      <c r="CA16" s="654"/>
      <c r="CB16" s="654"/>
      <c r="CC16" s="658"/>
    </row>
    <row r="17" spans="2:81" ht="8.1" customHeight="1" x14ac:dyDescent="0.2">
      <c r="B17" s="494"/>
      <c r="C17" s="495"/>
      <c r="D17" s="495"/>
      <c r="E17" s="495"/>
      <c r="F17" s="495"/>
      <c r="G17" s="495"/>
      <c r="H17" s="495"/>
      <c r="I17" s="496"/>
      <c r="J17" s="497"/>
      <c r="K17" s="495"/>
      <c r="L17" s="495"/>
      <c r="M17" s="495"/>
      <c r="N17" s="495"/>
      <c r="O17" s="495"/>
      <c r="P17" s="495"/>
      <c r="Q17" s="496"/>
      <c r="R17" s="497"/>
      <c r="S17" s="495"/>
      <c r="T17" s="495"/>
      <c r="U17" s="495"/>
      <c r="V17" s="495"/>
      <c r="W17" s="495"/>
      <c r="X17" s="495"/>
      <c r="Y17" s="496"/>
      <c r="Z17" s="497"/>
      <c r="AA17" s="495"/>
      <c r="AB17" s="495"/>
      <c r="AC17" s="495"/>
      <c r="AD17" s="495"/>
      <c r="AE17" s="495"/>
      <c r="AF17" s="495"/>
      <c r="AG17" s="496"/>
      <c r="AH17" s="497"/>
      <c r="AI17" s="495"/>
      <c r="AJ17" s="495"/>
      <c r="AK17" s="495"/>
      <c r="AL17" s="495"/>
      <c r="AM17" s="495"/>
      <c r="AN17" s="495"/>
      <c r="AO17" s="498"/>
      <c r="AP17" s="494"/>
      <c r="AQ17" s="495"/>
      <c r="AR17" s="495"/>
      <c r="AS17" s="495"/>
      <c r="AT17" s="495"/>
      <c r="AU17" s="495"/>
      <c r="AV17" s="495"/>
      <c r="AW17" s="496"/>
      <c r="AX17" s="497"/>
      <c r="AY17" s="495"/>
      <c r="AZ17" s="495"/>
      <c r="BA17" s="495"/>
      <c r="BB17" s="495"/>
      <c r="BC17" s="495"/>
      <c r="BD17" s="495"/>
      <c r="BE17" s="496"/>
      <c r="BF17" s="497"/>
      <c r="BG17" s="495"/>
      <c r="BH17" s="495"/>
      <c r="BI17" s="495"/>
      <c r="BJ17" s="495"/>
      <c r="BK17" s="495"/>
      <c r="BL17" s="495"/>
      <c r="BM17" s="498"/>
      <c r="BN17" s="494"/>
      <c r="BO17" s="495"/>
      <c r="BP17" s="495"/>
      <c r="BQ17" s="495"/>
      <c r="BR17" s="495"/>
      <c r="BS17" s="495"/>
      <c r="BT17" s="495"/>
      <c r="BU17" s="496"/>
      <c r="BV17" s="497"/>
      <c r="BW17" s="495"/>
      <c r="BX17" s="495"/>
      <c r="BY17" s="495"/>
      <c r="BZ17" s="495"/>
      <c r="CA17" s="495"/>
      <c r="CB17" s="495"/>
      <c r="CC17" s="498"/>
    </row>
    <row r="18" spans="2:81" ht="22.5" customHeight="1" x14ac:dyDescent="0.2">
      <c r="B18" s="499"/>
      <c r="C18" s="656"/>
      <c r="D18" s="656"/>
      <c r="E18" s="656"/>
      <c r="F18" s="656"/>
      <c r="G18" s="656"/>
      <c r="H18" s="656"/>
      <c r="I18" s="500"/>
      <c r="J18" s="501"/>
      <c r="K18" s="656"/>
      <c r="L18" s="656"/>
      <c r="M18" s="656"/>
      <c r="N18" s="656"/>
      <c r="O18" s="656"/>
      <c r="P18" s="656"/>
      <c r="Q18" s="500"/>
      <c r="R18" s="501"/>
      <c r="S18" s="656"/>
      <c r="T18" s="656"/>
      <c r="U18" s="656"/>
      <c r="V18" s="656"/>
      <c r="W18" s="656"/>
      <c r="X18" s="656"/>
      <c r="Y18" s="500"/>
      <c r="Z18" s="501"/>
      <c r="AA18" s="656"/>
      <c r="AB18" s="656"/>
      <c r="AC18" s="656"/>
      <c r="AD18" s="656"/>
      <c r="AE18" s="656"/>
      <c r="AF18" s="656"/>
      <c r="AG18" s="500"/>
      <c r="AH18" s="501"/>
      <c r="AI18" s="656"/>
      <c r="AJ18" s="656"/>
      <c r="AK18" s="656"/>
      <c r="AL18" s="656"/>
      <c r="AM18" s="656"/>
      <c r="AN18" s="656"/>
      <c r="AO18" s="502"/>
      <c r="AP18" s="499"/>
      <c r="AQ18" s="656"/>
      <c r="AR18" s="656"/>
      <c r="AS18" s="656"/>
      <c r="AT18" s="656"/>
      <c r="AU18" s="656"/>
      <c r="AV18" s="656"/>
      <c r="AW18" s="500"/>
      <c r="AX18" s="501"/>
      <c r="AY18" s="656"/>
      <c r="AZ18" s="656"/>
      <c r="BA18" s="656"/>
      <c r="BB18" s="656"/>
      <c r="BC18" s="656"/>
      <c r="BD18" s="656"/>
      <c r="BE18" s="500"/>
      <c r="BF18" s="501"/>
      <c r="BG18" s="656"/>
      <c r="BH18" s="656"/>
      <c r="BI18" s="656"/>
      <c r="BJ18" s="656"/>
      <c r="BK18" s="656"/>
      <c r="BL18" s="656"/>
      <c r="BM18" s="502"/>
      <c r="BN18" s="499"/>
      <c r="BO18" s="656"/>
      <c r="BP18" s="656"/>
      <c r="BQ18" s="656"/>
      <c r="BR18" s="656"/>
      <c r="BS18" s="656"/>
      <c r="BT18" s="656"/>
      <c r="BU18" s="500"/>
      <c r="BV18" s="501"/>
      <c r="BW18" s="656"/>
      <c r="BX18" s="656"/>
      <c r="BY18" s="656"/>
      <c r="BZ18" s="656"/>
      <c r="CA18" s="656"/>
      <c r="CB18" s="656"/>
      <c r="CC18" s="502"/>
    </row>
    <row r="19" spans="2:81" ht="8.1" customHeight="1" thickBot="1" x14ac:dyDescent="0.25">
      <c r="B19" s="503"/>
      <c r="C19" s="504"/>
      <c r="D19" s="504"/>
      <c r="E19" s="504"/>
      <c r="F19" s="504"/>
      <c r="G19" s="504"/>
      <c r="H19" s="504"/>
      <c r="I19" s="505"/>
      <c r="J19" s="506"/>
      <c r="K19" s="504"/>
      <c r="L19" s="504"/>
      <c r="M19" s="504"/>
      <c r="N19" s="504"/>
      <c r="O19" s="504"/>
      <c r="P19" s="504"/>
      <c r="Q19" s="505"/>
      <c r="R19" s="506"/>
      <c r="S19" s="504"/>
      <c r="T19" s="504"/>
      <c r="U19" s="504"/>
      <c r="V19" s="504"/>
      <c r="W19" s="504"/>
      <c r="X19" s="504"/>
      <c r="Y19" s="505"/>
      <c r="Z19" s="506"/>
      <c r="AA19" s="504"/>
      <c r="AB19" s="504"/>
      <c r="AC19" s="504"/>
      <c r="AD19" s="504"/>
      <c r="AE19" s="504"/>
      <c r="AF19" s="504"/>
      <c r="AG19" s="505"/>
      <c r="AH19" s="506"/>
      <c r="AI19" s="504"/>
      <c r="AJ19" s="504"/>
      <c r="AK19" s="504"/>
      <c r="AL19" s="504"/>
      <c r="AM19" s="504"/>
      <c r="AN19" s="504"/>
      <c r="AO19" s="507"/>
      <c r="AP19" s="503"/>
      <c r="AQ19" s="504"/>
      <c r="AR19" s="504"/>
      <c r="AS19" s="504"/>
      <c r="AT19" s="504"/>
      <c r="AU19" s="504"/>
      <c r="AV19" s="504"/>
      <c r="AW19" s="505"/>
      <c r="AX19" s="506"/>
      <c r="AY19" s="504"/>
      <c r="AZ19" s="504"/>
      <c r="BA19" s="504"/>
      <c r="BB19" s="504"/>
      <c r="BC19" s="504"/>
      <c r="BD19" s="504"/>
      <c r="BE19" s="505"/>
      <c r="BF19" s="506"/>
      <c r="BG19" s="504"/>
      <c r="BH19" s="504"/>
      <c r="BI19" s="504"/>
      <c r="BJ19" s="504"/>
      <c r="BK19" s="504"/>
      <c r="BL19" s="504"/>
      <c r="BM19" s="507"/>
      <c r="BN19" s="503"/>
      <c r="BO19" s="504"/>
      <c r="BP19" s="504"/>
      <c r="BQ19" s="504"/>
      <c r="BR19" s="504"/>
      <c r="BS19" s="504"/>
      <c r="BT19" s="504"/>
      <c r="BU19" s="505"/>
      <c r="BV19" s="506"/>
      <c r="BW19" s="504"/>
      <c r="BX19" s="504"/>
      <c r="BY19" s="504"/>
      <c r="BZ19" s="504"/>
      <c r="CA19" s="504"/>
      <c r="CB19" s="504"/>
      <c r="CC19" s="507"/>
    </row>
    <row r="21" spans="2:81" ht="12.75" customHeight="1" x14ac:dyDescent="0.2"/>
  </sheetData>
  <sheetProtection password="C925" sheet="1" objects="1" scenarios="1"/>
  <mergeCells count="25">
    <mergeCell ref="B15:AO15"/>
    <mergeCell ref="B4:Q4"/>
    <mergeCell ref="AP15:BM15"/>
    <mergeCell ref="BN15:CC15"/>
    <mergeCell ref="R4:CC4"/>
    <mergeCell ref="AH16:AO16"/>
    <mergeCell ref="AI18:AN18"/>
    <mergeCell ref="AP16:AW16"/>
    <mergeCell ref="AQ18:AV18"/>
    <mergeCell ref="BW18:CB18"/>
    <mergeCell ref="BV16:CC16"/>
    <mergeCell ref="AX16:BE16"/>
    <mergeCell ref="AY18:BD18"/>
    <mergeCell ref="BF16:BM16"/>
    <mergeCell ref="BG18:BL18"/>
    <mergeCell ref="BN16:BU16"/>
    <mergeCell ref="BO18:BT18"/>
    <mergeCell ref="B16:I16"/>
    <mergeCell ref="C18:H18"/>
    <mergeCell ref="J16:Q16"/>
    <mergeCell ref="R16:Y16"/>
    <mergeCell ref="Z16:AG16"/>
    <mergeCell ref="K18:P18"/>
    <mergeCell ref="S18:X18"/>
    <mergeCell ref="AA18:AF18"/>
  </mergeCells>
  <pageMargins left="0.5" right="0.5" top="0.75" bottom="0.75" header="0.3" footer="0.3"/>
  <pageSetup scale="88"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B1:O27"/>
  <sheetViews>
    <sheetView showGridLines="0" showRowColHeaders="0" topLeftCell="C1" zoomScale="110" zoomScaleNormal="110" workbookViewId="0">
      <selection activeCell="J27" sqref="J27"/>
    </sheetView>
  </sheetViews>
  <sheetFormatPr defaultColWidth="9.140625" defaultRowHeight="12.75" x14ac:dyDescent="0.2"/>
  <cols>
    <col min="1" max="1" width="1" style="2" customWidth="1"/>
    <col min="2" max="2" width="4" style="2" customWidth="1"/>
    <col min="3" max="3" width="35.85546875" style="2" customWidth="1"/>
    <col min="4" max="4" width="11.140625" style="2" customWidth="1"/>
    <col min="5" max="5" width="9.85546875" style="2" customWidth="1"/>
    <col min="6" max="6" width="11.140625" style="2" customWidth="1"/>
    <col min="7" max="7" width="9.85546875" style="2" customWidth="1"/>
    <col min="8" max="8" width="11.140625" style="2" customWidth="1"/>
    <col min="9" max="9" width="9.85546875" style="2" customWidth="1"/>
    <col min="10" max="10" width="11.140625" style="2" customWidth="1"/>
    <col min="11" max="11" width="9.85546875" style="2" customWidth="1"/>
    <col min="12" max="12" width="9.140625" style="2" customWidth="1"/>
    <col min="13" max="13" width="1" style="2" customWidth="1"/>
    <col min="14" max="14" width="9.140625" style="2"/>
    <col min="15" max="15" width="0" style="2" hidden="1" customWidth="1"/>
    <col min="16" max="16384" width="9.140625" style="2"/>
  </cols>
  <sheetData>
    <row r="1" spans="2:15" ht="5.0999999999999996" customHeight="1" thickBot="1" x14ac:dyDescent="0.25"/>
    <row r="2" spans="2:15" ht="38.25" customHeight="1" thickBot="1" x14ac:dyDescent="0.25">
      <c r="B2" s="671" t="s">
        <v>512</v>
      </c>
      <c r="C2" s="671"/>
      <c r="D2" s="671"/>
      <c r="E2" s="671"/>
      <c r="F2" s="671"/>
      <c r="G2" s="671"/>
      <c r="H2" s="671"/>
      <c r="I2" s="671"/>
      <c r="J2" s="671"/>
      <c r="K2" s="671"/>
      <c r="L2" s="671"/>
    </row>
    <row r="3" spans="2:15" ht="21" customHeight="1" thickBot="1" x14ac:dyDescent="0.25">
      <c r="B3" s="511"/>
      <c r="C3" s="350" t="str">
        <f>IF(O27&gt;0,"Incomplete - All 'yellow' shaded cells must be completed.","")</f>
        <v/>
      </c>
      <c r="D3" s="347"/>
      <c r="E3" s="347"/>
      <c r="F3" s="347"/>
      <c r="G3" s="347"/>
      <c r="H3" s="347"/>
      <c r="I3" s="347"/>
      <c r="J3" s="347"/>
      <c r="K3" s="347"/>
      <c r="L3" s="512"/>
    </row>
    <row r="4" spans="2:15" ht="24.75" customHeight="1" x14ac:dyDescent="0.25">
      <c r="B4" s="20"/>
      <c r="C4" s="9"/>
      <c r="D4" s="732" t="s">
        <v>513</v>
      </c>
      <c r="E4" s="734"/>
      <c r="F4" s="732" t="s">
        <v>514</v>
      </c>
      <c r="G4" s="734"/>
      <c r="H4" s="732" t="s">
        <v>515</v>
      </c>
      <c r="I4" s="734"/>
      <c r="J4" s="732" t="s">
        <v>516</v>
      </c>
      <c r="K4" s="733"/>
      <c r="L4" s="4"/>
    </row>
    <row r="5" spans="2:15" ht="26.25" x14ac:dyDescent="0.25">
      <c r="B5" s="8"/>
      <c r="C5" s="9" t="s">
        <v>93</v>
      </c>
      <c r="D5" s="104" t="s">
        <v>517</v>
      </c>
      <c r="E5" s="105" t="s">
        <v>442</v>
      </c>
      <c r="F5" s="104" t="s">
        <v>517</v>
      </c>
      <c r="G5" s="105" t="s">
        <v>442</v>
      </c>
      <c r="H5" s="104" t="s">
        <v>517</v>
      </c>
      <c r="I5" s="105" t="s">
        <v>442</v>
      </c>
      <c r="J5" s="104" t="s">
        <v>517</v>
      </c>
      <c r="K5" s="105" t="s">
        <v>442</v>
      </c>
      <c r="L5" s="4"/>
    </row>
    <row r="6" spans="2:15" ht="12.75" customHeight="1" x14ac:dyDescent="0.2">
      <c r="B6" s="272">
        <v>1</v>
      </c>
      <c r="C6" s="273" t="str">
        <f>'Program Descriptions'!C5</f>
        <v>Load Mgt (LMP)</v>
      </c>
      <c r="D6" s="54">
        <v>440.92</v>
      </c>
      <c r="E6" s="434">
        <v>0</v>
      </c>
      <c r="F6" s="54">
        <v>-189.58099999999999</v>
      </c>
      <c r="G6" s="434">
        <v>0.77</v>
      </c>
      <c r="H6" s="54">
        <v>-168.16200000000001</v>
      </c>
      <c r="I6" s="434">
        <v>0.79</v>
      </c>
      <c r="J6" s="54">
        <v>0</v>
      </c>
      <c r="K6" s="434">
        <v>0</v>
      </c>
      <c r="L6" s="4"/>
      <c r="O6" s="333">
        <f>IF(C6="Empty",0,IF(OR(ISBLANK(D6),ISBLANK(E6),ISBLANK(F6),ISBLANK(G6),ISBLANK(H6),ISBLANK(I6),ISBLANK(J6),ISBLANK(K6)),1,0))</f>
        <v>0</v>
      </c>
    </row>
    <row r="7" spans="2:15" ht="12.75" customHeight="1" x14ac:dyDescent="0.2">
      <c r="B7" s="272">
        <v>2</v>
      </c>
      <c r="C7" s="273" t="str">
        <f>'Program Descriptions'!C6</f>
        <v>Comm &amp; Industrial (CIEEP)</v>
      </c>
      <c r="D7" s="54">
        <v>8694.2180000000008</v>
      </c>
      <c r="E7" s="434">
        <v>4.05</v>
      </c>
      <c r="F7" s="54">
        <v>-11176.871999999999</v>
      </c>
      <c r="G7" s="434">
        <v>0.33</v>
      </c>
      <c r="H7" s="54">
        <v>2488.2660000000001</v>
      </c>
      <c r="I7" s="434">
        <v>1.85</v>
      </c>
      <c r="J7" s="54">
        <v>0</v>
      </c>
      <c r="K7" s="434">
        <v>0</v>
      </c>
      <c r="L7" s="4"/>
      <c r="O7" s="333">
        <f t="shared" ref="O7:O26" si="0">IF(C7="Empty",0,IF(OR(ISBLANK(D7),ISBLANK(E7),ISBLANK(F7),ISBLANK(G7),ISBLANK(H7),ISBLANK(I7),ISBLANK(J7),ISBLANK(K7)),1,0))</f>
        <v>0</v>
      </c>
    </row>
    <row r="8" spans="2:15" ht="12.75" customHeight="1" x14ac:dyDescent="0.2">
      <c r="B8" s="272">
        <v>3</v>
      </c>
      <c r="C8" s="273" t="str">
        <f>'Program Descriptions'!C7</f>
        <v>Small Business (SBP)</v>
      </c>
      <c r="D8" s="54">
        <v>4168.9369999999999</v>
      </c>
      <c r="E8" s="434">
        <v>6.03</v>
      </c>
      <c r="F8" s="54">
        <v>-4370.4139999999998</v>
      </c>
      <c r="G8" s="434">
        <v>0.33</v>
      </c>
      <c r="H8" s="54">
        <v>608.73400000000004</v>
      </c>
      <c r="I8" s="434">
        <v>1.39</v>
      </c>
      <c r="J8" s="54">
        <v>0</v>
      </c>
      <c r="K8" s="434">
        <v>0</v>
      </c>
      <c r="L8" s="4"/>
      <c r="O8" s="333">
        <f t="shared" si="0"/>
        <v>0</v>
      </c>
    </row>
    <row r="9" spans="2:15" ht="12.75" customHeight="1" x14ac:dyDescent="0.2">
      <c r="B9" s="272">
        <v>4</v>
      </c>
      <c r="C9" s="273" t="str">
        <f>'Program Descriptions'!C8</f>
        <v>Efficient Products (EPP)</v>
      </c>
      <c r="D9" s="54">
        <v>4529.1220000000003</v>
      </c>
      <c r="E9" s="434">
        <v>7.84</v>
      </c>
      <c r="F9" s="54">
        <v>-4577.6139999999996</v>
      </c>
      <c r="G9" s="434">
        <v>0.28000000000000003</v>
      </c>
      <c r="H9" s="54">
        <v>789.12900000000002</v>
      </c>
      <c r="I9" s="434">
        <v>1.83</v>
      </c>
      <c r="J9" s="54">
        <v>0</v>
      </c>
      <c r="K9" s="434">
        <v>0</v>
      </c>
      <c r="L9" s="4"/>
      <c r="O9" s="333">
        <f t="shared" si="0"/>
        <v>0</v>
      </c>
    </row>
    <row r="10" spans="2:15" ht="12.75" customHeight="1" x14ac:dyDescent="0.2">
      <c r="B10" s="272">
        <v>5</v>
      </c>
      <c r="C10" s="273" t="str">
        <f>'Program Descriptions'!C9</f>
        <v>Res Energy Imprv (REIP)</v>
      </c>
      <c r="D10" s="54">
        <v>8650.4069999999992</v>
      </c>
      <c r="E10" s="434">
        <v>5.44</v>
      </c>
      <c r="F10" s="54">
        <v>-10947.97</v>
      </c>
      <c r="G10" s="434">
        <v>0.28999999999999998</v>
      </c>
      <c r="H10" s="54">
        <v>1568.386</v>
      </c>
      <c r="I10" s="434">
        <v>1.56</v>
      </c>
      <c r="J10" s="54">
        <v>0</v>
      </c>
      <c r="K10" s="434">
        <v>0</v>
      </c>
      <c r="L10" s="4"/>
      <c r="O10" s="333">
        <f t="shared" si="0"/>
        <v>0</v>
      </c>
    </row>
    <row r="11" spans="2:15" ht="12.75" customHeight="1" x14ac:dyDescent="0.2">
      <c r="B11" s="272">
        <v>6</v>
      </c>
      <c r="C11" s="273" t="str">
        <f>'Program Descriptions'!C10</f>
        <v>Home Weatherization (HWP)</v>
      </c>
      <c r="D11" s="54">
        <v>4442.4309999999996</v>
      </c>
      <c r="E11" s="434">
        <v>4.41</v>
      </c>
      <c r="F11" s="54">
        <v>-4999.2380000000003</v>
      </c>
      <c r="G11" s="434">
        <v>0.45</v>
      </c>
      <c r="H11" s="54">
        <v>1933.5329999999999</v>
      </c>
      <c r="I11" s="434">
        <v>1.93</v>
      </c>
      <c r="J11" s="54">
        <v>0</v>
      </c>
      <c r="K11" s="434">
        <v>0</v>
      </c>
      <c r="L11" s="4"/>
      <c r="O11" s="333">
        <f t="shared" si="0"/>
        <v>0</v>
      </c>
    </row>
    <row r="12" spans="2:15" ht="12.75" customHeight="1" x14ac:dyDescent="0.2">
      <c r="B12" s="272">
        <v>7</v>
      </c>
      <c r="C12" s="273" t="str">
        <f>'Program Descriptions'!C11</f>
        <v>Discont'd EE AR (EEA)</v>
      </c>
      <c r="D12" s="54">
        <v>0</v>
      </c>
      <c r="E12" s="434">
        <v>0</v>
      </c>
      <c r="F12" s="54">
        <v>0</v>
      </c>
      <c r="G12" s="434">
        <v>0</v>
      </c>
      <c r="H12" s="54">
        <v>0</v>
      </c>
      <c r="I12" s="434">
        <v>0</v>
      </c>
      <c r="J12" s="54">
        <v>0</v>
      </c>
      <c r="K12" s="434">
        <v>0</v>
      </c>
      <c r="L12" s="4"/>
      <c r="O12" s="333">
        <f t="shared" si="0"/>
        <v>0</v>
      </c>
    </row>
    <row r="13" spans="2:15" ht="12.75" customHeight="1" x14ac:dyDescent="0.2">
      <c r="B13" s="272">
        <v>8</v>
      </c>
      <c r="C13" s="273" t="str">
        <f>'Program Descriptions'!C12</f>
        <v>Discont'd Onlne Audt(OLA)</v>
      </c>
      <c r="D13" s="54">
        <v>0</v>
      </c>
      <c r="E13" s="434">
        <v>0</v>
      </c>
      <c r="F13" s="54">
        <v>0</v>
      </c>
      <c r="G13" s="434">
        <v>0</v>
      </c>
      <c r="H13" s="54">
        <v>0</v>
      </c>
      <c r="I13" s="434">
        <v>0</v>
      </c>
      <c r="J13" s="54">
        <v>0</v>
      </c>
      <c r="K13" s="434">
        <v>0</v>
      </c>
      <c r="L13" s="4"/>
      <c r="O13" s="333">
        <f t="shared" si="0"/>
        <v>0</v>
      </c>
    </row>
    <row r="14" spans="2:15" ht="12.75" customHeight="1" x14ac:dyDescent="0.2">
      <c r="B14" s="272">
        <v>9</v>
      </c>
      <c r="C14" s="273" t="str">
        <f>'Program Descriptions'!C13</f>
        <v>Income Qualified (IQW)</v>
      </c>
      <c r="D14" s="54">
        <v>2224.2919999999999</v>
      </c>
      <c r="E14" s="434">
        <v>3.78</v>
      </c>
      <c r="F14" s="54">
        <v>-2584.442</v>
      </c>
      <c r="G14" s="434">
        <v>0.41</v>
      </c>
      <c r="H14" s="54">
        <v>649.19299999999998</v>
      </c>
      <c r="I14" s="434">
        <v>1.58</v>
      </c>
      <c r="J14" s="54">
        <v>0</v>
      </c>
      <c r="K14" s="434">
        <v>0</v>
      </c>
      <c r="L14" s="4"/>
      <c r="O14" s="333">
        <f t="shared" si="0"/>
        <v>0</v>
      </c>
    </row>
    <row r="15" spans="2:15" ht="12.75" customHeight="1" x14ac:dyDescent="0.2">
      <c r="B15" s="272">
        <v>10</v>
      </c>
      <c r="C15" s="273" t="str">
        <f>'Program Descriptions'!C14</f>
        <v>Discont'd Ele Veh (EVE)</v>
      </c>
      <c r="D15" s="54">
        <v>0</v>
      </c>
      <c r="E15" s="434">
        <v>0</v>
      </c>
      <c r="F15" s="54">
        <v>0</v>
      </c>
      <c r="G15" s="434">
        <v>0</v>
      </c>
      <c r="H15" s="54">
        <v>0</v>
      </c>
      <c r="I15" s="434">
        <v>0</v>
      </c>
      <c r="J15" s="54">
        <v>0</v>
      </c>
      <c r="K15" s="434">
        <v>0</v>
      </c>
      <c r="L15" s="4"/>
      <c r="O15" s="333">
        <f t="shared" si="0"/>
        <v>0</v>
      </c>
    </row>
    <row r="16" spans="2:15" ht="12.75" customHeight="1" x14ac:dyDescent="0.2">
      <c r="B16" s="272">
        <v>11</v>
      </c>
      <c r="C16" s="273" t="str">
        <f>'Program Descriptions'!C15</f>
        <v>Discont'd Comm Solutions</v>
      </c>
      <c r="D16" s="54">
        <v>0</v>
      </c>
      <c r="E16" s="434">
        <v>0</v>
      </c>
      <c r="F16" s="54">
        <v>0</v>
      </c>
      <c r="G16" s="434">
        <v>0</v>
      </c>
      <c r="H16" s="54">
        <v>0</v>
      </c>
      <c r="I16" s="434">
        <v>0</v>
      </c>
      <c r="J16" s="54">
        <v>0</v>
      </c>
      <c r="K16" s="434">
        <v>0</v>
      </c>
      <c r="L16" s="4"/>
      <c r="O16" s="333">
        <f t="shared" si="0"/>
        <v>0</v>
      </c>
    </row>
    <row r="17" spans="2:15" ht="12.75" customHeight="1" x14ac:dyDescent="0.2">
      <c r="B17" s="272">
        <v>12</v>
      </c>
      <c r="C17" s="273" t="str">
        <f>'Program Descriptions'!C16</f>
        <v>Discont'd Res Appliance</v>
      </c>
      <c r="D17" s="54">
        <v>0</v>
      </c>
      <c r="E17" s="434">
        <v>0</v>
      </c>
      <c r="F17" s="54">
        <v>0</v>
      </c>
      <c r="G17" s="434">
        <v>0</v>
      </c>
      <c r="H17" s="54">
        <v>0</v>
      </c>
      <c r="I17" s="434">
        <v>0</v>
      </c>
      <c r="J17" s="54">
        <v>0</v>
      </c>
      <c r="K17" s="434">
        <v>0</v>
      </c>
      <c r="L17" s="4"/>
      <c r="O17" s="333">
        <f t="shared" si="0"/>
        <v>0</v>
      </c>
    </row>
    <row r="18" spans="2:15" ht="12.75" customHeight="1" x14ac:dyDescent="0.2">
      <c r="B18" s="272">
        <v>13</v>
      </c>
      <c r="C18" s="273" t="str">
        <f>'Program Descriptions'!C17</f>
        <v>Discont'd Res Solutions</v>
      </c>
      <c r="D18" s="54">
        <v>0</v>
      </c>
      <c r="E18" s="434">
        <v>0</v>
      </c>
      <c r="F18" s="54">
        <v>0</v>
      </c>
      <c r="G18" s="434">
        <v>0</v>
      </c>
      <c r="H18" s="54">
        <v>0</v>
      </c>
      <c r="I18" s="434">
        <v>0</v>
      </c>
      <c r="J18" s="54">
        <v>0</v>
      </c>
      <c r="K18" s="434">
        <v>0</v>
      </c>
      <c r="L18" s="4"/>
      <c r="O18" s="333">
        <f t="shared" si="0"/>
        <v>0</v>
      </c>
    </row>
    <row r="19" spans="2:15" ht="12.75" customHeight="1" x14ac:dyDescent="0.2">
      <c r="B19" s="272">
        <v>14</v>
      </c>
      <c r="C19" s="273" t="str">
        <f>'Program Descriptions'!C18</f>
        <v>Discont'd R ES Appliance</v>
      </c>
      <c r="D19" s="54">
        <v>0</v>
      </c>
      <c r="E19" s="434">
        <v>0</v>
      </c>
      <c r="F19" s="54">
        <v>0</v>
      </c>
      <c r="G19" s="434">
        <v>0</v>
      </c>
      <c r="H19" s="54">
        <v>0</v>
      </c>
      <c r="I19" s="434">
        <v>0</v>
      </c>
      <c r="J19" s="54">
        <v>0</v>
      </c>
      <c r="K19" s="434">
        <v>0</v>
      </c>
      <c r="L19" s="4"/>
      <c r="O19" s="333">
        <f t="shared" si="0"/>
        <v>0</v>
      </c>
    </row>
    <row r="20" spans="2:15" ht="12.75" customHeight="1" x14ac:dyDescent="0.2">
      <c r="B20" s="272">
        <v>15</v>
      </c>
      <c r="C20" s="273" t="str">
        <f>'Program Descriptions'!C19</f>
        <v>Discont'd ARWX (AWIP)</v>
      </c>
      <c r="D20" s="54">
        <v>0</v>
      </c>
      <c r="E20" s="434">
        <v>0</v>
      </c>
      <c r="F20" s="54">
        <v>0</v>
      </c>
      <c r="G20" s="434">
        <v>0</v>
      </c>
      <c r="H20" s="54">
        <v>0</v>
      </c>
      <c r="I20" s="434">
        <v>0</v>
      </c>
      <c r="J20" s="54">
        <v>0</v>
      </c>
      <c r="K20" s="434">
        <v>0</v>
      </c>
      <c r="L20" s="4"/>
      <c r="O20" s="333">
        <f t="shared" si="0"/>
        <v>0</v>
      </c>
    </row>
    <row r="21" spans="2:15" ht="12.75" customHeight="1" x14ac:dyDescent="0.2">
      <c r="B21" s="272">
        <v>16</v>
      </c>
      <c r="C21" s="273" t="str">
        <f>'Program Descriptions'!C20</f>
        <v>New Construction (NCP)</v>
      </c>
      <c r="D21" s="54">
        <v>694.13199999999995</v>
      </c>
      <c r="E21" s="434">
        <v>7.22</v>
      </c>
      <c r="F21" s="54">
        <v>-862.83399999999995</v>
      </c>
      <c r="G21" s="434">
        <v>0.25</v>
      </c>
      <c r="H21" s="54">
        <v>-119.283</v>
      </c>
      <c r="I21" s="434">
        <v>0.71</v>
      </c>
      <c r="J21" s="54">
        <v>0</v>
      </c>
      <c r="K21" s="434">
        <v>0</v>
      </c>
      <c r="L21" s="4"/>
      <c r="O21" s="333">
        <f t="shared" si="0"/>
        <v>0</v>
      </c>
    </row>
    <row r="22" spans="2:15" ht="12.75" customHeight="1" x14ac:dyDescent="0.2">
      <c r="B22" s="272">
        <v>17</v>
      </c>
      <c r="C22" s="273" t="str">
        <f>'Program Descriptions'!C21</f>
        <v>Strat Energy Mgmt (SEMP)</v>
      </c>
      <c r="D22" s="54">
        <v>2093.7660000000001</v>
      </c>
      <c r="E22" s="434">
        <v>0</v>
      </c>
      <c r="F22" s="54">
        <v>-2028.175</v>
      </c>
      <c r="G22" s="434">
        <v>0.18</v>
      </c>
      <c r="H22" s="54">
        <v>-144.06399999999999</v>
      </c>
      <c r="I22" s="434">
        <v>0.75</v>
      </c>
      <c r="J22" s="54">
        <v>0</v>
      </c>
      <c r="K22" s="434">
        <v>0</v>
      </c>
      <c r="L22" s="4"/>
      <c r="O22" s="333">
        <f t="shared" si="0"/>
        <v>0</v>
      </c>
    </row>
    <row r="23" spans="2:15" ht="12.75" customHeight="1" x14ac:dyDescent="0.2">
      <c r="B23" s="272">
        <v>18</v>
      </c>
      <c r="C23" s="273" t="str">
        <f>'Program Descriptions'!C22</f>
        <v>Bring Y/Otstat (BYOT)</v>
      </c>
      <c r="D23" s="54">
        <v>112.142</v>
      </c>
      <c r="E23" s="434">
        <v>0</v>
      </c>
      <c r="F23" s="54">
        <v>50.741</v>
      </c>
      <c r="G23" s="434">
        <v>1.27</v>
      </c>
      <c r="H23" s="54">
        <v>52.881999999999998</v>
      </c>
      <c r="I23" s="434">
        <v>1.28</v>
      </c>
      <c r="J23" s="54">
        <v>0</v>
      </c>
      <c r="K23" s="434">
        <v>0</v>
      </c>
      <c r="L23" s="4"/>
      <c r="O23" s="333">
        <f t="shared" si="0"/>
        <v>0</v>
      </c>
    </row>
    <row r="24" spans="2:15" ht="12.75" customHeight="1" x14ac:dyDescent="0.2">
      <c r="B24" s="272">
        <v>19</v>
      </c>
      <c r="C24" s="273" t="str">
        <f>'Program Descriptions'!C23</f>
        <v>Empty</v>
      </c>
      <c r="D24" s="54">
        <v>0</v>
      </c>
      <c r="E24" s="434">
        <v>0</v>
      </c>
      <c r="F24" s="54">
        <v>0</v>
      </c>
      <c r="G24" s="434">
        <v>0</v>
      </c>
      <c r="H24" s="54">
        <v>0</v>
      </c>
      <c r="I24" s="434">
        <v>0</v>
      </c>
      <c r="J24" s="54">
        <v>0</v>
      </c>
      <c r="K24" s="434">
        <v>0</v>
      </c>
      <c r="L24" s="4"/>
      <c r="O24" s="333">
        <f t="shared" si="0"/>
        <v>0</v>
      </c>
    </row>
    <row r="25" spans="2:15" ht="12.75" customHeight="1" thickBot="1" x14ac:dyDescent="0.25">
      <c r="B25" s="272">
        <v>20</v>
      </c>
      <c r="C25" s="273" t="str">
        <f>'Program Descriptions'!C24</f>
        <v>Empty</v>
      </c>
      <c r="D25" s="106">
        <v>0</v>
      </c>
      <c r="E25" s="434">
        <v>0</v>
      </c>
      <c r="F25" s="106">
        <v>0</v>
      </c>
      <c r="G25" s="434">
        <v>0</v>
      </c>
      <c r="H25" s="106">
        <v>0</v>
      </c>
      <c r="I25" s="434">
        <v>0</v>
      </c>
      <c r="J25" s="106">
        <v>0</v>
      </c>
      <c r="K25" s="434">
        <v>0</v>
      </c>
      <c r="L25" s="4"/>
      <c r="O25" s="333">
        <f t="shared" si="0"/>
        <v>0</v>
      </c>
    </row>
    <row r="26" spans="2:15" ht="12.75" customHeight="1" thickBot="1" x14ac:dyDescent="0.3">
      <c r="B26" s="8"/>
      <c r="C26" s="276" t="s">
        <v>196</v>
      </c>
      <c r="D26" s="107">
        <v>36050.368000000002</v>
      </c>
      <c r="E26" s="108">
        <v>5.24</v>
      </c>
      <c r="F26" s="107">
        <v>-41775.243000000002</v>
      </c>
      <c r="G26" s="108">
        <v>0.34</v>
      </c>
      <c r="H26" s="107">
        <v>7569.77</v>
      </c>
      <c r="I26" s="108">
        <v>1.56</v>
      </c>
      <c r="J26" s="107">
        <v>0</v>
      </c>
      <c r="K26" s="108">
        <v>0</v>
      </c>
      <c r="L26" s="4"/>
      <c r="O26" s="333">
        <f t="shared" si="0"/>
        <v>0</v>
      </c>
    </row>
    <row r="27" spans="2:15" ht="12.75" customHeight="1" x14ac:dyDescent="0.2">
      <c r="B27" s="5"/>
      <c r="C27" s="6"/>
      <c r="D27" s="6"/>
      <c r="E27" s="6"/>
      <c r="F27" s="6"/>
      <c r="G27" s="6"/>
      <c r="H27" s="6"/>
      <c r="I27" s="6"/>
      <c r="J27" s="6"/>
      <c r="K27" s="6"/>
      <c r="L27" s="7"/>
      <c r="O27" s="2">
        <f>SUM(O6:O26)</f>
        <v>0</v>
      </c>
    </row>
  </sheetData>
  <sheetProtection password="C925" sheet="1" objects="1" scenarios="1" formatRows="0"/>
  <mergeCells count="5">
    <mergeCell ref="J4:K4"/>
    <mergeCell ref="H4:I4"/>
    <mergeCell ref="F4:G4"/>
    <mergeCell ref="D4:E4"/>
    <mergeCell ref="B2:L2"/>
  </mergeCells>
  <conditionalFormatting sqref="D6:K25">
    <cfRule type="expression" dxfId="19" priority="1">
      <formula>$B6&gt;Programs</formula>
    </cfRule>
  </conditionalFormatting>
  <pageMargins left="0.25" right="0.25" top="0.5" bottom="0.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B1:L124"/>
  <sheetViews>
    <sheetView showGridLines="0" showRowColHeaders="0" zoomScale="110" zoomScaleNormal="110" workbookViewId="0">
      <pane ySplit="2" topLeftCell="A13" activePane="bottomLeft" state="frozen"/>
      <selection pane="bottomLeft" activeCell="F37" sqref="F37"/>
    </sheetView>
  </sheetViews>
  <sheetFormatPr defaultColWidth="9.140625" defaultRowHeight="12.75" x14ac:dyDescent="0.2"/>
  <cols>
    <col min="1" max="1" width="1" style="2" customWidth="1"/>
    <col min="2" max="2" width="3.85546875" style="2" customWidth="1"/>
    <col min="3" max="3" width="35.85546875" style="2" customWidth="1"/>
    <col min="4" max="6" width="12.140625" style="2" customWidth="1"/>
    <col min="7" max="7" width="10" style="2" customWidth="1"/>
    <col min="8" max="10" width="12.140625" style="2" customWidth="1"/>
    <col min="11" max="11" width="1.85546875" style="2" customWidth="1"/>
    <col min="12" max="12" width="8.85546875" style="2" customWidth="1"/>
    <col min="13" max="13" width="1" style="2" customWidth="1"/>
    <col min="14" max="14" width="5.140625" style="2" customWidth="1"/>
    <col min="15" max="16384" width="9.140625" style="2"/>
  </cols>
  <sheetData>
    <row r="1" spans="2:12" ht="28.5" customHeight="1" x14ac:dyDescent="0.2"/>
    <row r="2" spans="2:12" ht="90" customHeight="1" x14ac:dyDescent="0.2">
      <c r="B2" s="508"/>
      <c r="C2" s="509"/>
      <c r="D2" s="509"/>
      <c r="E2" s="509"/>
      <c r="F2" s="509"/>
      <c r="G2" s="509"/>
      <c r="H2" s="509"/>
      <c r="I2" s="509"/>
      <c r="J2" s="509"/>
      <c r="K2" s="509"/>
      <c r="L2" s="510"/>
    </row>
    <row r="3" spans="2:12" ht="7.5" customHeight="1" x14ac:dyDescent="0.2">
      <c r="B3" s="511"/>
      <c r="C3" s="347"/>
      <c r="D3" s="347"/>
      <c r="E3" s="347"/>
      <c r="F3" s="347"/>
      <c r="G3" s="347"/>
      <c r="H3" s="347"/>
      <c r="I3" s="347"/>
      <c r="J3" s="347"/>
      <c r="K3" s="347"/>
      <c r="L3" s="512"/>
    </row>
    <row r="4" spans="2:12" ht="21" x14ac:dyDescent="0.2">
      <c r="B4" s="3"/>
      <c r="C4" s="736" t="s">
        <v>518</v>
      </c>
      <c r="D4" s="736"/>
      <c r="E4" s="736"/>
      <c r="F4" s="736"/>
      <c r="G4" s="736"/>
      <c r="H4" s="736"/>
      <c r="I4" s="736"/>
      <c r="J4" s="736"/>
      <c r="L4" s="4"/>
    </row>
    <row r="5" spans="2:12" ht="15.75" x14ac:dyDescent="0.25">
      <c r="B5" s="3"/>
      <c r="D5" s="735" t="str">
        <f>Prg_Year&amp;" LCFC Energy Savings "&amp;"("&amp;Energy_1&amp;")"</f>
        <v>2025 LCFC Energy Savings (kWh)</v>
      </c>
      <c r="E5" s="735"/>
      <c r="F5" s="735"/>
      <c r="H5" s="735" t="str">
        <f>Prg_Year&amp;" LCFC Cost Recovery ($)"</f>
        <v>2025 LCFC Cost Recovery ($)</v>
      </c>
      <c r="I5" s="735"/>
      <c r="J5" s="735"/>
      <c r="K5" s="640"/>
      <c r="L5" s="4"/>
    </row>
    <row r="6" spans="2:12" ht="15" customHeight="1" x14ac:dyDescent="0.25">
      <c r="B6" s="3"/>
      <c r="C6" s="9" t="s">
        <v>93</v>
      </c>
      <c r="D6" s="29">
        <f>Prg_Year</f>
        <v>2025</v>
      </c>
      <c r="E6" s="29">
        <f>D6-1</f>
        <v>2024</v>
      </c>
      <c r="F6" s="29" t="str">
        <f>"Prior to "&amp;E6</f>
        <v>Prior to 2024</v>
      </c>
      <c r="H6" s="29">
        <f>D6</f>
        <v>2025</v>
      </c>
      <c r="I6" s="29">
        <f>E6</f>
        <v>2024</v>
      </c>
      <c r="J6" s="29" t="str">
        <f>F6</f>
        <v>Prior to 2024</v>
      </c>
      <c r="K6" s="29"/>
      <c r="L6" s="4"/>
    </row>
    <row r="7" spans="2:12" ht="15" customHeight="1" x14ac:dyDescent="0.2">
      <c r="B7" s="272">
        <v>1</v>
      </c>
      <c r="C7" s="273" t="str">
        <f>'Program Descriptions'!C5</f>
        <v>Load Mgt (LMP)</v>
      </c>
      <c r="D7" s="431">
        <v>0</v>
      </c>
      <c r="E7" s="431">
        <v>0</v>
      </c>
      <c r="F7" s="431">
        <v>0</v>
      </c>
      <c r="H7" s="516">
        <v>0</v>
      </c>
      <c r="I7" s="516">
        <v>0</v>
      </c>
      <c r="J7" s="516">
        <v>0</v>
      </c>
      <c r="K7" s="29"/>
      <c r="L7" s="4"/>
    </row>
    <row r="8" spans="2:12" ht="15" customHeight="1" x14ac:dyDescent="0.2">
      <c r="B8" s="272">
        <v>2</v>
      </c>
      <c r="C8" s="273" t="str">
        <f>'Program Descriptions'!C6</f>
        <v>Comm &amp; Industrial (CIEEP)</v>
      </c>
      <c r="D8" s="431">
        <v>0</v>
      </c>
      <c r="E8" s="431">
        <v>0</v>
      </c>
      <c r="F8" s="431">
        <v>0</v>
      </c>
      <c r="H8" s="516">
        <v>0</v>
      </c>
      <c r="I8" s="516">
        <v>0</v>
      </c>
      <c r="J8" s="516">
        <v>0</v>
      </c>
      <c r="K8" s="29"/>
      <c r="L8" s="4"/>
    </row>
    <row r="9" spans="2:12" ht="15" customHeight="1" x14ac:dyDescent="0.2">
      <c r="B9" s="272">
        <v>3</v>
      </c>
      <c r="C9" s="273" t="str">
        <f>'Program Descriptions'!C7</f>
        <v>Small Business (SBP)</v>
      </c>
      <c r="D9" s="431">
        <v>0</v>
      </c>
      <c r="E9" s="431">
        <v>0</v>
      </c>
      <c r="F9" s="431">
        <v>0</v>
      </c>
      <c r="H9" s="516">
        <v>0</v>
      </c>
      <c r="I9" s="516">
        <v>0</v>
      </c>
      <c r="J9" s="516">
        <v>0</v>
      </c>
      <c r="K9" s="29"/>
      <c r="L9" s="4"/>
    </row>
    <row r="10" spans="2:12" ht="15" customHeight="1" x14ac:dyDescent="0.2">
      <c r="B10" s="272">
        <v>4</v>
      </c>
      <c r="C10" s="273" t="str">
        <f>'Program Descriptions'!C8</f>
        <v>Efficient Products (EPP)</v>
      </c>
      <c r="D10" s="431">
        <v>0</v>
      </c>
      <c r="E10" s="431">
        <v>0</v>
      </c>
      <c r="F10" s="431">
        <v>0</v>
      </c>
      <c r="H10" s="516">
        <v>0</v>
      </c>
      <c r="I10" s="516">
        <v>0</v>
      </c>
      <c r="J10" s="516">
        <v>0</v>
      </c>
      <c r="L10" s="4"/>
    </row>
    <row r="11" spans="2:12" ht="15" customHeight="1" x14ac:dyDescent="0.2">
      <c r="B11" s="272">
        <v>5</v>
      </c>
      <c r="C11" s="273" t="str">
        <f>'Program Descriptions'!C9</f>
        <v>Res Energy Imprv (REIP)</v>
      </c>
      <c r="D11" s="431">
        <v>0</v>
      </c>
      <c r="E11" s="431">
        <v>0</v>
      </c>
      <c r="F11" s="431">
        <v>0</v>
      </c>
      <c r="H11" s="516">
        <v>0</v>
      </c>
      <c r="I11" s="516">
        <v>0</v>
      </c>
      <c r="J11" s="516">
        <v>0</v>
      </c>
      <c r="L11" s="4"/>
    </row>
    <row r="12" spans="2:12" ht="15" customHeight="1" x14ac:dyDescent="0.2">
      <c r="B12" s="272">
        <v>6</v>
      </c>
      <c r="C12" s="273" t="str">
        <f>'Program Descriptions'!C10</f>
        <v>Home Weatherization (HWP)</v>
      </c>
      <c r="D12" s="431">
        <v>0</v>
      </c>
      <c r="E12" s="431">
        <v>0</v>
      </c>
      <c r="F12" s="431">
        <v>0</v>
      </c>
      <c r="H12" s="516">
        <v>0</v>
      </c>
      <c r="I12" s="516">
        <v>0</v>
      </c>
      <c r="J12" s="516">
        <v>0</v>
      </c>
      <c r="L12" s="4"/>
    </row>
    <row r="13" spans="2:12" ht="15" customHeight="1" x14ac:dyDescent="0.2">
      <c r="B13" s="272">
        <v>7</v>
      </c>
      <c r="C13" s="273" t="str">
        <f>'Program Descriptions'!C11</f>
        <v>Discont'd EE AR (EEA)</v>
      </c>
      <c r="D13" s="431">
        <v>0</v>
      </c>
      <c r="E13" s="431">
        <v>0</v>
      </c>
      <c r="F13" s="431">
        <v>0</v>
      </c>
      <c r="H13" s="516">
        <v>0</v>
      </c>
      <c r="I13" s="516">
        <v>0</v>
      </c>
      <c r="J13" s="516">
        <v>0</v>
      </c>
      <c r="L13" s="4"/>
    </row>
    <row r="14" spans="2:12" ht="15" customHeight="1" x14ac:dyDescent="0.2">
      <c r="B14" s="272">
        <v>8</v>
      </c>
      <c r="C14" s="273" t="str">
        <f>'Program Descriptions'!C12</f>
        <v>Discont'd Onlne Audt(OLA)</v>
      </c>
      <c r="D14" s="431">
        <v>0</v>
      </c>
      <c r="E14" s="431">
        <v>0</v>
      </c>
      <c r="F14" s="431">
        <v>0</v>
      </c>
      <c r="H14" s="516">
        <v>0</v>
      </c>
      <c r="I14" s="516">
        <v>0</v>
      </c>
      <c r="J14" s="516">
        <v>0</v>
      </c>
      <c r="L14" s="4"/>
    </row>
    <row r="15" spans="2:12" ht="15" customHeight="1" x14ac:dyDescent="0.2">
      <c r="B15" s="272">
        <v>9</v>
      </c>
      <c r="C15" s="273" t="str">
        <f>'Program Descriptions'!C13</f>
        <v>Income Qualified (IQW)</v>
      </c>
      <c r="D15" s="431">
        <v>0</v>
      </c>
      <c r="E15" s="431">
        <v>0</v>
      </c>
      <c r="F15" s="431">
        <v>0</v>
      </c>
      <c r="H15" s="516">
        <v>0</v>
      </c>
      <c r="I15" s="516">
        <v>0</v>
      </c>
      <c r="J15" s="516">
        <v>0</v>
      </c>
      <c r="L15" s="4"/>
    </row>
    <row r="16" spans="2:12" ht="15" customHeight="1" x14ac:dyDescent="0.2">
      <c r="B16" s="272">
        <v>10</v>
      </c>
      <c r="C16" s="273" t="str">
        <f>'Program Descriptions'!C14</f>
        <v>Discont'd Ele Veh (EVE)</v>
      </c>
      <c r="D16" s="431">
        <v>0</v>
      </c>
      <c r="E16" s="431">
        <v>0</v>
      </c>
      <c r="F16" s="431">
        <v>0</v>
      </c>
      <c r="H16" s="516">
        <v>0</v>
      </c>
      <c r="I16" s="516">
        <v>0</v>
      </c>
      <c r="J16" s="516">
        <v>0</v>
      </c>
      <c r="L16" s="4"/>
    </row>
    <row r="17" spans="2:12" ht="15" customHeight="1" x14ac:dyDescent="0.2">
      <c r="B17" s="272">
        <v>11</v>
      </c>
      <c r="C17" s="273" t="str">
        <f>'Program Descriptions'!C15</f>
        <v>Discont'd Comm Solutions</v>
      </c>
      <c r="D17" s="431">
        <v>0</v>
      </c>
      <c r="E17" s="431">
        <v>0</v>
      </c>
      <c r="F17" s="431">
        <v>0</v>
      </c>
      <c r="H17" s="516">
        <v>0</v>
      </c>
      <c r="I17" s="516">
        <v>0</v>
      </c>
      <c r="J17" s="516">
        <v>0</v>
      </c>
      <c r="L17" s="4"/>
    </row>
    <row r="18" spans="2:12" ht="15" customHeight="1" x14ac:dyDescent="0.2">
      <c r="B18" s="272">
        <v>12</v>
      </c>
      <c r="C18" s="273" t="str">
        <f>'Program Descriptions'!C16</f>
        <v>Discont'd Res Appliance</v>
      </c>
      <c r="D18" s="431">
        <v>0</v>
      </c>
      <c r="E18" s="431">
        <v>0</v>
      </c>
      <c r="F18" s="431">
        <v>0</v>
      </c>
      <c r="H18" s="516">
        <v>0</v>
      </c>
      <c r="I18" s="516">
        <v>0</v>
      </c>
      <c r="J18" s="516">
        <v>0</v>
      </c>
      <c r="L18" s="4"/>
    </row>
    <row r="19" spans="2:12" ht="15" customHeight="1" x14ac:dyDescent="0.2">
      <c r="B19" s="272">
        <v>13</v>
      </c>
      <c r="C19" s="273" t="str">
        <f>'Program Descriptions'!C17</f>
        <v>Discont'd Res Solutions</v>
      </c>
      <c r="D19" s="431">
        <v>0</v>
      </c>
      <c r="E19" s="431">
        <v>0</v>
      </c>
      <c r="F19" s="431">
        <v>0</v>
      </c>
      <c r="H19" s="516">
        <v>0</v>
      </c>
      <c r="I19" s="516">
        <v>0</v>
      </c>
      <c r="J19" s="516">
        <v>0</v>
      </c>
      <c r="L19" s="4"/>
    </row>
    <row r="20" spans="2:12" ht="15" customHeight="1" x14ac:dyDescent="0.2">
      <c r="B20" s="272">
        <v>14</v>
      </c>
      <c r="C20" s="273" t="str">
        <f>'Program Descriptions'!C18</f>
        <v>Discont'd R ES Appliance</v>
      </c>
      <c r="D20" s="431">
        <v>0</v>
      </c>
      <c r="E20" s="431">
        <v>0</v>
      </c>
      <c r="F20" s="431">
        <v>0</v>
      </c>
      <c r="H20" s="516">
        <v>0</v>
      </c>
      <c r="I20" s="516">
        <v>0</v>
      </c>
      <c r="J20" s="516">
        <v>0</v>
      </c>
      <c r="L20" s="4"/>
    </row>
    <row r="21" spans="2:12" ht="15" customHeight="1" x14ac:dyDescent="0.2">
      <c r="B21" s="272">
        <v>15</v>
      </c>
      <c r="C21" s="273" t="str">
        <f>'Program Descriptions'!C19</f>
        <v>Discont'd ARWX (AWIP)</v>
      </c>
      <c r="D21" s="431">
        <v>0</v>
      </c>
      <c r="E21" s="431">
        <v>0</v>
      </c>
      <c r="F21" s="431">
        <v>0</v>
      </c>
      <c r="H21" s="516">
        <v>0</v>
      </c>
      <c r="I21" s="516">
        <v>0</v>
      </c>
      <c r="J21" s="516">
        <v>0</v>
      </c>
      <c r="L21" s="4"/>
    </row>
    <row r="22" spans="2:12" ht="15" customHeight="1" x14ac:dyDescent="0.2">
      <c r="B22" s="272">
        <v>16</v>
      </c>
      <c r="C22" s="273" t="str">
        <f>'Program Descriptions'!C20</f>
        <v>New Construction (NCP)</v>
      </c>
      <c r="D22" s="431">
        <v>0</v>
      </c>
      <c r="E22" s="431">
        <v>0</v>
      </c>
      <c r="F22" s="431">
        <v>0</v>
      </c>
      <c r="H22" s="516">
        <v>0</v>
      </c>
      <c r="I22" s="516">
        <v>0</v>
      </c>
      <c r="J22" s="516">
        <v>0</v>
      </c>
      <c r="L22" s="4"/>
    </row>
    <row r="23" spans="2:12" ht="15" customHeight="1" x14ac:dyDescent="0.2">
      <c r="B23" s="272">
        <v>17</v>
      </c>
      <c r="C23" s="273" t="str">
        <f>'Program Descriptions'!C21</f>
        <v>Strat Energy Mgmt (SEMP)</v>
      </c>
      <c r="D23" s="431">
        <v>0</v>
      </c>
      <c r="E23" s="431">
        <v>0</v>
      </c>
      <c r="F23" s="431">
        <v>0</v>
      </c>
      <c r="H23" s="430">
        <v>0</v>
      </c>
      <c r="I23" s="430">
        <v>0</v>
      </c>
      <c r="J23" s="430">
        <v>0</v>
      </c>
      <c r="L23" s="4"/>
    </row>
    <row r="24" spans="2:12" ht="15" customHeight="1" x14ac:dyDescent="0.2">
      <c r="B24" s="272">
        <v>18</v>
      </c>
      <c r="C24" s="273" t="str">
        <f>'Program Descriptions'!C22</f>
        <v>Bring Y/Otstat (BYOT)</v>
      </c>
      <c r="D24" s="431">
        <v>0</v>
      </c>
      <c r="E24" s="431">
        <v>0</v>
      </c>
      <c r="F24" s="431">
        <v>0</v>
      </c>
      <c r="H24" s="430">
        <v>0</v>
      </c>
      <c r="I24" s="430">
        <v>0</v>
      </c>
      <c r="J24" s="430">
        <v>0</v>
      </c>
      <c r="L24" s="4"/>
    </row>
    <row r="25" spans="2:12" ht="15" customHeight="1" x14ac:dyDescent="0.2">
      <c r="B25" s="272">
        <v>19</v>
      </c>
      <c r="C25" s="273" t="str">
        <f>'Program Descriptions'!C23</f>
        <v>Empty</v>
      </c>
      <c r="D25" s="431">
        <v>0</v>
      </c>
      <c r="E25" s="431">
        <v>0</v>
      </c>
      <c r="F25" s="431">
        <v>0</v>
      </c>
      <c r="H25" s="430">
        <v>0</v>
      </c>
      <c r="I25" s="430">
        <v>0</v>
      </c>
      <c r="J25" s="430">
        <v>0</v>
      </c>
      <c r="L25" s="4"/>
    </row>
    <row r="26" spans="2:12" ht="15" customHeight="1" thickBot="1" x14ac:dyDescent="0.25">
      <c r="B26" s="272">
        <v>20</v>
      </c>
      <c r="C26" s="273" t="str">
        <f>'Program Descriptions'!C24</f>
        <v>Empty</v>
      </c>
      <c r="D26" s="531">
        <v>0</v>
      </c>
      <c r="E26" s="531">
        <v>0</v>
      </c>
      <c r="F26" s="531">
        <v>0</v>
      </c>
      <c r="H26" s="517">
        <v>0</v>
      </c>
      <c r="I26" s="517">
        <v>0</v>
      </c>
      <c r="J26" s="517">
        <v>0</v>
      </c>
      <c r="L26" s="4"/>
    </row>
    <row r="27" spans="2:12" ht="15" customHeight="1" x14ac:dyDescent="0.25">
      <c r="B27" s="3"/>
      <c r="C27" s="276" t="s">
        <v>183</v>
      </c>
      <c r="D27" s="67">
        <f>SUM(D7:D26)</f>
        <v>0</v>
      </c>
      <c r="E27" s="67">
        <f>SUM(E7:E26)</f>
        <v>0</v>
      </c>
      <c r="F27" s="67">
        <f>SUM(F7:F26)</f>
        <v>0</v>
      </c>
      <c r="H27" s="14">
        <f>SUM(H7:H26)</f>
        <v>0</v>
      </c>
      <c r="I27" s="14">
        <f>SUM(I7:I26)</f>
        <v>0</v>
      </c>
      <c r="J27" s="14">
        <f>SUM(J7:J26)</f>
        <v>0</v>
      </c>
      <c r="L27" s="4"/>
    </row>
    <row r="28" spans="2:12" ht="15" customHeight="1" x14ac:dyDescent="0.2">
      <c r="B28" s="3"/>
      <c r="L28" s="4"/>
    </row>
    <row r="29" spans="2:12" ht="15" customHeight="1" x14ac:dyDescent="0.25">
      <c r="B29" s="3"/>
      <c r="D29" s="735" t="str">
        <f>D5</f>
        <v>2025 LCFC Energy Savings (kWh)</v>
      </c>
      <c r="E29" s="735"/>
      <c r="F29" s="735"/>
      <c r="H29" s="735" t="str">
        <f>H5</f>
        <v>2025 LCFC Cost Recovery ($)</v>
      </c>
      <c r="I29" s="735"/>
      <c r="J29" s="735"/>
      <c r="L29" s="4"/>
    </row>
    <row r="30" spans="2:12" x14ac:dyDescent="0.2">
      <c r="B30" s="3"/>
      <c r="D30" s="29">
        <f>D6</f>
        <v>2025</v>
      </c>
      <c r="E30" s="29">
        <f>E6</f>
        <v>2024</v>
      </c>
      <c r="F30" s="29" t="str">
        <f>F6</f>
        <v>Prior to 2024</v>
      </c>
      <c r="I30" s="29">
        <f>I6</f>
        <v>2024</v>
      </c>
      <c r="J30" s="29" t="str">
        <f>J6</f>
        <v>Prior to 2024</v>
      </c>
      <c r="L30" s="4"/>
    </row>
    <row r="31" spans="2:12" ht="15" customHeight="1" x14ac:dyDescent="0.25">
      <c r="B31" s="3"/>
      <c r="C31" s="330" t="s">
        <v>519</v>
      </c>
      <c r="D31" s="425" t="s">
        <v>138</v>
      </c>
      <c r="E31" s="431">
        <v>0</v>
      </c>
      <c r="F31" s="431">
        <v>0</v>
      </c>
      <c r="H31" s="425" t="s">
        <v>138</v>
      </c>
      <c r="I31" s="516">
        <v>0</v>
      </c>
      <c r="J31" s="516">
        <v>0</v>
      </c>
      <c r="L31" s="4"/>
    </row>
    <row r="32" spans="2:12" ht="15" customHeight="1" x14ac:dyDescent="0.2">
      <c r="B32" s="3"/>
      <c r="C32" s="273"/>
      <c r="L32" s="4"/>
    </row>
    <row r="33" spans="2:12" ht="15" customHeight="1" x14ac:dyDescent="0.25">
      <c r="B33" s="3"/>
      <c r="I33" s="69" t="str">
        <f>"Total LCFC Recovery for Program Year "&amp;D6&amp;":"</f>
        <v>Total LCFC Recovery for Program Year 2025:</v>
      </c>
      <c r="J33" s="11">
        <f>H27+I27+J27+I31+J31</f>
        <v>0</v>
      </c>
      <c r="L33" s="4"/>
    </row>
    <row r="34" spans="2:12" ht="15" customHeight="1" x14ac:dyDescent="0.25">
      <c r="B34" s="3"/>
      <c r="I34" s="69"/>
      <c r="J34" s="11"/>
      <c r="L34" s="4"/>
    </row>
    <row r="35" spans="2:12" ht="15" customHeight="1" x14ac:dyDescent="0.25">
      <c r="B35" s="3"/>
      <c r="E35" s="331" t="s">
        <v>520</v>
      </c>
      <c r="F35" s="329" t="s">
        <v>521</v>
      </c>
      <c r="I35" s="69"/>
      <c r="J35" s="11"/>
      <c r="L35" s="4"/>
    </row>
    <row r="36" spans="2:12" ht="15" customHeight="1" x14ac:dyDescent="0.2">
      <c r="B36" s="3"/>
      <c r="E36" s="331" t="s">
        <v>522</v>
      </c>
      <c r="F36" s="332">
        <v>45566</v>
      </c>
      <c r="L36" s="4"/>
    </row>
    <row r="37" spans="2:12" ht="15" customHeight="1" x14ac:dyDescent="0.2">
      <c r="B37" s="5"/>
      <c r="C37" s="6"/>
      <c r="D37" s="6"/>
      <c r="E37" s="6"/>
      <c r="F37" s="6"/>
      <c r="G37" s="6"/>
      <c r="H37" s="6"/>
      <c r="I37" s="6"/>
      <c r="J37" s="6"/>
      <c r="K37" s="6"/>
      <c r="L37" s="7"/>
    </row>
    <row r="38" spans="2:12" ht="15" customHeight="1" x14ac:dyDescent="0.2">
      <c r="C38" s="2" t="s">
        <v>523</v>
      </c>
    </row>
    <row r="39" spans="2:12" ht="15" customHeight="1" x14ac:dyDescent="0.2"/>
    <row r="40" spans="2:12" ht="15" customHeight="1" x14ac:dyDescent="0.2"/>
    <row r="41" spans="2:12" ht="15" customHeight="1" x14ac:dyDescent="0.2"/>
    <row r="42" spans="2:12" ht="15" customHeight="1" x14ac:dyDescent="0.2"/>
    <row r="43" spans="2:12" ht="15" customHeight="1" x14ac:dyDescent="0.2"/>
    <row r="44" spans="2:12" ht="15" customHeight="1" x14ac:dyDescent="0.2"/>
    <row r="45" spans="2:12" ht="15" customHeight="1" x14ac:dyDescent="0.2"/>
    <row r="46" spans="2:12" ht="15" customHeight="1" x14ac:dyDescent="0.2"/>
    <row r="47" spans="2:12" ht="15" customHeight="1" x14ac:dyDescent="0.2"/>
    <row r="48"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sheetData>
  <sheetProtection algorithmName="SHA-512" hashValue="pOS5PspOTmSsZ8BkI00d04UtoAZyq4QJfzuQc9DWLJzKo4nMG3Ye2GyI0BMRZmZ4qZzVLGaQxzyvL/atzDG4hA==" saltValue="/vpMsI2xOSlQYgC9xtgyJg==" spinCount="100000" sheet="1" objects="1" scenarios="1" formatRows="0"/>
  <mergeCells count="5">
    <mergeCell ref="D5:F5"/>
    <mergeCell ref="H5:J5"/>
    <mergeCell ref="C4:J4"/>
    <mergeCell ref="D29:F29"/>
    <mergeCell ref="H29:J29"/>
  </mergeCells>
  <conditionalFormatting sqref="D7:F26 H7:J26">
    <cfRule type="expression" dxfId="18" priority="1">
      <formula>$B7&gt;Programs</formula>
    </cfRule>
  </conditionalFormatting>
  <dataValidations count="1">
    <dataValidation type="list" allowBlank="1" showInputMessage="1" showErrorMessage="1" sqref="F35" xr:uid="{00000000-0002-0000-1400-000000000000}">
      <formula1>"Yes, No"</formula1>
    </dataValidation>
  </dataValidations>
  <pageMargins left="0.25" right="0.25" top="0.25" bottom="0.2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B1:O109"/>
  <sheetViews>
    <sheetView showGridLines="0" tabSelected="1" zoomScale="110" zoomScaleNormal="110" workbookViewId="0">
      <pane ySplit="2" topLeftCell="A3" activePane="bottomLeft" state="frozen"/>
      <selection pane="bottomLeft" activeCell="S20" sqref="S20"/>
    </sheetView>
  </sheetViews>
  <sheetFormatPr defaultColWidth="9.140625" defaultRowHeight="12.75" x14ac:dyDescent="0.2"/>
  <cols>
    <col min="1" max="1" width="1" style="2" customWidth="1"/>
    <col min="2" max="2" width="3.85546875" style="2" customWidth="1"/>
    <col min="3" max="3" width="28.5703125" style="2" customWidth="1"/>
    <col min="4" max="6" width="12.140625" style="2" customWidth="1"/>
    <col min="7" max="7" width="3.85546875" style="2" customWidth="1"/>
    <col min="8" max="8" width="23" style="2" customWidth="1"/>
    <col min="9" max="11" width="12.140625" style="2" customWidth="1"/>
    <col min="12" max="12" width="1.140625" style="2" customWidth="1"/>
    <col min="13" max="13" width="1" style="2" customWidth="1"/>
    <col min="14" max="14" width="16" style="2" customWidth="1"/>
    <col min="15" max="15" width="0" style="2" hidden="1" customWidth="1"/>
    <col min="16" max="16384" width="9.140625" style="2"/>
  </cols>
  <sheetData>
    <row r="1" spans="2:15" ht="28.5" customHeight="1" x14ac:dyDescent="0.2"/>
    <row r="2" spans="2:15" ht="64.5" customHeight="1" x14ac:dyDescent="0.2">
      <c r="B2" s="508"/>
      <c r="C2" s="509"/>
      <c r="D2" s="509"/>
      <c r="E2" s="509"/>
      <c r="F2" s="509"/>
      <c r="G2" s="509"/>
      <c r="H2" s="509"/>
      <c r="I2" s="509"/>
      <c r="J2" s="509"/>
      <c r="K2" s="509"/>
      <c r="L2" s="510"/>
    </row>
    <row r="3" spans="2:15" ht="11.25" customHeight="1" x14ac:dyDescent="0.2">
      <c r="B3" s="511"/>
      <c r="C3" s="350" t="str">
        <f>IF(O7&gt;0,"Incomplete - All yellow shaded cells must be completed.","")</f>
        <v/>
      </c>
      <c r="D3" s="347"/>
      <c r="E3" s="347"/>
      <c r="F3" s="347"/>
      <c r="G3" s="347"/>
      <c r="H3" s="347"/>
      <c r="I3" s="347"/>
      <c r="J3" s="347"/>
      <c r="K3" s="347"/>
      <c r="L3" s="512"/>
    </row>
    <row r="4" spans="2:15" ht="15" customHeight="1" x14ac:dyDescent="0.25">
      <c r="B4" s="70" t="s">
        <v>524</v>
      </c>
      <c r="G4" s="71" t="s">
        <v>525</v>
      </c>
      <c r="L4" s="4"/>
    </row>
    <row r="5" spans="2:15" ht="15" customHeight="1" x14ac:dyDescent="0.2">
      <c r="B5" s="272">
        <v>1</v>
      </c>
      <c r="C5" s="2" t="str">
        <f>INDEX(Targets,MATCH(D12,Target_Year,0),3)&amp;" Annual Energy Sales"</f>
        <v>2022 Annual Energy Sales</v>
      </c>
      <c r="D5" s="431">
        <v>3680403.3879999998</v>
      </c>
      <c r="E5" s="281" t="str">
        <f>Energy_2</f>
        <v>MWh</v>
      </c>
      <c r="G5" s="280">
        <v>1</v>
      </c>
      <c r="H5" s="2" t="s">
        <v>526</v>
      </c>
      <c r="I5" s="426">
        <f>'Rec1'!E26</f>
        <v>14305564</v>
      </c>
      <c r="L5" s="4"/>
      <c r="O5" s="2">
        <f>IF(ISBLANK(D5),1,0)</f>
        <v>0</v>
      </c>
    </row>
    <row r="6" spans="2:15" ht="15" customHeight="1" x14ac:dyDescent="0.2">
      <c r="B6" s="272">
        <v>2</v>
      </c>
      <c r="C6" s="2" t="s">
        <v>527</v>
      </c>
      <c r="D6" s="431">
        <v>894698.15599999996</v>
      </c>
      <c r="E6" s="281" t="str">
        <f>E5</f>
        <v>MWh</v>
      </c>
      <c r="G6" s="280">
        <v>2</v>
      </c>
      <c r="H6" s="2" t="s">
        <v>528</v>
      </c>
      <c r="I6" s="426">
        <f>'Actual Expenses'!J91</f>
        <v>13219430.800000001</v>
      </c>
      <c r="L6" s="4"/>
      <c r="O6" s="2">
        <f>IF(ISBLANK(D6),1,0)</f>
        <v>0</v>
      </c>
    </row>
    <row r="7" spans="2:15" ht="15" customHeight="1" x14ac:dyDescent="0.2">
      <c r="B7" s="3"/>
      <c r="C7" s="282" t="s">
        <v>529</v>
      </c>
      <c r="D7" s="132">
        <f>D5-D6</f>
        <v>2785705.2319999998</v>
      </c>
      <c r="E7" s="281" t="str">
        <f>E5</f>
        <v>MWh</v>
      </c>
      <c r="G7" s="280">
        <v>3</v>
      </c>
      <c r="H7" s="2" t="str">
        <f>E5&amp;" Achieved"</f>
        <v>MWh Achieved</v>
      </c>
      <c r="I7" s="427">
        <f>IF(Titles!F13=Titles!B24,'Evaluated Savings'!E26/1000,'Evaluated Savings'!E26)</f>
        <v>44577.760000000002</v>
      </c>
      <c r="L7" s="4"/>
      <c r="O7" s="2">
        <f>SUM(O5:O6)</f>
        <v>0</v>
      </c>
    </row>
    <row r="8" spans="2:15" ht="15" customHeight="1" x14ac:dyDescent="0.2">
      <c r="B8" s="8"/>
      <c r="G8" s="280">
        <v>4</v>
      </c>
      <c r="H8" s="2" t="s">
        <v>530</v>
      </c>
      <c r="I8" s="426">
        <f>'Cost-Benefits'!I27*1000</f>
        <v>9734477.129999999</v>
      </c>
      <c r="L8" s="4"/>
    </row>
    <row r="9" spans="2:15" ht="15" customHeight="1" x14ac:dyDescent="0.25">
      <c r="B9" s="70"/>
      <c r="L9" s="4"/>
    </row>
    <row r="10" spans="2:15" ht="15" customHeight="1" x14ac:dyDescent="0.2">
      <c r="B10" s="3"/>
      <c r="L10" s="4"/>
    </row>
    <row r="11" spans="2:15" ht="15" customHeight="1" x14ac:dyDescent="0.2">
      <c r="B11" s="3"/>
      <c r="L11" s="4"/>
    </row>
    <row r="12" spans="2:15" ht="15" customHeight="1" x14ac:dyDescent="0.25">
      <c r="B12" s="70" t="s">
        <v>531</v>
      </c>
      <c r="D12" s="29">
        <f>Prg_Year</f>
        <v>2025</v>
      </c>
      <c r="F12" s="372" t="s">
        <v>532</v>
      </c>
      <c r="L12" s="4"/>
    </row>
    <row r="13" spans="2:15" ht="15" customHeight="1" x14ac:dyDescent="0.2">
      <c r="B13" s="272">
        <v>1</v>
      </c>
      <c r="C13" s="2" t="str">
        <f>"Energy Baseline"&amp;" ("&amp;E5&amp;")"</f>
        <v>Energy Baseline (MWh)</v>
      </c>
      <c r="D13" s="73">
        <f>D7</f>
        <v>2785705.2319999998</v>
      </c>
      <c r="F13" s="371">
        <f>I7/D7</f>
        <v>1.6002324828889147E-2</v>
      </c>
      <c r="G13" s="2" t="str">
        <f>"of "&amp;C5&amp;" adjusted for self-direct."</f>
        <v>of 2022 Annual Energy Sales adjusted for self-direct.</v>
      </c>
      <c r="L13" s="4"/>
    </row>
    <row r="14" spans="2:15" ht="15" customHeight="1" x14ac:dyDescent="0.2">
      <c r="B14" s="272">
        <f>B13+1</f>
        <v>2</v>
      </c>
      <c r="C14" s="2" t="s">
        <v>533</v>
      </c>
      <c r="D14" s="72">
        <f>INDEX(Targets,MATCH(D12,Target_Year,0),MATCH(Titles!$E$12,Target_Type,0))</f>
        <v>1.2E-2</v>
      </c>
      <c r="F14" s="371">
        <f>I7/D5</f>
        <v>1.211219404518166E-2</v>
      </c>
      <c r="G14" s="2" t="str">
        <f>"of unadjusted "&amp;C5&amp;"."</f>
        <v>of unadjusted 2022 Annual Energy Sales.</v>
      </c>
      <c r="L14" s="4"/>
    </row>
    <row r="15" spans="2:15" ht="15" customHeight="1" x14ac:dyDescent="0.2">
      <c r="B15" s="272">
        <f t="shared" ref="B15:B20" si="0">B14+1</f>
        <v>3</v>
      </c>
      <c r="C15" s="2" t="str">
        <f>E5&amp;" Goal"</f>
        <v>MWh Goal</v>
      </c>
      <c r="D15" s="73">
        <f>D13*D14</f>
        <v>33428.462783999996</v>
      </c>
      <c r="F15" s="371">
        <f>I7/'Utility Information'!F11</f>
        <v>1.2750528438425125E-2</v>
      </c>
      <c r="G15" s="2" t="str">
        <f>"of "&amp;Prg_Year&amp; " retail sales."</f>
        <v>of 2025 retail sales.</v>
      </c>
      <c r="L15" s="4"/>
    </row>
    <row r="16" spans="2:15" ht="15" customHeight="1" x14ac:dyDescent="0.2">
      <c r="B16" s="272">
        <f t="shared" si="0"/>
        <v>4</v>
      </c>
      <c r="C16" s="2" t="str">
        <f>H7</f>
        <v>MWh Achieved</v>
      </c>
      <c r="D16" s="73">
        <f>I7</f>
        <v>44577.760000000002</v>
      </c>
      <c r="L16" s="4"/>
    </row>
    <row r="17" spans="2:12" ht="15" customHeight="1" x14ac:dyDescent="0.2">
      <c r="B17" s="272">
        <f t="shared" si="0"/>
        <v>5</v>
      </c>
      <c r="C17" s="2" t="s">
        <v>534</v>
      </c>
      <c r="D17" s="72">
        <f>ROUND(D16/D15,2)</f>
        <v>1.33</v>
      </c>
      <c r="L17" s="4"/>
    </row>
    <row r="18" spans="2:12" ht="15" customHeight="1" x14ac:dyDescent="0.2">
      <c r="B18" s="272">
        <f t="shared" si="0"/>
        <v>6</v>
      </c>
      <c r="C18" s="2" t="s">
        <v>535</v>
      </c>
      <c r="D18" s="75">
        <f>0.1*I8</f>
        <v>973447.71299999999</v>
      </c>
      <c r="L18" s="4"/>
    </row>
    <row r="19" spans="2:12" ht="15" customHeight="1" x14ac:dyDescent="0.2">
      <c r="B19" s="272">
        <f t="shared" si="0"/>
        <v>7</v>
      </c>
      <c r="C19" s="2" t="s">
        <v>536</v>
      </c>
      <c r="D19" s="72">
        <f>IF(D17&lt;80%,0,IF(D17&gt;=120%,8%,((D17-80%)/10)+4%))</f>
        <v>0.08</v>
      </c>
      <c r="E19" s="74"/>
      <c r="L19" s="4"/>
    </row>
    <row r="20" spans="2:12" ht="15" customHeight="1" x14ac:dyDescent="0.2">
      <c r="B20" s="272">
        <f t="shared" si="0"/>
        <v>8</v>
      </c>
      <c r="C20" s="2" t="s">
        <v>537</v>
      </c>
      <c r="D20" s="75">
        <f>D19*I5</f>
        <v>1144445.1200000001</v>
      </c>
      <c r="L20" s="4"/>
    </row>
    <row r="21" spans="2:12" ht="15" customHeight="1" thickBot="1" x14ac:dyDescent="0.3">
      <c r="B21" s="3"/>
      <c r="C21" s="76" t="s">
        <v>538</v>
      </c>
      <c r="D21" s="77">
        <f>IF(D18&lt;D20,D18,D20)</f>
        <v>973447.71299999999</v>
      </c>
      <c r="L21" s="4"/>
    </row>
    <row r="22" spans="2:12" ht="15" customHeight="1" thickTop="1" x14ac:dyDescent="0.2">
      <c r="B22" s="5"/>
      <c r="C22" s="6"/>
      <c r="D22" s="6"/>
      <c r="E22" s="6"/>
      <c r="F22" s="6"/>
      <c r="G22" s="6"/>
      <c r="H22" s="6"/>
      <c r="I22" s="6"/>
      <c r="J22" s="6"/>
      <c r="K22" s="6"/>
      <c r="L22" s="7"/>
    </row>
    <row r="23" spans="2:12" ht="15" customHeight="1" x14ac:dyDescent="0.2"/>
    <row r="24" spans="2: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sheetData>
  <sheetProtection formatRows="0"/>
  <pageMargins left="0.25" right="0.25" top="0.25" bottom="0.2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B1:K108"/>
  <sheetViews>
    <sheetView showGridLines="0" showRowColHeaders="0" zoomScale="110" zoomScaleNormal="110" workbookViewId="0">
      <pane ySplit="2" topLeftCell="A3" activePane="bottomLeft" state="frozen"/>
      <selection pane="bottomLeft" activeCell="A3" sqref="A3"/>
    </sheetView>
  </sheetViews>
  <sheetFormatPr defaultColWidth="9.140625" defaultRowHeight="12.75" x14ac:dyDescent="0.2"/>
  <cols>
    <col min="1" max="1" width="1" style="2" customWidth="1"/>
    <col min="2" max="2" width="3.85546875" style="2" customWidth="1"/>
    <col min="3" max="3" width="7.85546875" style="2" customWidth="1"/>
    <col min="4" max="4" width="10" style="2" customWidth="1"/>
    <col min="5" max="6" width="18" style="2" customWidth="1"/>
    <col min="7" max="7" width="11.140625" style="2" customWidth="1"/>
    <col min="8" max="8" width="18" style="2" customWidth="1"/>
    <col min="9" max="9" width="11.42578125" style="2" customWidth="1"/>
    <col min="10" max="10" width="9.140625" style="2"/>
    <col min="11" max="11" width="25.5703125" style="2" customWidth="1"/>
    <col min="12" max="12" width="1" style="2" customWidth="1"/>
    <col min="13" max="13" width="16" style="2" customWidth="1"/>
    <col min="14" max="16384" width="9.140625" style="2"/>
  </cols>
  <sheetData>
    <row r="1" spans="2:11" ht="28.5" customHeight="1" x14ac:dyDescent="0.2"/>
    <row r="2" spans="2:11" ht="64.5" customHeight="1" x14ac:dyDescent="0.2">
      <c r="B2" s="508"/>
      <c r="C2" s="509"/>
      <c r="D2" s="509"/>
      <c r="E2" s="509"/>
      <c r="F2" s="509"/>
      <c r="G2" s="509"/>
      <c r="H2" s="509"/>
      <c r="I2" s="509"/>
      <c r="J2" s="509"/>
      <c r="K2" s="510"/>
    </row>
    <row r="3" spans="2:11" ht="7.5" customHeight="1" x14ac:dyDescent="0.2">
      <c r="B3" s="511"/>
      <c r="C3" s="347"/>
      <c r="D3" s="347"/>
      <c r="E3" s="347"/>
      <c r="F3" s="347"/>
      <c r="G3" s="347"/>
      <c r="H3" s="347"/>
      <c r="I3" s="347"/>
      <c r="J3" s="347"/>
      <c r="K3" s="512"/>
    </row>
    <row r="4" spans="2:11" ht="14.25" customHeight="1" x14ac:dyDescent="0.3">
      <c r="B4" s="3"/>
      <c r="E4" s="301"/>
      <c r="F4" s="302"/>
      <c r="G4" s="302"/>
      <c r="H4" s="302"/>
      <c r="I4" s="302"/>
      <c r="K4" s="4"/>
    </row>
    <row r="5" spans="2:11" ht="27" customHeight="1" x14ac:dyDescent="0.25">
      <c r="B5" s="3"/>
      <c r="C5" s="303"/>
      <c r="E5" s="304"/>
      <c r="F5" s="304"/>
      <c r="G5" s="304"/>
      <c r="H5" s="304"/>
      <c r="I5" s="304"/>
      <c r="K5" s="4"/>
    </row>
    <row r="6" spans="2:11" ht="12.75" customHeight="1" x14ac:dyDescent="0.2">
      <c r="B6" s="3"/>
      <c r="E6" s="304"/>
      <c r="F6" s="304"/>
      <c r="G6" s="305"/>
      <c r="H6" s="304"/>
      <c r="I6" s="305"/>
      <c r="K6" s="4"/>
    </row>
    <row r="7" spans="2:11" ht="15" customHeight="1" x14ac:dyDescent="0.2">
      <c r="B7" s="3"/>
      <c r="E7" s="262"/>
      <c r="F7" s="262"/>
      <c r="G7" s="306"/>
      <c r="H7" s="262"/>
      <c r="I7" s="306"/>
      <c r="K7" s="4"/>
    </row>
    <row r="8" spans="2:11" ht="15" customHeight="1" x14ac:dyDescent="0.2">
      <c r="B8" s="3"/>
      <c r="E8" s="262"/>
      <c r="F8" s="262"/>
      <c r="G8" s="306"/>
      <c r="H8" s="262"/>
      <c r="I8" s="306"/>
      <c r="K8" s="4"/>
    </row>
    <row r="9" spans="2:11" ht="15" customHeight="1" x14ac:dyDescent="0.2">
      <c r="B9" s="3"/>
      <c r="E9" s="262"/>
      <c r="F9" s="262"/>
      <c r="G9" s="306"/>
      <c r="H9" s="262"/>
      <c r="I9" s="306"/>
      <c r="K9" s="4"/>
    </row>
    <row r="10" spans="2:11" ht="15" customHeight="1" x14ac:dyDescent="0.25">
      <c r="B10" s="3"/>
      <c r="E10" s="674" t="s">
        <v>415</v>
      </c>
      <c r="F10" s="674"/>
      <c r="G10" s="674"/>
      <c r="H10" s="674"/>
      <c r="I10" s="674"/>
      <c r="J10" s="674"/>
      <c r="K10" s="4"/>
    </row>
    <row r="11" spans="2:11" ht="15" customHeight="1" x14ac:dyDescent="0.2">
      <c r="B11" s="3"/>
      <c r="E11" s="262"/>
      <c r="F11" s="262"/>
      <c r="G11" s="306"/>
      <c r="H11" s="262"/>
      <c r="I11" s="306"/>
      <c r="K11" s="4"/>
    </row>
    <row r="12" spans="2:11" ht="15" customHeight="1" x14ac:dyDescent="0.2">
      <c r="B12" s="3"/>
      <c r="K12" s="4"/>
    </row>
    <row r="13" spans="2:11" ht="14.25" customHeight="1" x14ac:dyDescent="0.3">
      <c r="B13" s="3"/>
      <c r="E13" s="301"/>
      <c r="F13" s="302"/>
      <c r="G13" s="302"/>
      <c r="H13" s="302"/>
      <c r="I13" s="302"/>
      <c r="K13" s="4"/>
    </row>
    <row r="14" spans="2:11" ht="39" customHeight="1" x14ac:dyDescent="0.25">
      <c r="B14" s="3"/>
      <c r="C14" s="303"/>
      <c r="E14" s="304"/>
      <c r="F14" s="304"/>
      <c r="G14" s="304"/>
      <c r="H14" s="304"/>
      <c r="I14" s="304"/>
      <c r="K14" s="4"/>
    </row>
    <row r="15" spans="2:11" ht="9.75" customHeight="1" x14ac:dyDescent="0.2">
      <c r="B15" s="3"/>
      <c r="E15" s="304"/>
      <c r="F15" s="304"/>
      <c r="G15" s="305"/>
      <c r="H15" s="304"/>
      <c r="I15" s="305"/>
      <c r="K15" s="4"/>
    </row>
    <row r="16" spans="2:11" ht="15" customHeight="1" x14ac:dyDescent="0.2">
      <c r="B16" s="3"/>
      <c r="E16" s="307"/>
      <c r="F16" s="307"/>
      <c r="G16" s="306"/>
      <c r="H16" s="307"/>
      <c r="I16" s="306"/>
      <c r="K16" s="4"/>
    </row>
    <row r="17" spans="2:11" ht="15" customHeight="1" x14ac:dyDescent="0.2">
      <c r="B17" s="3"/>
      <c r="E17" s="307"/>
      <c r="F17" s="307"/>
      <c r="G17" s="306"/>
      <c r="H17" s="307"/>
      <c r="I17" s="306"/>
      <c r="K17" s="4"/>
    </row>
    <row r="18" spans="2:11" ht="15" customHeight="1" x14ac:dyDescent="0.2">
      <c r="B18" s="3"/>
      <c r="E18" s="307"/>
      <c r="F18" s="307"/>
      <c r="G18" s="306"/>
      <c r="H18" s="307"/>
      <c r="I18" s="306"/>
      <c r="K18" s="4"/>
    </row>
    <row r="19" spans="2:11" ht="15" customHeight="1" x14ac:dyDescent="0.2">
      <c r="B19" s="3"/>
      <c r="E19" s="307"/>
      <c r="F19" s="307"/>
      <c r="G19" s="306"/>
      <c r="H19" s="307"/>
      <c r="I19" s="306"/>
      <c r="K19" s="4"/>
    </row>
    <row r="20" spans="2:11" ht="15" customHeight="1" x14ac:dyDescent="0.2">
      <c r="B20" s="3"/>
      <c r="E20" s="307"/>
      <c r="F20" s="307"/>
      <c r="G20" s="306"/>
      <c r="H20" s="307"/>
      <c r="I20" s="306"/>
      <c r="K20" s="4"/>
    </row>
    <row r="21" spans="2:11" ht="15" customHeight="1" x14ac:dyDescent="0.2">
      <c r="B21" s="5"/>
      <c r="C21" s="6"/>
      <c r="D21" s="6"/>
      <c r="E21" s="6"/>
      <c r="F21" s="6"/>
      <c r="G21" s="6"/>
      <c r="H21" s="6"/>
      <c r="I21" s="6"/>
      <c r="J21" s="6"/>
      <c r="K21" s="7"/>
    </row>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sheetData>
  <sheetProtection password="C925" sheet="1" objects="1" scenarios="1" formatRows="0"/>
  <mergeCells count="1">
    <mergeCell ref="E10:J10"/>
  </mergeCells>
  <pageMargins left="0.25" right="0.25" top="0.25" bottom="0.25" header="0.3" footer="0.3"/>
  <pageSetup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B1:Y56"/>
  <sheetViews>
    <sheetView showGridLines="0" zoomScaleNormal="100" workbookViewId="0">
      <pane xSplit="3" ySplit="4" topLeftCell="D5" activePane="bottomRight" state="frozen"/>
      <selection pane="topRight" activeCell="D1" sqref="D1"/>
      <selection pane="bottomLeft" activeCell="A5" sqref="A5"/>
      <selection pane="bottomRight" activeCell="D44" sqref="D44"/>
    </sheetView>
  </sheetViews>
  <sheetFormatPr defaultColWidth="9.140625" defaultRowHeight="12.75" x14ac:dyDescent="0.2"/>
  <cols>
    <col min="1" max="1" width="1" style="2" customWidth="1"/>
    <col min="2" max="2" width="4" style="2" customWidth="1"/>
    <col min="3" max="3" width="40.5703125" style="2" customWidth="1"/>
    <col min="4" max="4" width="15" style="2" customWidth="1"/>
    <col min="5" max="5" width="1.85546875" style="2" customWidth="1"/>
    <col min="6" max="6" width="12" style="2" bestFit="1" customWidth="1"/>
    <col min="7" max="7" width="12" style="2" customWidth="1"/>
    <col min="8" max="8" width="12.42578125" style="2" bestFit="1" customWidth="1"/>
    <col min="9" max="9" width="11.85546875" style="2" bestFit="1" customWidth="1"/>
    <col min="10" max="10" width="1.85546875" style="2" customWidth="1"/>
    <col min="11" max="14" width="11" style="2" bestFit="1" customWidth="1"/>
    <col min="15" max="15" width="1.85546875" style="2" customWidth="1"/>
    <col min="16" max="19" width="10.85546875" style="2" customWidth="1"/>
    <col min="20" max="20" width="1.85546875" style="2" customWidth="1"/>
    <col min="21" max="24" width="10.85546875" style="2" customWidth="1"/>
    <col min="25" max="25" width="1.5703125" style="2" customWidth="1"/>
    <col min="26" max="26" width="1" style="2" customWidth="1"/>
    <col min="27" max="16384" width="9.140625" style="2"/>
  </cols>
  <sheetData>
    <row r="1" spans="2:25" ht="5.0999999999999996" customHeight="1" thickBot="1" x14ac:dyDescent="0.25"/>
    <row r="2" spans="2:25" ht="38.25" customHeight="1" x14ac:dyDescent="0.2">
      <c r="B2" s="728" t="s">
        <v>539</v>
      </c>
      <c r="C2" s="728"/>
      <c r="D2" s="728"/>
      <c r="E2" s="728"/>
      <c r="F2" s="728"/>
      <c r="G2" s="728"/>
      <c r="H2" s="728"/>
      <c r="I2" s="728"/>
      <c r="J2" s="728"/>
      <c r="K2" s="728"/>
      <c r="L2" s="728"/>
      <c r="M2" s="728"/>
      <c r="N2" s="728"/>
      <c r="O2" s="728"/>
      <c r="P2" s="728"/>
      <c r="Q2" s="728"/>
      <c r="R2" s="728"/>
      <c r="S2" s="728"/>
      <c r="T2" s="728"/>
      <c r="U2" s="728"/>
      <c r="V2" s="728"/>
      <c r="W2" s="728"/>
      <c r="X2" s="728"/>
      <c r="Y2" s="728"/>
    </row>
    <row r="3" spans="2:25" ht="72.75" customHeight="1" x14ac:dyDescent="0.2">
      <c r="B3" s="511"/>
      <c r="C3" s="347"/>
      <c r="D3" s="347"/>
      <c r="E3" s="347"/>
      <c r="F3" s="347"/>
      <c r="G3" s="347"/>
      <c r="H3" s="347"/>
      <c r="I3" s="347"/>
      <c r="J3" s="347"/>
      <c r="K3" s="347"/>
      <c r="L3" s="347"/>
      <c r="M3" s="347"/>
      <c r="N3" s="347"/>
      <c r="O3" s="347"/>
      <c r="P3" s="347"/>
      <c r="Q3" s="347"/>
      <c r="R3" s="347"/>
      <c r="S3" s="347"/>
      <c r="T3" s="347"/>
      <c r="U3" s="347"/>
      <c r="V3" s="347"/>
      <c r="W3" s="347"/>
      <c r="X3" s="347"/>
      <c r="Y3" s="512"/>
    </row>
    <row r="4" spans="2:25" ht="18.75" customHeight="1" x14ac:dyDescent="0.2">
      <c r="B4" s="3"/>
      <c r="Y4" s="4"/>
    </row>
    <row r="5" spans="2:25" ht="20.25" customHeight="1" x14ac:dyDescent="0.2">
      <c r="B5" s="3"/>
      <c r="Y5" s="4"/>
    </row>
    <row r="6" spans="2:25" ht="19.5" thickBot="1" x14ac:dyDescent="0.35">
      <c r="B6" s="3"/>
      <c r="C6" s="741" t="s">
        <v>518</v>
      </c>
      <c r="D6" s="741"/>
      <c r="E6" s="641"/>
      <c r="F6" s="740" t="s">
        <v>540</v>
      </c>
      <c r="G6" s="740"/>
      <c r="H6" s="740"/>
      <c r="I6" s="740"/>
      <c r="K6" s="740" t="str">
        <f>"Annual Net Energy Savings ("&amp;Energy_1&amp;")"</f>
        <v>Annual Net Energy Savings (kWh)</v>
      </c>
      <c r="L6" s="740"/>
      <c r="M6" s="740"/>
      <c r="N6" s="740"/>
      <c r="P6" s="740" t="str">
        <f>"Annual Net Demand Savings ("&amp;Demand_1&amp;")"</f>
        <v>Annual Net Demand Savings (kW)</v>
      </c>
      <c r="Q6" s="740"/>
      <c r="R6" s="740"/>
      <c r="S6" s="740"/>
      <c r="U6" s="740" t="s">
        <v>541</v>
      </c>
      <c r="V6" s="740"/>
      <c r="W6" s="740"/>
      <c r="X6" s="740"/>
      <c r="Y6" s="4"/>
    </row>
    <row r="7" spans="2:25" x14ac:dyDescent="0.2">
      <c r="B7" s="3"/>
      <c r="F7" s="737">
        <f>Prg_Year-2</f>
        <v>2023</v>
      </c>
      <c r="G7" s="738"/>
      <c r="H7" s="737">
        <f>F7+1</f>
        <v>2024</v>
      </c>
      <c r="I7" s="738"/>
      <c r="K7" s="737">
        <f>F7</f>
        <v>2023</v>
      </c>
      <c r="L7" s="738"/>
      <c r="M7" s="737">
        <f>H7</f>
        <v>2024</v>
      </c>
      <c r="N7" s="738"/>
      <c r="P7" s="737">
        <f>K7</f>
        <v>2023</v>
      </c>
      <c r="Q7" s="738"/>
      <c r="R7" s="739">
        <f>M7</f>
        <v>2024</v>
      </c>
      <c r="S7" s="738"/>
      <c r="U7" s="737">
        <f>P7</f>
        <v>2023</v>
      </c>
      <c r="V7" s="738"/>
      <c r="W7" s="737">
        <f>R7</f>
        <v>2024</v>
      </c>
      <c r="X7" s="738"/>
      <c r="Y7" s="4"/>
    </row>
    <row r="8" spans="2:25" ht="12.75" customHeight="1" thickBot="1" x14ac:dyDescent="0.3">
      <c r="B8" s="8"/>
      <c r="C8" s="9" t="s">
        <v>93</v>
      </c>
      <c r="D8" s="9" t="s">
        <v>94</v>
      </c>
      <c r="E8" s="9"/>
      <c r="F8" s="128" t="s">
        <v>542</v>
      </c>
      <c r="G8" s="129" t="s">
        <v>543</v>
      </c>
      <c r="H8" s="128" t="s">
        <v>542</v>
      </c>
      <c r="I8" s="129" t="s">
        <v>543</v>
      </c>
      <c r="J8" s="9"/>
      <c r="K8" s="130" t="s">
        <v>544</v>
      </c>
      <c r="L8" s="131" t="s">
        <v>545</v>
      </c>
      <c r="M8" s="612" t="s">
        <v>544</v>
      </c>
      <c r="N8" s="129" t="s">
        <v>545</v>
      </c>
      <c r="O8" s="9"/>
      <c r="P8" s="130" t="s">
        <v>544</v>
      </c>
      <c r="Q8" s="129" t="s">
        <v>545</v>
      </c>
      <c r="R8" s="612" t="s">
        <v>544</v>
      </c>
      <c r="S8" s="129" t="s">
        <v>545</v>
      </c>
      <c r="U8" s="130" t="s">
        <v>544</v>
      </c>
      <c r="V8" s="131" t="s">
        <v>545</v>
      </c>
      <c r="W8" s="128" t="s">
        <v>544</v>
      </c>
      <c r="X8" s="129" t="s">
        <v>545</v>
      </c>
      <c r="Y8" s="4"/>
    </row>
    <row r="9" spans="2:25" ht="12.75" customHeight="1" x14ac:dyDescent="0.25">
      <c r="B9" s="272">
        <v>1</v>
      </c>
      <c r="C9" s="273" t="str">
        <f>'Program Descriptions'!C5</f>
        <v>Load Mgt (LMP)</v>
      </c>
      <c r="D9" s="273" t="str">
        <f>IF(C9="Empty","",'Program Descriptions'!E5)</f>
        <v>Commercial &amp; Industrial</v>
      </c>
      <c r="E9" s="273"/>
      <c r="F9" s="475">
        <v>296968</v>
      </c>
      <c r="G9" s="476">
        <v>205062</v>
      </c>
      <c r="H9" s="475">
        <v>840020</v>
      </c>
      <c r="I9" s="476">
        <v>472989</v>
      </c>
      <c r="J9" s="9"/>
      <c r="K9" s="124">
        <v>150000</v>
      </c>
      <c r="L9" s="125">
        <v>137005</v>
      </c>
      <c r="M9" s="431">
        <v>0</v>
      </c>
      <c r="N9" s="609">
        <v>80324</v>
      </c>
      <c r="O9" s="9"/>
      <c r="P9" s="124">
        <v>10000</v>
      </c>
      <c r="Q9" s="611">
        <v>8140</v>
      </c>
      <c r="R9" s="431">
        <v>10695</v>
      </c>
      <c r="S9" s="284">
        <v>6390.41</v>
      </c>
      <c r="U9" s="124">
        <v>20</v>
      </c>
      <c r="V9" s="125">
        <v>16</v>
      </c>
      <c r="W9" s="431">
        <v>25</v>
      </c>
      <c r="X9" s="284">
        <v>15</v>
      </c>
      <c r="Y9" s="4"/>
    </row>
    <row r="10" spans="2:25" ht="12.75" customHeight="1" x14ac:dyDescent="0.25">
      <c r="B10" s="272">
        <v>2</v>
      </c>
      <c r="C10" s="273" t="str">
        <f>'Program Descriptions'!C6</f>
        <v>Comm &amp; Industrial (CIEEP)</v>
      </c>
      <c r="D10" s="273" t="str">
        <f>IF(C10="Empty","",'Program Descriptions'!E6)</f>
        <v>Commercial &amp; Industrial</v>
      </c>
      <c r="E10" s="273"/>
      <c r="F10" s="54">
        <v>3702397</v>
      </c>
      <c r="G10" s="123">
        <v>3261658</v>
      </c>
      <c r="H10" s="54">
        <v>3098985</v>
      </c>
      <c r="I10" s="123">
        <v>3096961</v>
      </c>
      <c r="J10" s="9"/>
      <c r="K10" s="126">
        <v>14737590</v>
      </c>
      <c r="L10" s="114">
        <v>18121254</v>
      </c>
      <c r="M10" s="431">
        <v>11730533</v>
      </c>
      <c r="N10" s="609">
        <v>10710161</v>
      </c>
      <c r="O10" s="9"/>
      <c r="P10" s="126">
        <v>1870</v>
      </c>
      <c r="Q10" s="610">
        <v>2437</v>
      </c>
      <c r="R10" s="431">
        <v>2642</v>
      </c>
      <c r="S10" s="284">
        <v>2718</v>
      </c>
      <c r="U10" s="126">
        <v>182</v>
      </c>
      <c r="V10" s="114">
        <v>119</v>
      </c>
      <c r="W10" s="431">
        <v>436</v>
      </c>
      <c r="X10" s="284">
        <v>368</v>
      </c>
      <c r="Y10" s="4"/>
    </row>
    <row r="11" spans="2:25" ht="12.75" customHeight="1" x14ac:dyDescent="0.25">
      <c r="B11" s="272">
        <v>3</v>
      </c>
      <c r="C11" s="273" t="str">
        <f>'Program Descriptions'!C7</f>
        <v>Small Business (SBP)</v>
      </c>
      <c r="D11" s="273" t="str">
        <f>IF(C11="Empty","",'Program Descriptions'!E7)</f>
        <v>Small Business/C&amp;I</v>
      </c>
      <c r="E11" s="273"/>
      <c r="F11" s="54">
        <v>1614244</v>
      </c>
      <c r="G11" s="123">
        <v>1101462</v>
      </c>
      <c r="H11" s="54">
        <v>1758433</v>
      </c>
      <c r="I11" s="123">
        <v>1728280</v>
      </c>
      <c r="J11" s="9"/>
      <c r="K11" s="126">
        <v>5969622</v>
      </c>
      <c r="L11" s="114">
        <v>3311611</v>
      </c>
      <c r="M11" s="431">
        <v>6060578</v>
      </c>
      <c r="N11" s="609">
        <v>4765274</v>
      </c>
      <c r="O11" s="9"/>
      <c r="P11" s="126">
        <v>1170</v>
      </c>
      <c r="Q11" s="610">
        <v>660</v>
      </c>
      <c r="R11" s="431">
        <v>1489</v>
      </c>
      <c r="S11" s="284">
        <v>987.9</v>
      </c>
      <c r="U11" s="126">
        <v>300</v>
      </c>
      <c r="V11" s="114">
        <v>291</v>
      </c>
      <c r="W11" s="431">
        <v>668</v>
      </c>
      <c r="X11" s="284">
        <v>398</v>
      </c>
      <c r="Y11" s="4"/>
    </row>
    <row r="12" spans="2:25" ht="12.75" customHeight="1" x14ac:dyDescent="0.25">
      <c r="B12" s="272">
        <v>4</v>
      </c>
      <c r="C12" s="273" t="str">
        <f>'Program Descriptions'!C8</f>
        <v>Efficient Products (EPP)</v>
      </c>
      <c r="D12" s="273" t="str">
        <f>IF(C12="Empty","",'Program Descriptions'!E8)</f>
        <v>Residential</v>
      </c>
      <c r="E12" s="273"/>
      <c r="F12" s="54">
        <v>1228570</v>
      </c>
      <c r="G12" s="123">
        <v>1111185</v>
      </c>
      <c r="H12" s="54">
        <v>729211</v>
      </c>
      <c r="I12" s="123">
        <v>723092</v>
      </c>
      <c r="J12" s="9"/>
      <c r="K12" s="126">
        <v>3237145</v>
      </c>
      <c r="L12" s="114">
        <v>6512556</v>
      </c>
      <c r="M12" s="431">
        <v>1298780</v>
      </c>
      <c r="N12" s="609">
        <v>3578685</v>
      </c>
      <c r="O12" s="9"/>
      <c r="P12" s="126">
        <v>534</v>
      </c>
      <c r="Q12" s="610">
        <v>1072</v>
      </c>
      <c r="R12" s="431">
        <v>265</v>
      </c>
      <c r="S12" s="284">
        <v>510.53</v>
      </c>
      <c r="U12" s="126">
        <v>144975</v>
      </c>
      <c r="V12" s="114">
        <v>247730</v>
      </c>
      <c r="W12" s="431">
        <v>14665</v>
      </c>
      <c r="X12" s="284">
        <v>101203</v>
      </c>
      <c r="Y12" s="4"/>
    </row>
    <row r="13" spans="2:25" ht="12.75" customHeight="1" x14ac:dyDescent="0.25">
      <c r="B13" s="272">
        <v>5</v>
      </c>
      <c r="C13" s="273" t="str">
        <f>'Program Descriptions'!C9</f>
        <v>Res Energy Imprv (REIP)</v>
      </c>
      <c r="D13" s="273" t="str">
        <f>IF(C13="Empty","",'Program Descriptions'!E9)</f>
        <v>Residential</v>
      </c>
      <c r="E13" s="273"/>
      <c r="F13" s="54">
        <v>1404650</v>
      </c>
      <c r="G13" s="123">
        <v>1357406</v>
      </c>
      <c r="H13" s="54">
        <v>2220490</v>
      </c>
      <c r="I13" s="123">
        <v>2085123</v>
      </c>
      <c r="J13" s="9"/>
      <c r="K13" s="126">
        <v>3678955</v>
      </c>
      <c r="L13" s="114">
        <v>4299812</v>
      </c>
      <c r="M13" s="431">
        <v>5733934</v>
      </c>
      <c r="N13" s="609">
        <v>7918988</v>
      </c>
      <c r="O13" s="9"/>
      <c r="P13" s="126">
        <v>306</v>
      </c>
      <c r="Q13" s="610">
        <v>649</v>
      </c>
      <c r="R13" s="431">
        <v>1446</v>
      </c>
      <c r="S13" s="284">
        <v>1165.1600000000001</v>
      </c>
      <c r="U13" s="126">
        <v>4734</v>
      </c>
      <c r="V13" s="114">
        <v>7474</v>
      </c>
      <c r="W13" s="431">
        <v>7033</v>
      </c>
      <c r="X13" s="284">
        <v>5393</v>
      </c>
      <c r="Y13" s="4"/>
    </row>
    <row r="14" spans="2:25" ht="12.75" customHeight="1" x14ac:dyDescent="0.25">
      <c r="B14" s="272">
        <v>6</v>
      </c>
      <c r="C14" s="273" t="str">
        <f>'Program Descriptions'!C10</f>
        <v>Home Weatherization (HWP)</v>
      </c>
      <c r="D14" s="273" t="str">
        <f>IF(C14="Empty","",'Program Descriptions'!E10)</f>
        <v>Residential</v>
      </c>
      <c r="E14" s="273"/>
      <c r="F14" s="54">
        <v>2999305</v>
      </c>
      <c r="G14" s="123">
        <v>2846544</v>
      </c>
      <c r="H14" s="54">
        <v>3026926</v>
      </c>
      <c r="I14" s="123">
        <v>2102565</v>
      </c>
      <c r="J14" s="9"/>
      <c r="K14" s="126">
        <v>6486837</v>
      </c>
      <c r="L14" s="114">
        <v>582964</v>
      </c>
      <c r="M14" s="431">
        <v>6642648</v>
      </c>
      <c r="N14" s="609">
        <v>4042064</v>
      </c>
      <c r="O14" s="9"/>
      <c r="P14" s="126">
        <v>2191</v>
      </c>
      <c r="Q14" s="610">
        <v>2035</v>
      </c>
      <c r="R14" s="431">
        <v>2200</v>
      </c>
      <c r="S14" s="284">
        <v>1416.46</v>
      </c>
      <c r="U14" s="126">
        <v>1925</v>
      </c>
      <c r="V14" s="114">
        <v>1592</v>
      </c>
      <c r="W14" s="431">
        <v>2200</v>
      </c>
      <c r="X14" s="284">
        <v>1171</v>
      </c>
      <c r="Y14" s="4"/>
    </row>
    <row r="15" spans="2:25" ht="12.75" customHeight="1" x14ac:dyDescent="0.25">
      <c r="B15" s="272">
        <v>7</v>
      </c>
      <c r="C15" s="273" t="str">
        <f>'Program Descriptions'!C11</f>
        <v>Discont'd EE AR (EEA)</v>
      </c>
      <c r="D15" s="273" t="str">
        <f>IF(C15="Empty","",'Program Descriptions'!E11)</f>
        <v>All Classes</v>
      </c>
      <c r="E15" s="273"/>
      <c r="F15" s="54">
        <v>0</v>
      </c>
      <c r="G15" s="123">
        <v>0</v>
      </c>
      <c r="H15" s="54">
        <v>0</v>
      </c>
      <c r="I15" s="123">
        <v>-6422</v>
      </c>
      <c r="J15" s="9"/>
      <c r="K15" s="126">
        <v>0</v>
      </c>
      <c r="L15" s="114">
        <v>0</v>
      </c>
      <c r="M15" s="431">
        <v>0</v>
      </c>
      <c r="N15" s="609">
        <v>0</v>
      </c>
      <c r="O15" s="9"/>
      <c r="P15" s="126">
        <v>0</v>
      </c>
      <c r="Q15" s="114">
        <v>0</v>
      </c>
      <c r="R15" s="431">
        <v>0</v>
      </c>
      <c r="S15" s="284">
        <v>0</v>
      </c>
      <c r="U15" s="126">
        <v>0</v>
      </c>
      <c r="V15" s="114">
        <v>0</v>
      </c>
      <c r="W15" s="431">
        <v>0</v>
      </c>
      <c r="X15" s="284" t="s">
        <v>546</v>
      </c>
      <c r="Y15" s="4"/>
    </row>
    <row r="16" spans="2:25" ht="12.75" customHeight="1" x14ac:dyDescent="0.25">
      <c r="B16" s="272">
        <v>8</v>
      </c>
      <c r="C16" s="273" t="str">
        <f>'Program Descriptions'!C12</f>
        <v>Discont'd Onlne Audt(OLA)</v>
      </c>
      <c r="D16" s="273" t="str">
        <f>IF(C16="Empty","",'Program Descriptions'!E12)</f>
        <v>Residential</v>
      </c>
      <c r="E16" s="273"/>
      <c r="F16" s="54">
        <v>0</v>
      </c>
      <c r="G16" s="123">
        <v>0</v>
      </c>
      <c r="H16" s="54">
        <v>0</v>
      </c>
      <c r="I16" s="123">
        <v>0</v>
      </c>
      <c r="J16" s="9"/>
      <c r="K16" s="126">
        <v>0</v>
      </c>
      <c r="L16" s="114">
        <v>0</v>
      </c>
      <c r="M16" s="431">
        <v>0</v>
      </c>
      <c r="N16" s="609">
        <v>0</v>
      </c>
      <c r="O16" s="9"/>
      <c r="P16" s="126">
        <v>0</v>
      </c>
      <c r="Q16" s="114">
        <v>0</v>
      </c>
      <c r="R16" s="431">
        <v>0</v>
      </c>
      <c r="S16" s="284">
        <v>0</v>
      </c>
      <c r="U16" s="126">
        <v>0</v>
      </c>
      <c r="V16" s="114">
        <v>0</v>
      </c>
      <c r="W16" s="431">
        <v>0</v>
      </c>
      <c r="X16" s="284">
        <v>0</v>
      </c>
      <c r="Y16" s="4"/>
    </row>
    <row r="17" spans="2:25" ht="12.75" customHeight="1" x14ac:dyDescent="0.25">
      <c r="B17" s="272">
        <v>9</v>
      </c>
      <c r="C17" s="273" t="str">
        <f>'Program Descriptions'!C13</f>
        <v>Income Qualified (IQW)</v>
      </c>
      <c r="D17" s="273" t="str">
        <f>IF(C17="Empty","",'Program Descriptions'!E13)</f>
        <v>Residential</v>
      </c>
      <c r="E17" s="273"/>
      <c r="F17" s="54">
        <v>228742</v>
      </c>
      <c r="G17" s="123">
        <v>218212</v>
      </c>
      <c r="H17" s="54">
        <v>896616</v>
      </c>
      <c r="I17" s="123">
        <v>881993</v>
      </c>
      <c r="J17" s="9"/>
      <c r="K17" s="126">
        <v>245410</v>
      </c>
      <c r="L17" s="114">
        <v>431546</v>
      </c>
      <c r="M17" s="431">
        <v>1071667</v>
      </c>
      <c r="N17" s="609">
        <v>1006861</v>
      </c>
      <c r="O17" s="9"/>
      <c r="P17" s="126">
        <v>84</v>
      </c>
      <c r="Q17" s="114">
        <v>141</v>
      </c>
      <c r="R17" s="431">
        <v>435</v>
      </c>
      <c r="S17" s="284">
        <v>373</v>
      </c>
      <c r="U17" s="126">
        <v>50</v>
      </c>
      <c r="V17" s="114">
        <v>75</v>
      </c>
      <c r="W17" s="431">
        <v>200</v>
      </c>
      <c r="X17" s="284">
        <v>554</v>
      </c>
      <c r="Y17" s="4"/>
    </row>
    <row r="18" spans="2:25" ht="12.75" customHeight="1" x14ac:dyDescent="0.25">
      <c r="B18" s="272">
        <v>10</v>
      </c>
      <c r="C18" s="273" t="str">
        <f>'Program Descriptions'!C14</f>
        <v>Discont'd Ele Veh (EVE)</v>
      </c>
      <c r="D18" s="273" t="str">
        <f>IF(C18="Empty","",'Program Descriptions'!E14)</f>
        <v>Res/Small Business</v>
      </c>
      <c r="E18" s="273"/>
      <c r="F18" s="54">
        <v>0</v>
      </c>
      <c r="G18" s="123">
        <v>0</v>
      </c>
      <c r="H18" s="54">
        <v>0</v>
      </c>
      <c r="I18" s="123">
        <v>0</v>
      </c>
      <c r="J18" s="9"/>
      <c r="K18" s="126">
        <v>0</v>
      </c>
      <c r="L18" s="114">
        <v>0</v>
      </c>
      <c r="M18" s="431">
        <v>0</v>
      </c>
      <c r="N18" s="609">
        <v>0</v>
      </c>
      <c r="O18" s="9"/>
      <c r="P18" s="126">
        <v>0</v>
      </c>
      <c r="Q18" s="114">
        <v>0</v>
      </c>
      <c r="R18" s="431">
        <v>0</v>
      </c>
      <c r="S18" s="284">
        <v>0</v>
      </c>
      <c r="U18" s="126">
        <v>0</v>
      </c>
      <c r="V18" s="114">
        <v>0</v>
      </c>
      <c r="W18" s="431">
        <v>0</v>
      </c>
      <c r="X18" s="284" t="s">
        <v>546</v>
      </c>
      <c r="Y18" s="4"/>
    </row>
    <row r="19" spans="2:25" ht="12.75" customHeight="1" x14ac:dyDescent="0.25">
      <c r="B19" s="272">
        <v>11</v>
      </c>
      <c r="C19" s="273" t="str">
        <f>'Program Descriptions'!C15</f>
        <v>Discont'd Comm Solutions</v>
      </c>
      <c r="D19" s="273" t="str">
        <f>IF(C19="Empty","",'Program Descriptions'!E15)</f>
        <v>Commercial &amp; Industrial</v>
      </c>
      <c r="E19" s="273"/>
      <c r="F19" s="54">
        <v>0</v>
      </c>
      <c r="G19" s="623">
        <v>0</v>
      </c>
      <c r="H19" s="54">
        <v>0</v>
      </c>
      <c r="I19" s="622">
        <v>0</v>
      </c>
      <c r="J19" s="608"/>
      <c r="K19" s="606">
        <v>0</v>
      </c>
      <c r="L19" s="284">
        <v>0</v>
      </c>
      <c r="M19" s="431">
        <v>0</v>
      </c>
      <c r="N19" s="609">
        <v>0</v>
      </c>
      <c r="O19" s="608"/>
      <c r="P19" s="606">
        <v>0</v>
      </c>
      <c r="Q19" s="609">
        <v>0</v>
      </c>
      <c r="R19" s="431">
        <v>0</v>
      </c>
      <c r="S19" s="284">
        <v>0</v>
      </c>
      <c r="T19" s="613"/>
      <c r="U19" s="606">
        <v>0</v>
      </c>
      <c r="V19" s="609">
        <v>0</v>
      </c>
      <c r="W19" s="431">
        <v>0</v>
      </c>
      <c r="X19" s="284">
        <v>0</v>
      </c>
      <c r="Y19" s="4"/>
    </row>
    <row r="20" spans="2:25" ht="12.75" customHeight="1" x14ac:dyDescent="0.25">
      <c r="B20" s="272">
        <v>12</v>
      </c>
      <c r="C20" s="273" t="str">
        <f>'Program Descriptions'!C16</f>
        <v>Discont'd Res Appliance</v>
      </c>
      <c r="D20" s="273" t="str">
        <f>IF(C20="Empty","",'Program Descriptions'!E16)</f>
        <v>Residential</v>
      </c>
      <c r="E20" s="273"/>
      <c r="F20" s="54">
        <v>0</v>
      </c>
      <c r="G20" s="623">
        <v>0</v>
      </c>
      <c r="H20" s="54">
        <v>0</v>
      </c>
      <c r="I20" s="622">
        <v>0</v>
      </c>
      <c r="J20" s="608"/>
      <c r="K20" s="606">
        <v>0</v>
      </c>
      <c r="L20" s="284">
        <v>0</v>
      </c>
      <c r="M20" s="431">
        <v>0</v>
      </c>
      <c r="N20" s="609">
        <v>0</v>
      </c>
      <c r="O20" s="608"/>
      <c r="P20" s="606">
        <v>0</v>
      </c>
      <c r="Q20" s="609">
        <v>0</v>
      </c>
      <c r="R20" s="431">
        <v>0</v>
      </c>
      <c r="S20" s="284">
        <v>0</v>
      </c>
      <c r="T20" s="613"/>
      <c r="U20" s="606">
        <v>0</v>
      </c>
      <c r="V20" s="609">
        <v>0</v>
      </c>
      <c r="W20" s="431">
        <v>0</v>
      </c>
      <c r="X20" s="284">
        <v>0</v>
      </c>
      <c r="Y20" s="4"/>
    </row>
    <row r="21" spans="2:25" ht="12.75" customHeight="1" x14ac:dyDescent="0.25">
      <c r="B21" s="272">
        <v>13</v>
      </c>
      <c r="C21" s="273" t="str">
        <f>'Program Descriptions'!C17</f>
        <v>Discont'd Res Solutions</v>
      </c>
      <c r="D21" s="273" t="str">
        <f>IF(C21="Empty","",'Program Descriptions'!E17)</f>
        <v>Residential</v>
      </c>
      <c r="E21" s="273"/>
      <c r="F21" s="54">
        <v>0</v>
      </c>
      <c r="G21" s="623">
        <v>0</v>
      </c>
      <c r="H21" s="54">
        <v>0</v>
      </c>
      <c r="I21" s="622">
        <v>0</v>
      </c>
      <c r="J21" s="608"/>
      <c r="K21" s="606">
        <v>0</v>
      </c>
      <c r="L21" s="284">
        <v>0</v>
      </c>
      <c r="M21" s="431">
        <v>0</v>
      </c>
      <c r="N21" s="609">
        <v>0</v>
      </c>
      <c r="O21" s="608"/>
      <c r="P21" s="606">
        <v>0</v>
      </c>
      <c r="Q21" s="609">
        <v>0</v>
      </c>
      <c r="R21" s="431">
        <v>0</v>
      </c>
      <c r="S21" s="284">
        <v>0</v>
      </c>
      <c r="T21" s="613"/>
      <c r="U21" s="606">
        <v>0</v>
      </c>
      <c r="V21" s="609">
        <v>0</v>
      </c>
      <c r="W21" s="431">
        <v>0</v>
      </c>
      <c r="X21" s="284">
        <v>0</v>
      </c>
      <c r="Y21" s="4"/>
    </row>
    <row r="22" spans="2:25" ht="12.75" customHeight="1" x14ac:dyDescent="0.25">
      <c r="B22" s="272">
        <v>14</v>
      </c>
      <c r="C22" s="273" t="str">
        <f>'Program Descriptions'!C18</f>
        <v>Discont'd R ES Appliance</v>
      </c>
      <c r="D22" s="273" t="str">
        <f>IF(C22="Empty","",'Program Descriptions'!E18)</f>
        <v>Residential</v>
      </c>
      <c r="E22" s="273"/>
      <c r="F22" s="54">
        <v>0</v>
      </c>
      <c r="G22" s="623">
        <v>0</v>
      </c>
      <c r="H22" s="54">
        <v>0</v>
      </c>
      <c r="I22" s="622">
        <v>0</v>
      </c>
      <c r="J22" s="608"/>
      <c r="K22" s="606">
        <v>0</v>
      </c>
      <c r="L22" s="284">
        <v>0</v>
      </c>
      <c r="M22" s="431">
        <v>0</v>
      </c>
      <c r="N22" s="609">
        <v>0</v>
      </c>
      <c r="O22" s="608"/>
      <c r="P22" s="606">
        <v>0</v>
      </c>
      <c r="Q22" s="609">
        <v>0</v>
      </c>
      <c r="R22" s="431">
        <v>0</v>
      </c>
      <c r="S22" s="284">
        <v>0</v>
      </c>
      <c r="T22" s="613"/>
      <c r="U22" s="606">
        <v>0</v>
      </c>
      <c r="V22" s="609">
        <v>0</v>
      </c>
      <c r="W22" s="431">
        <v>0</v>
      </c>
      <c r="X22" s="284">
        <v>0</v>
      </c>
      <c r="Y22" s="4"/>
    </row>
    <row r="23" spans="2:25" ht="12.75" customHeight="1" x14ac:dyDescent="0.25">
      <c r="B23" s="272">
        <v>15</v>
      </c>
      <c r="C23" s="273" t="str">
        <f>'Program Descriptions'!C19</f>
        <v>Discont'd ARWX (AWIP)</v>
      </c>
      <c r="D23" s="273" t="str">
        <f>IF(C23="Empty","",'Program Descriptions'!E19)</f>
        <v>Residential</v>
      </c>
      <c r="E23" s="273"/>
      <c r="F23" s="54">
        <v>0</v>
      </c>
      <c r="G23" s="623">
        <v>0</v>
      </c>
      <c r="H23" s="54">
        <v>0</v>
      </c>
      <c r="I23" s="622">
        <v>0</v>
      </c>
      <c r="J23" s="608"/>
      <c r="K23" s="606">
        <v>0</v>
      </c>
      <c r="L23" s="284">
        <v>0</v>
      </c>
      <c r="M23" s="431">
        <v>0</v>
      </c>
      <c r="N23" s="609">
        <v>0</v>
      </c>
      <c r="O23" s="608"/>
      <c r="P23" s="606">
        <v>0</v>
      </c>
      <c r="Q23" s="609">
        <v>0</v>
      </c>
      <c r="R23" s="431">
        <v>0</v>
      </c>
      <c r="S23" s="284">
        <v>0</v>
      </c>
      <c r="T23" s="613"/>
      <c r="U23" s="606">
        <v>0</v>
      </c>
      <c r="V23" s="609">
        <v>0</v>
      </c>
      <c r="W23" s="431">
        <v>0</v>
      </c>
      <c r="X23" s="284">
        <v>0</v>
      </c>
      <c r="Y23" s="4"/>
    </row>
    <row r="24" spans="2:25" ht="12.75" customHeight="1" x14ac:dyDescent="0.25">
      <c r="B24" s="272">
        <v>16</v>
      </c>
      <c r="C24" s="273" t="str">
        <f>'Program Descriptions'!C20</f>
        <v>New Construction (NCP)</v>
      </c>
      <c r="D24" s="273" t="str">
        <f>IF(C24="Empty","",'Program Descriptions'!E20)</f>
        <v>Res/C&amp;I</v>
      </c>
      <c r="E24" s="273"/>
      <c r="F24" s="54">
        <v>0</v>
      </c>
      <c r="G24" s="123">
        <v>0</v>
      </c>
      <c r="H24" s="54">
        <v>310240</v>
      </c>
      <c r="I24" s="123">
        <v>303533</v>
      </c>
      <c r="J24" s="608"/>
      <c r="K24" s="607">
        <v>0</v>
      </c>
      <c r="L24" s="114">
        <v>0</v>
      </c>
      <c r="M24" s="431">
        <v>674219</v>
      </c>
      <c r="N24" s="609">
        <v>410315</v>
      </c>
      <c r="O24" s="9"/>
      <c r="P24" s="126">
        <v>0</v>
      </c>
      <c r="Q24" s="114">
        <v>0</v>
      </c>
      <c r="R24" s="431">
        <v>140</v>
      </c>
      <c r="S24" s="284">
        <v>65.959999999999994</v>
      </c>
      <c r="U24" s="126">
        <v>0</v>
      </c>
      <c r="V24" s="114">
        <v>0</v>
      </c>
      <c r="W24" s="431">
        <v>148</v>
      </c>
      <c r="X24" s="284">
        <v>52</v>
      </c>
      <c r="Y24" s="4"/>
    </row>
    <row r="25" spans="2:25" ht="12.75" customHeight="1" x14ac:dyDescent="0.25">
      <c r="B25" s="272">
        <v>17</v>
      </c>
      <c r="C25" s="273" t="str">
        <f>'Program Descriptions'!C21</f>
        <v>Strat Energy Mgmt (SEMP)</v>
      </c>
      <c r="D25" s="273" t="str">
        <f>IF(C25="Empty","",'Program Descriptions'!E21)</f>
        <v>Res/Small Business</v>
      </c>
      <c r="E25" s="605"/>
      <c r="F25" s="54">
        <v>0</v>
      </c>
      <c r="G25" s="123">
        <v>0</v>
      </c>
      <c r="H25" s="54">
        <v>491812</v>
      </c>
      <c r="I25" s="123">
        <v>510180</v>
      </c>
      <c r="J25" s="9"/>
      <c r="K25" s="126">
        <v>0</v>
      </c>
      <c r="L25" s="114">
        <v>0</v>
      </c>
      <c r="M25" s="431">
        <v>4385936</v>
      </c>
      <c r="N25" s="609">
        <v>8555881</v>
      </c>
      <c r="O25" s="9"/>
      <c r="P25" s="126">
        <v>0</v>
      </c>
      <c r="Q25" s="114">
        <v>0</v>
      </c>
      <c r="R25" s="431">
        <v>478</v>
      </c>
      <c r="S25" s="284">
        <v>1283.5</v>
      </c>
      <c r="U25" s="126">
        <v>0</v>
      </c>
      <c r="V25" s="114">
        <v>0</v>
      </c>
      <c r="W25" s="431">
        <v>36</v>
      </c>
      <c r="X25" s="284">
        <v>9</v>
      </c>
      <c r="Y25" s="4"/>
    </row>
    <row r="26" spans="2:25" ht="12.75" customHeight="1" x14ac:dyDescent="0.25">
      <c r="B26" s="272">
        <v>18</v>
      </c>
      <c r="C26" s="273" t="str">
        <f>'Program Descriptions'!C22</f>
        <v>Bring Y/Otstat (BYOT)</v>
      </c>
      <c r="D26" s="273" t="str">
        <f>IF(C26="Empty","",'Program Descriptions'!E22)</f>
        <v>Res/Small Business</v>
      </c>
      <c r="E26" s="605"/>
      <c r="F26" s="54">
        <v>0</v>
      </c>
      <c r="G26" s="123">
        <v>0</v>
      </c>
      <c r="H26" s="54">
        <v>413577</v>
      </c>
      <c r="I26" s="123">
        <v>180135</v>
      </c>
      <c r="J26" s="9"/>
      <c r="K26" s="126">
        <v>0</v>
      </c>
      <c r="L26" s="114">
        <v>0</v>
      </c>
      <c r="M26" s="431">
        <v>55984</v>
      </c>
      <c r="N26" s="609">
        <v>0</v>
      </c>
      <c r="O26" s="9"/>
      <c r="P26" s="126">
        <v>0</v>
      </c>
      <c r="Q26" s="114">
        <v>0</v>
      </c>
      <c r="R26" s="431">
        <v>2165</v>
      </c>
      <c r="S26" s="284">
        <v>2412.4699999999998</v>
      </c>
      <c r="U26" s="126">
        <v>0</v>
      </c>
      <c r="V26" s="114">
        <v>0</v>
      </c>
      <c r="W26" s="431">
        <v>1310</v>
      </c>
      <c r="X26" s="284">
        <v>1217</v>
      </c>
      <c r="Y26" s="4"/>
    </row>
    <row r="27" spans="2:25" ht="12.75" customHeight="1" x14ac:dyDescent="0.25">
      <c r="B27" s="272">
        <v>19</v>
      </c>
      <c r="C27" s="273" t="str">
        <f>'Program Descriptions'!C23</f>
        <v>Empty</v>
      </c>
      <c r="D27" s="273" t="str">
        <f>IF(C27="Empty","",'Program Descriptions'!E23)</f>
        <v/>
      </c>
      <c r="E27" s="273"/>
      <c r="F27" s="54"/>
      <c r="G27" s="123"/>
      <c r="H27" s="54"/>
      <c r="I27" s="123"/>
      <c r="J27" s="9"/>
      <c r="K27" s="126"/>
      <c r="L27" s="114"/>
      <c r="M27" s="126"/>
      <c r="N27" s="114"/>
      <c r="O27" s="9"/>
      <c r="P27" s="126"/>
      <c r="Q27" s="114"/>
      <c r="R27" s="126"/>
      <c r="S27" s="114"/>
      <c r="U27" s="126"/>
      <c r="V27" s="114"/>
      <c r="W27" s="126"/>
      <c r="X27" s="114"/>
      <c r="Y27" s="4"/>
    </row>
    <row r="28" spans="2:25" ht="12.75" customHeight="1" thickBot="1" x14ac:dyDescent="0.3">
      <c r="B28" s="272">
        <v>20</v>
      </c>
      <c r="C28" s="273" t="str">
        <f>'Program Descriptions'!C24</f>
        <v>Empty</v>
      </c>
      <c r="D28" s="273" t="str">
        <f>IF(C28="Empty","",'Program Descriptions'!E24)</f>
        <v/>
      </c>
      <c r="E28" s="273"/>
      <c r="F28" s="106"/>
      <c r="G28" s="298"/>
      <c r="H28" s="106"/>
      <c r="I28" s="298"/>
      <c r="J28" s="9"/>
      <c r="K28" s="127"/>
      <c r="L28" s="116"/>
      <c r="M28" s="127"/>
      <c r="N28" s="116"/>
      <c r="O28" s="9"/>
      <c r="P28" s="127"/>
      <c r="Q28" s="116"/>
      <c r="R28" s="127"/>
      <c r="S28" s="116"/>
      <c r="U28" s="127"/>
      <c r="V28" s="116"/>
      <c r="W28" s="127"/>
      <c r="X28" s="116"/>
      <c r="Y28" s="4"/>
    </row>
    <row r="29" spans="2:25" ht="12.75" customHeight="1" thickBot="1" x14ac:dyDescent="0.3">
      <c r="B29" s="8"/>
      <c r="C29" s="273" t="s">
        <v>547</v>
      </c>
      <c r="D29" s="273"/>
      <c r="E29" s="273"/>
      <c r="F29" s="107">
        <v>130000</v>
      </c>
      <c r="G29" s="299">
        <v>112582</v>
      </c>
      <c r="H29" s="107">
        <v>117000</v>
      </c>
      <c r="I29" s="299">
        <v>97007</v>
      </c>
      <c r="J29" s="9"/>
      <c r="K29" s="9"/>
      <c r="L29" s="9"/>
      <c r="M29" s="9"/>
      <c r="N29" s="9"/>
      <c r="O29" s="9"/>
      <c r="P29" s="9"/>
      <c r="Q29" s="9"/>
      <c r="R29" s="9"/>
      <c r="S29" s="9"/>
      <c r="Y29" s="4"/>
    </row>
    <row r="30" spans="2:25" ht="12.75" customHeight="1" x14ac:dyDescent="0.2">
      <c r="B30" s="8"/>
      <c r="Y30" s="4"/>
    </row>
    <row r="31" spans="2:25" ht="12.75" customHeight="1" x14ac:dyDescent="0.25">
      <c r="B31" s="8"/>
      <c r="C31" s="285"/>
      <c r="D31" s="285" t="s">
        <v>548</v>
      </c>
      <c r="E31" s="285"/>
      <c r="F31" s="11">
        <f>SUM(F9:F29)</f>
        <v>11604876</v>
      </c>
      <c r="G31" s="11">
        <f>SUM(G9:G29)</f>
        <v>10214111</v>
      </c>
      <c r="H31" s="11">
        <f>SUM(H9:H29)</f>
        <v>13903310</v>
      </c>
      <c r="I31" s="11">
        <f>SUM(I9:I29)</f>
        <v>12175436</v>
      </c>
      <c r="K31" s="132">
        <f>SUM(K9:K28)</f>
        <v>34505559</v>
      </c>
      <c r="L31" s="132">
        <f t="shared" ref="L31:X31" si="0">SUM(L9:L28)</f>
        <v>33396748</v>
      </c>
      <c r="M31" s="132">
        <f t="shared" si="0"/>
        <v>37654279</v>
      </c>
      <c r="N31" s="132">
        <f t="shared" si="0"/>
        <v>41068553</v>
      </c>
      <c r="P31" s="132">
        <f t="shared" si="0"/>
        <v>16155</v>
      </c>
      <c r="Q31" s="132">
        <f t="shared" si="0"/>
        <v>15134</v>
      </c>
      <c r="R31" s="132">
        <f t="shared" si="0"/>
        <v>21955</v>
      </c>
      <c r="S31" s="132">
        <f t="shared" si="0"/>
        <v>17323.39</v>
      </c>
      <c r="U31" s="132">
        <f t="shared" si="0"/>
        <v>152186</v>
      </c>
      <c r="V31" s="132">
        <f t="shared" si="0"/>
        <v>257297</v>
      </c>
      <c r="W31" s="132">
        <f t="shared" si="0"/>
        <v>26721</v>
      </c>
      <c r="X31" s="132">
        <f t="shared" si="0"/>
        <v>110380</v>
      </c>
      <c r="Y31" s="4"/>
    </row>
    <row r="32" spans="2:25" ht="12.75" customHeight="1" x14ac:dyDescent="0.2">
      <c r="B32" s="8"/>
      <c r="C32"/>
      <c r="D32"/>
      <c r="E32"/>
      <c r="Y32" s="4"/>
    </row>
    <row r="33" spans="2:25" ht="12.75" customHeight="1" x14ac:dyDescent="0.25">
      <c r="B33" s="8"/>
      <c r="C33" s="294" t="s">
        <v>549</v>
      </c>
      <c r="D33" s="285"/>
      <c r="E33" s="285"/>
      <c r="F33" s="132"/>
      <c r="G33" s="132"/>
      <c r="H33" s="132"/>
      <c r="I33" s="132"/>
      <c r="Y33" s="4"/>
    </row>
    <row r="34" spans="2:25" ht="51.75" customHeight="1" x14ac:dyDescent="0.2">
      <c r="B34" s="8"/>
      <c r="C34" s="742"/>
      <c r="D34" s="743"/>
      <c r="E34" s="743"/>
      <c r="F34" s="743"/>
      <c r="G34" s="743"/>
      <c r="H34" s="743"/>
      <c r="I34" s="743"/>
      <c r="J34" s="743"/>
      <c r="K34" s="743"/>
      <c r="L34" s="743"/>
      <c r="M34" s="743"/>
      <c r="N34" s="744"/>
      <c r="Y34" s="4"/>
    </row>
    <row r="35" spans="2:25" ht="12.75" customHeight="1" x14ac:dyDescent="0.25">
      <c r="B35" s="8"/>
      <c r="C35" s="285"/>
      <c r="D35" s="285"/>
      <c r="E35" s="285"/>
      <c r="F35" s="132"/>
      <c r="G35" s="132"/>
      <c r="H35" s="132"/>
      <c r="I35" s="132"/>
      <c r="Y35" s="4"/>
    </row>
    <row r="36" spans="2:25" ht="12.75" customHeight="1" x14ac:dyDescent="0.25">
      <c r="B36" s="8"/>
      <c r="C36" s="295"/>
      <c r="D36" s="295"/>
      <c r="E36" s="295"/>
      <c r="F36" s="296"/>
      <c r="G36" s="296"/>
      <c r="H36" s="296"/>
      <c r="I36" s="296"/>
      <c r="J36" s="297"/>
      <c r="K36" s="297"/>
      <c r="L36" s="297"/>
      <c r="M36" s="297"/>
      <c r="N36" s="297"/>
      <c r="O36" s="297"/>
      <c r="P36" s="297"/>
      <c r="Q36" s="297"/>
      <c r="R36" s="297"/>
      <c r="S36" s="297"/>
      <c r="T36" s="297"/>
      <c r="U36" s="297"/>
      <c r="V36" s="297"/>
      <c r="W36" s="297"/>
      <c r="X36" s="297"/>
      <c r="Y36" s="4"/>
    </row>
    <row r="37" spans="2:25" ht="19.5" customHeight="1" thickBot="1" x14ac:dyDescent="0.35">
      <c r="B37" s="3"/>
      <c r="C37" s="741" t="s">
        <v>519</v>
      </c>
      <c r="D37" s="741"/>
      <c r="E37" s="641"/>
      <c r="F37" s="740" t="str">
        <f>F6</f>
        <v>Annual Budget &amp; Actual Cost</v>
      </c>
      <c r="G37" s="740"/>
      <c r="H37" s="740"/>
      <c r="I37" s="740"/>
      <c r="K37" s="740" t="str">
        <f>K6</f>
        <v>Annual Net Energy Savings (kWh)</v>
      </c>
      <c r="L37" s="740"/>
      <c r="M37" s="740"/>
      <c r="N37" s="740"/>
      <c r="P37" s="740" t="str">
        <f>P6</f>
        <v>Annual Net Demand Savings (kW)</v>
      </c>
      <c r="Q37" s="740"/>
      <c r="R37" s="740"/>
      <c r="S37" s="740"/>
      <c r="U37" s="740" t="str">
        <f>U6</f>
        <v>Number of Participants</v>
      </c>
      <c r="V37" s="740"/>
      <c r="W37" s="740"/>
      <c r="X37" s="740"/>
      <c r="Y37" s="4"/>
    </row>
    <row r="38" spans="2:25" ht="12.75" customHeight="1" x14ac:dyDescent="0.3">
      <c r="B38" s="3"/>
      <c r="E38" s="641"/>
      <c r="F38" s="737">
        <f>F7</f>
        <v>2023</v>
      </c>
      <c r="G38" s="738"/>
      <c r="H38" s="737">
        <f>H7</f>
        <v>2024</v>
      </c>
      <c r="I38" s="738"/>
      <c r="K38" s="737">
        <f>K7</f>
        <v>2023</v>
      </c>
      <c r="L38" s="738"/>
      <c r="M38" s="737">
        <f>M7</f>
        <v>2024</v>
      </c>
      <c r="N38" s="738"/>
      <c r="P38" s="737">
        <f>P7</f>
        <v>2023</v>
      </c>
      <c r="Q38" s="738"/>
      <c r="R38" s="737">
        <f>R7</f>
        <v>2024</v>
      </c>
      <c r="S38" s="738"/>
      <c r="U38" s="737">
        <f>U7</f>
        <v>2023</v>
      </c>
      <c r="V38" s="738"/>
      <c r="W38" s="737">
        <f>W7</f>
        <v>2024</v>
      </c>
      <c r="X38" s="738"/>
      <c r="Y38" s="4"/>
    </row>
    <row r="39" spans="2:25" ht="12.75" customHeight="1" thickBot="1" x14ac:dyDescent="0.35">
      <c r="B39" s="8"/>
      <c r="C39" s="9" t="s">
        <v>93</v>
      </c>
      <c r="D39" s="9" t="s">
        <v>94</v>
      </c>
      <c r="E39" s="641"/>
      <c r="F39" s="128" t="str">
        <f>F8</f>
        <v>Budget</v>
      </c>
      <c r="G39" s="129" t="str">
        <f>G8</f>
        <v>Actual</v>
      </c>
      <c r="H39" s="128" t="str">
        <f>H8</f>
        <v>Budget</v>
      </c>
      <c r="I39" s="129" t="str">
        <f>I8</f>
        <v>Actual</v>
      </c>
      <c r="J39" s="9"/>
      <c r="K39" s="128" t="str">
        <f>K8</f>
        <v>Plan</v>
      </c>
      <c r="L39" s="129" t="str">
        <f>L8</f>
        <v>Evaluated</v>
      </c>
      <c r="M39" s="128" t="str">
        <f>M8</f>
        <v>Plan</v>
      </c>
      <c r="N39" s="129" t="str">
        <f>N8</f>
        <v>Evaluated</v>
      </c>
      <c r="O39" s="9"/>
      <c r="P39" s="128" t="str">
        <f>P8</f>
        <v>Plan</v>
      </c>
      <c r="Q39" s="129" t="str">
        <f>Q8</f>
        <v>Evaluated</v>
      </c>
      <c r="R39" s="128" t="str">
        <f>R8</f>
        <v>Plan</v>
      </c>
      <c r="S39" s="129" t="str">
        <f>S8</f>
        <v>Evaluated</v>
      </c>
      <c r="U39" s="128" t="str">
        <f>U8</f>
        <v>Plan</v>
      </c>
      <c r="V39" s="129" t="str">
        <f>V8</f>
        <v>Evaluated</v>
      </c>
      <c r="W39" s="128" t="str">
        <f>W8</f>
        <v>Plan</v>
      </c>
      <c r="X39" s="129" t="str">
        <f>X8</f>
        <v>Evaluated</v>
      </c>
      <c r="Y39" s="4"/>
    </row>
    <row r="40" spans="2:25" ht="13.5" customHeight="1" x14ac:dyDescent="0.3">
      <c r="B40" s="272">
        <v>1</v>
      </c>
      <c r="C40" s="177" t="s">
        <v>114</v>
      </c>
      <c r="D40" s="177" t="s">
        <v>115</v>
      </c>
      <c r="E40" s="641"/>
      <c r="F40" s="54">
        <v>39324</v>
      </c>
      <c r="G40" s="428">
        <v>0</v>
      </c>
      <c r="H40" s="54">
        <v>0</v>
      </c>
      <c r="I40" s="428">
        <v>-6422</v>
      </c>
      <c r="J40" s="9"/>
      <c r="K40" s="618">
        <v>0</v>
      </c>
      <c r="L40" s="619">
        <v>0</v>
      </c>
      <c r="M40" s="618">
        <v>0</v>
      </c>
      <c r="N40" s="615">
        <v>0</v>
      </c>
      <c r="O40" s="9"/>
      <c r="P40" s="618">
        <v>0</v>
      </c>
      <c r="Q40" s="619">
        <v>0</v>
      </c>
      <c r="R40" s="618">
        <v>0</v>
      </c>
      <c r="S40" s="615">
        <v>0</v>
      </c>
      <c r="U40" s="618">
        <v>0</v>
      </c>
      <c r="V40" s="619" t="s">
        <v>546</v>
      </c>
      <c r="W40" s="618">
        <v>0</v>
      </c>
      <c r="X40" s="615">
        <v>0</v>
      </c>
      <c r="Y40" s="4"/>
    </row>
    <row r="41" spans="2:25" ht="16.5" customHeight="1" x14ac:dyDescent="0.3">
      <c r="B41" s="272">
        <v>2</v>
      </c>
      <c r="C41" s="177" t="s">
        <v>118</v>
      </c>
      <c r="D41" s="177" t="s">
        <v>108</v>
      </c>
      <c r="E41" s="641"/>
      <c r="F41" s="54">
        <v>4930</v>
      </c>
      <c r="G41" s="428">
        <v>0</v>
      </c>
      <c r="H41" s="54">
        <v>0</v>
      </c>
      <c r="I41" s="428">
        <v>0</v>
      </c>
      <c r="J41" s="9"/>
      <c r="K41" s="429">
        <v>0</v>
      </c>
      <c r="L41" s="619">
        <v>0</v>
      </c>
      <c r="M41" s="429">
        <v>0</v>
      </c>
      <c r="N41" s="616">
        <v>0</v>
      </c>
      <c r="O41" s="9"/>
      <c r="P41" s="429">
        <v>0</v>
      </c>
      <c r="Q41" s="619">
        <v>0</v>
      </c>
      <c r="R41" s="429">
        <v>0</v>
      </c>
      <c r="S41" s="616">
        <v>0</v>
      </c>
      <c r="U41" s="429">
        <v>0</v>
      </c>
      <c r="V41" s="619">
        <v>1662</v>
      </c>
      <c r="W41" s="429">
        <v>0</v>
      </c>
      <c r="X41" s="616">
        <v>0</v>
      </c>
      <c r="Y41" s="4"/>
    </row>
    <row r="42" spans="2:25" ht="12.75" customHeight="1" x14ac:dyDescent="0.3">
      <c r="B42" s="272">
        <v>3</v>
      </c>
      <c r="C42" s="177" t="s">
        <v>121</v>
      </c>
      <c r="D42" s="177" t="s">
        <v>122</v>
      </c>
      <c r="E42" s="641"/>
      <c r="F42" s="54">
        <v>17070</v>
      </c>
      <c r="G42" s="123">
        <v>9987</v>
      </c>
      <c r="H42" s="54">
        <v>0</v>
      </c>
      <c r="I42" s="123">
        <v>0</v>
      </c>
      <c r="J42" s="9"/>
      <c r="K42" s="126">
        <v>0</v>
      </c>
      <c r="L42" s="114">
        <v>0</v>
      </c>
      <c r="M42" s="126">
        <v>0</v>
      </c>
      <c r="N42" s="617">
        <v>0</v>
      </c>
      <c r="O42" s="9"/>
      <c r="P42" s="126">
        <v>0</v>
      </c>
      <c r="Q42" s="114">
        <v>0</v>
      </c>
      <c r="R42" s="126">
        <v>0</v>
      </c>
      <c r="S42" s="114">
        <v>0</v>
      </c>
      <c r="U42" s="126">
        <v>0</v>
      </c>
      <c r="V42" s="617" t="s">
        <v>546</v>
      </c>
      <c r="W42" s="126">
        <v>0</v>
      </c>
      <c r="X42" s="617">
        <v>0</v>
      </c>
      <c r="Y42" s="4"/>
    </row>
    <row r="43" spans="2:25" ht="12.75" customHeight="1" x14ac:dyDescent="0.3">
      <c r="B43" s="272">
        <v>4</v>
      </c>
      <c r="C43" s="177" t="s">
        <v>124</v>
      </c>
      <c r="D43" s="177" t="s">
        <v>98</v>
      </c>
      <c r="E43" s="641"/>
      <c r="F43" s="54">
        <v>0</v>
      </c>
      <c r="G43" s="123">
        <v>0</v>
      </c>
      <c r="H43" s="54">
        <v>0</v>
      </c>
      <c r="I43" s="123">
        <v>0</v>
      </c>
      <c r="J43" s="9"/>
      <c r="K43" s="126">
        <v>0</v>
      </c>
      <c r="L43" s="114">
        <v>0</v>
      </c>
      <c r="M43" s="126">
        <v>0</v>
      </c>
      <c r="N43" s="114">
        <v>0</v>
      </c>
      <c r="O43" s="9"/>
      <c r="P43" s="126">
        <v>0</v>
      </c>
      <c r="Q43" s="114">
        <v>0</v>
      </c>
      <c r="R43" s="126">
        <v>0</v>
      </c>
      <c r="S43" s="114">
        <v>0</v>
      </c>
      <c r="U43" s="126">
        <v>0</v>
      </c>
      <c r="V43" s="114">
        <v>0</v>
      </c>
      <c r="W43" s="126">
        <v>0</v>
      </c>
      <c r="X43" s="114">
        <v>0</v>
      </c>
      <c r="Y43" s="4"/>
    </row>
    <row r="44" spans="2:25" ht="12.75" customHeight="1" x14ac:dyDescent="0.3">
      <c r="B44" s="272">
        <v>5</v>
      </c>
      <c r="C44" s="177" t="s">
        <v>125</v>
      </c>
      <c r="D44" s="177" t="s">
        <v>108</v>
      </c>
      <c r="E44" s="641"/>
      <c r="F44" s="54">
        <v>0</v>
      </c>
      <c r="G44" s="123">
        <v>0</v>
      </c>
      <c r="H44" s="54">
        <v>0</v>
      </c>
      <c r="I44" s="123">
        <v>0</v>
      </c>
      <c r="J44" s="9"/>
      <c r="K44" s="126">
        <v>0</v>
      </c>
      <c r="L44" s="114">
        <v>0</v>
      </c>
      <c r="M44" s="126">
        <v>0</v>
      </c>
      <c r="N44" s="114">
        <v>0</v>
      </c>
      <c r="O44" s="9"/>
      <c r="P44" s="126">
        <v>0</v>
      </c>
      <c r="Q44" s="114">
        <v>0</v>
      </c>
      <c r="R44" s="126">
        <v>0</v>
      </c>
      <c r="S44" s="114">
        <v>0</v>
      </c>
      <c r="U44" s="126">
        <v>0</v>
      </c>
      <c r="V44" s="114">
        <v>0</v>
      </c>
      <c r="W44" s="126">
        <v>0</v>
      </c>
      <c r="X44" s="114">
        <v>0</v>
      </c>
      <c r="Y44" s="4"/>
    </row>
    <row r="45" spans="2:25" ht="12.75" customHeight="1" x14ac:dyDescent="0.3">
      <c r="B45" s="272">
        <v>6</v>
      </c>
      <c r="C45" s="177" t="s">
        <v>127</v>
      </c>
      <c r="D45" s="177" t="s">
        <v>108</v>
      </c>
      <c r="E45" s="641"/>
      <c r="F45" s="54">
        <v>0</v>
      </c>
      <c r="G45" s="123">
        <v>0</v>
      </c>
      <c r="H45" s="54">
        <v>0</v>
      </c>
      <c r="I45" s="123">
        <v>0</v>
      </c>
      <c r="J45" s="9"/>
      <c r="K45" s="126">
        <v>0</v>
      </c>
      <c r="L45" s="114">
        <v>0</v>
      </c>
      <c r="M45" s="126">
        <v>0</v>
      </c>
      <c r="N45" s="114">
        <v>0</v>
      </c>
      <c r="O45" s="9"/>
      <c r="P45" s="126">
        <v>0</v>
      </c>
      <c r="Q45" s="114">
        <v>0</v>
      </c>
      <c r="R45" s="126">
        <v>0</v>
      </c>
      <c r="S45" s="114">
        <v>0</v>
      </c>
      <c r="U45" s="126">
        <v>0</v>
      </c>
      <c r="V45" s="114">
        <v>0</v>
      </c>
      <c r="W45" s="126">
        <v>0</v>
      </c>
      <c r="X45" s="114">
        <v>0</v>
      </c>
      <c r="Y45" s="4"/>
    </row>
    <row r="46" spans="2:25" ht="12.75" customHeight="1" x14ac:dyDescent="0.3">
      <c r="B46" s="272">
        <v>7</v>
      </c>
      <c r="C46" s="177" t="s">
        <v>128</v>
      </c>
      <c r="D46" s="177" t="s">
        <v>108</v>
      </c>
      <c r="E46" s="641"/>
      <c r="F46" s="54">
        <v>0</v>
      </c>
      <c r="G46" s="123">
        <v>0</v>
      </c>
      <c r="H46" s="54">
        <v>0</v>
      </c>
      <c r="I46" s="123">
        <v>0</v>
      </c>
      <c r="J46" s="9"/>
      <c r="K46" s="126">
        <v>0</v>
      </c>
      <c r="L46" s="114">
        <v>0</v>
      </c>
      <c r="M46" s="126">
        <v>0</v>
      </c>
      <c r="N46" s="114">
        <v>0</v>
      </c>
      <c r="O46" s="9"/>
      <c r="P46" s="126">
        <v>0</v>
      </c>
      <c r="Q46" s="114">
        <v>0</v>
      </c>
      <c r="R46" s="126">
        <v>0</v>
      </c>
      <c r="S46" s="114">
        <v>0</v>
      </c>
      <c r="U46" s="126">
        <v>0</v>
      </c>
      <c r="V46" s="114">
        <v>0</v>
      </c>
      <c r="W46" s="126">
        <v>0</v>
      </c>
      <c r="X46" s="114">
        <v>0</v>
      </c>
      <c r="Y46" s="4"/>
    </row>
    <row r="47" spans="2:25" ht="12.75" customHeight="1" x14ac:dyDescent="0.3">
      <c r="B47" s="272">
        <v>8</v>
      </c>
      <c r="C47" s="177" t="s">
        <v>129</v>
      </c>
      <c r="D47" s="177" t="s">
        <v>108</v>
      </c>
      <c r="E47" s="641"/>
      <c r="F47" s="54">
        <v>0</v>
      </c>
      <c r="G47" s="123">
        <v>0</v>
      </c>
      <c r="H47" s="54">
        <v>0</v>
      </c>
      <c r="I47" s="123">
        <v>0</v>
      </c>
      <c r="J47" s="9"/>
      <c r="K47" s="126">
        <v>0</v>
      </c>
      <c r="L47" s="114">
        <v>0</v>
      </c>
      <c r="M47" s="126">
        <v>0</v>
      </c>
      <c r="N47" s="114">
        <v>0</v>
      </c>
      <c r="O47" s="9"/>
      <c r="P47" s="126">
        <v>0</v>
      </c>
      <c r="Q47" s="114">
        <v>0</v>
      </c>
      <c r="R47" s="126">
        <v>0</v>
      </c>
      <c r="S47" s="114">
        <v>0</v>
      </c>
      <c r="U47" s="126">
        <v>0</v>
      </c>
      <c r="V47" s="114">
        <v>0</v>
      </c>
      <c r="W47" s="126">
        <v>0</v>
      </c>
      <c r="X47" s="114">
        <v>0</v>
      </c>
      <c r="Y47" s="4"/>
    </row>
    <row r="48" spans="2:25" ht="12.75" customHeight="1" x14ac:dyDescent="0.3">
      <c r="B48" s="272">
        <v>9</v>
      </c>
      <c r="C48" s="177"/>
      <c r="D48" s="177"/>
      <c r="E48" s="641"/>
      <c r="F48" s="54"/>
      <c r="G48" s="123"/>
      <c r="H48" s="54"/>
      <c r="I48" s="123"/>
      <c r="J48" s="9"/>
      <c r="K48" s="126"/>
      <c r="L48" s="114"/>
      <c r="M48" s="126"/>
      <c r="N48" s="114"/>
      <c r="O48" s="9"/>
      <c r="P48" s="126"/>
      <c r="Q48" s="114"/>
      <c r="R48" s="126"/>
      <c r="S48" s="114"/>
      <c r="U48" s="126"/>
      <c r="V48" s="114"/>
      <c r="W48" s="126"/>
      <c r="X48" s="114"/>
      <c r="Y48" s="4"/>
    </row>
    <row r="49" spans="2:25" ht="12.75" customHeight="1" thickBot="1" x14ac:dyDescent="0.35">
      <c r="B49" s="272">
        <v>10</v>
      </c>
      <c r="C49" s="177"/>
      <c r="D49" s="177"/>
      <c r="E49" s="641"/>
      <c r="F49" s="55"/>
      <c r="G49" s="614"/>
      <c r="H49" s="55"/>
      <c r="I49" s="614"/>
      <c r="J49" s="9"/>
      <c r="K49" s="127"/>
      <c r="L49" s="116"/>
      <c r="M49" s="127"/>
      <c r="N49" s="116"/>
      <c r="O49" s="9"/>
      <c r="P49" s="620"/>
      <c r="Q49" s="621"/>
      <c r="R49" s="620"/>
      <c r="S49" s="621"/>
      <c r="U49" s="127"/>
      <c r="V49" s="116"/>
      <c r="W49" s="127"/>
      <c r="X49" s="116"/>
      <c r="Y49" s="4"/>
    </row>
    <row r="50" spans="2:25" ht="12.75" customHeight="1" x14ac:dyDescent="0.25">
      <c r="B50" s="8"/>
      <c r="C50" s="285"/>
      <c r="D50" s="285"/>
      <c r="E50" s="285"/>
      <c r="F50" s="132"/>
      <c r="G50" s="132"/>
      <c r="H50" s="132"/>
      <c r="I50" s="132"/>
      <c r="Y50" s="4"/>
    </row>
    <row r="51" spans="2:25" ht="12.75" customHeight="1" x14ac:dyDescent="0.25">
      <c r="B51" s="8"/>
      <c r="C51" s="285"/>
      <c r="D51" s="285" t="s">
        <v>550</v>
      </c>
      <c r="E51" s="285"/>
      <c r="F51" s="11">
        <f>SUM(F40:F49)</f>
        <v>61324</v>
      </c>
      <c r="G51" s="11">
        <f>SUM(G40:G49)</f>
        <v>9987</v>
      </c>
      <c r="H51" s="11">
        <f>SUM(H40:H49)</f>
        <v>0</v>
      </c>
      <c r="I51" s="11">
        <f>SUM(I40:I49)</f>
        <v>-6422</v>
      </c>
      <c r="K51" s="132">
        <f>SUM(K40:K49)</f>
        <v>0</v>
      </c>
      <c r="L51" s="132">
        <f>SUM(L40:L49)</f>
        <v>0</v>
      </c>
      <c r="M51" s="132">
        <f>SUM(M40:M49)</f>
        <v>0</v>
      </c>
      <c r="N51" s="132">
        <f>SUM(N40:N49)</f>
        <v>0</v>
      </c>
      <c r="P51" s="132">
        <f>SUM(P40:P49)</f>
        <v>0</v>
      </c>
      <c r="Q51" s="132">
        <f>SUM(Q40:Q49)</f>
        <v>0</v>
      </c>
      <c r="R51" s="132">
        <f>SUM(R40:R49)</f>
        <v>0</v>
      </c>
      <c r="S51" s="132">
        <f>SUM(S40:S49)</f>
        <v>0</v>
      </c>
      <c r="U51" s="132">
        <f>SUM(U40:U49)</f>
        <v>0</v>
      </c>
      <c r="V51" s="132">
        <f>SUM(V40:V49)</f>
        <v>1662</v>
      </c>
      <c r="W51" s="132">
        <f>SUM(W40:W49)</f>
        <v>0</v>
      </c>
      <c r="X51" s="132">
        <f>SUM(X40:X49)</f>
        <v>0</v>
      </c>
      <c r="Y51" s="4"/>
    </row>
    <row r="52" spans="2:25" ht="12.75" customHeight="1" x14ac:dyDescent="0.25">
      <c r="B52" s="8"/>
      <c r="C52" s="285"/>
      <c r="D52" s="285"/>
      <c r="E52" s="285"/>
      <c r="F52" s="132"/>
      <c r="G52" s="132"/>
      <c r="H52" s="132"/>
      <c r="I52" s="132"/>
      <c r="Y52" s="4"/>
    </row>
    <row r="53" spans="2:25" ht="12.75" customHeight="1" x14ac:dyDescent="0.25">
      <c r="B53" s="8"/>
      <c r="C53" s="285"/>
      <c r="D53" s="285"/>
      <c r="E53" s="285"/>
      <c r="F53" s="132"/>
      <c r="G53" s="132"/>
      <c r="H53" s="132"/>
      <c r="I53" s="132"/>
      <c r="Y53" s="4"/>
    </row>
    <row r="54" spans="2:25" ht="12.75" customHeight="1" x14ac:dyDescent="0.25">
      <c r="B54" s="8"/>
      <c r="C54" s="290"/>
      <c r="D54" s="290" t="s">
        <v>551</v>
      </c>
      <c r="E54" s="290"/>
      <c r="F54" s="291">
        <f>F31+F51</f>
        <v>11666200</v>
      </c>
      <c r="G54" s="291">
        <f>G31+G51</f>
        <v>10224098</v>
      </c>
      <c r="H54" s="291">
        <f>H31+H51</f>
        <v>13903310</v>
      </c>
      <c r="I54" s="291">
        <f>I31+I51</f>
        <v>12169014</v>
      </c>
      <c r="J54" s="292"/>
      <c r="K54" s="293">
        <f>K31+K51</f>
        <v>34505559</v>
      </c>
      <c r="L54" s="293">
        <f>L31+L51</f>
        <v>33396748</v>
      </c>
      <c r="M54" s="293">
        <f>M31+M51</f>
        <v>37654279</v>
      </c>
      <c r="N54" s="293">
        <f>N31+N51</f>
        <v>41068553</v>
      </c>
      <c r="O54" s="292"/>
      <c r="P54" s="293">
        <f>P31+P51</f>
        <v>16155</v>
      </c>
      <c r="Q54" s="293">
        <f>Q31+Q51</f>
        <v>15134</v>
      </c>
      <c r="R54" s="293">
        <f>R31+R51</f>
        <v>21955</v>
      </c>
      <c r="S54" s="293">
        <f>S31+S51</f>
        <v>17323.39</v>
      </c>
      <c r="T54" s="292"/>
      <c r="U54" s="293">
        <f>U31+U51</f>
        <v>152186</v>
      </c>
      <c r="V54" s="293">
        <f>V31+V51</f>
        <v>258959</v>
      </c>
      <c r="W54" s="293">
        <f>W31+W51</f>
        <v>26721</v>
      </c>
      <c r="X54" s="293">
        <f>X31+X51</f>
        <v>110380</v>
      </c>
      <c r="Y54" s="4"/>
    </row>
    <row r="55" spans="2:25" ht="12.75" customHeight="1" x14ac:dyDescent="0.25">
      <c r="B55" s="8"/>
      <c r="C55" s="285"/>
      <c r="D55" s="285"/>
      <c r="E55" s="285"/>
      <c r="F55" s="132">
        <f>'Prior Year Portfolio'!G11-F54</f>
        <v>1000</v>
      </c>
      <c r="G55" s="132">
        <f>'Prior Year Portfolio'!H11-G54</f>
        <v>-3001</v>
      </c>
      <c r="H55" s="132">
        <f>'Prior Year Portfolio'!G10-H54</f>
        <v>0</v>
      </c>
      <c r="I55" s="132">
        <f>'Prior Year Portfolio'!H10-I54</f>
        <v>6422</v>
      </c>
      <c r="K55" s="308">
        <f>('Prior Year Portfolio'!I11*1000)-K54</f>
        <v>441</v>
      </c>
      <c r="L55" s="308">
        <f>('Prior Year Portfolio'!J11*1000)-L54</f>
        <v>5270000</v>
      </c>
      <c r="M55" s="308">
        <f>('Prior Year Portfolio'!I10*1000)-M54</f>
        <v>-279</v>
      </c>
      <c r="N55" s="308">
        <f>('Prior Year Portfolio'!J10*1000)-N54</f>
        <v>447</v>
      </c>
      <c r="Y55" s="4"/>
    </row>
    <row r="56" spans="2:25" ht="12.75" customHeight="1" x14ac:dyDescent="0.2">
      <c r="B56" s="5"/>
      <c r="C56" s="6"/>
      <c r="D56" s="6"/>
      <c r="E56" s="6"/>
      <c r="F56" s="6"/>
      <c r="G56" s="6"/>
      <c r="H56" s="6"/>
      <c r="I56" s="6"/>
      <c r="J56" s="6"/>
      <c r="K56" s="6"/>
      <c r="L56" s="6"/>
      <c r="M56" s="6"/>
      <c r="N56" s="6"/>
      <c r="O56" s="6"/>
      <c r="P56" s="6"/>
      <c r="Q56" s="6"/>
      <c r="R56" s="6"/>
      <c r="S56" s="6"/>
      <c r="T56" s="6"/>
      <c r="U56" s="6"/>
      <c r="V56" s="6"/>
      <c r="W56" s="6"/>
      <c r="X56" s="6"/>
      <c r="Y56" s="7"/>
    </row>
  </sheetData>
  <mergeCells count="28">
    <mergeCell ref="U37:X37"/>
    <mergeCell ref="U38:V38"/>
    <mergeCell ref="W38:X38"/>
    <mergeCell ref="P38:Q38"/>
    <mergeCell ref="C34:N34"/>
    <mergeCell ref="C37:D37"/>
    <mergeCell ref="F37:I37"/>
    <mergeCell ref="K37:N37"/>
    <mergeCell ref="P37:S37"/>
    <mergeCell ref="R38:S38"/>
    <mergeCell ref="F38:G38"/>
    <mergeCell ref="H38:I38"/>
    <mergeCell ref="K38:L38"/>
    <mergeCell ref="M38:N38"/>
    <mergeCell ref="B2:Y2"/>
    <mergeCell ref="F7:G7"/>
    <mergeCell ref="H7:I7"/>
    <mergeCell ref="K7:L7"/>
    <mergeCell ref="M7:N7"/>
    <mergeCell ref="P7:Q7"/>
    <mergeCell ref="R7:S7"/>
    <mergeCell ref="F6:I6"/>
    <mergeCell ref="K6:N6"/>
    <mergeCell ref="P6:S6"/>
    <mergeCell ref="C6:D6"/>
    <mergeCell ref="U6:X6"/>
    <mergeCell ref="U7:V7"/>
    <mergeCell ref="W7:X7"/>
  </mergeCells>
  <conditionalFormatting sqref="F9:I28">
    <cfRule type="expression" dxfId="17" priority="51">
      <formula>$B9&gt;Programs</formula>
    </cfRule>
  </conditionalFormatting>
  <conditionalFormatting sqref="F40:I41">
    <cfRule type="expression" dxfId="16" priority="47">
      <formula>$B40&gt;Programs</formula>
    </cfRule>
  </conditionalFormatting>
  <conditionalFormatting sqref="K9:N28">
    <cfRule type="expression" dxfId="15" priority="4">
      <formula>$B9&gt;Programs</formula>
    </cfRule>
  </conditionalFormatting>
  <conditionalFormatting sqref="K40:N41">
    <cfRule type="expression" dxfId="14" priority="46">
      <formula>$B40&gt;Programs</formula>
    </cfRule>
  </conditionalFormatting>
  <conditionalFormatting sqref="N9:N26">
    <cfRule type="expression" dxfId="13" priority="5">
      <formula>Demand_1=NG_Demand</formula>
    </cfRule>
  </conditionalFormatting>
  <conditionalFormatting sqref="P9:Q18 P24:Q26 P27:S28 P42:S49">
    <cfRule type="expression" dxfId="12" priority="52">
      <formula>Demand_1=NG_Demand</formula>
    </cfRule>
  </conditionalFormatting>
  <conditionalFormatting sqref="P9:S28">
    <cfRule type="expression" dxfId="11" priority="2">
      <formula>$B9&gt;Programs</formula>
    </cfRule>
  </conditionalFormatting>
  <conditionalFormatting sqref="P40:S41">
    <cfRule type="expression" dxfId="10" priority="12">
      <formula>$B40&gt;Programs</formula>
    </cfRule>
  </conditionalFormatting>
  <conditionalFormatting sqref="R9:S26">
    <cfRule type="expression" dxfId="9" priority="3">
      <formula>Demand_1=NG_Demand</formula>
    </cfRule>
  </conditionalFormatting>
  <conditionalFormatting sqref="U9:U14">
    <cfRule type="expression" dxfId="8" priority="28">
      <formula>Demand_1=NG_Demand</formula>
    </cfRule>
  </conditionalFormatting>
  <conditionalFormatting sqref="U9:X28">
    <cfRule type="expression" dxfId="7" priority="1">
      <formula>$B9&gt;Programs</formula>
    </cfRule>
  </conditionalFormatting>
  <conditionalFormatting sqref="U40:X41">
    <cfRule type="expression" dxfId="6" priority="11">
      <formula>$B40&gt;Programs</formula>
    </cfRule>
  </conditionalFormatting>
  <dataValidations count="1">
    <dataValidation type="list" allowBlank="1" showInputMessage="1" showErrorMessage="1" sqref="D40:D49" xr:uid="{00000000-0002-0000-1700-000000000000}">
      <formula1>Sector_Type</formula1>
    </dataValidation>
  </dataValidations>
  <pageMargins left="0.25" right="0.25" top="0.5" bottom="0.5" header="0.3" footer="0.3"/>
  <pageSetup scale="54"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B1:N15"/>
  <sheetViews>
    <sheetView showGridLines="0" zoomScaleNormal="100" workbookViewId="0">
      <selection activeCell="M25" sqref="M25"/>
    </sheetView>
  </sheetViews>
  <sheetFormatPr defaultColWidth="9.140625" defaultRowHeight="12.75" x14ac:dyDescent="0.2"/>
  <cols>
    <col min="1" max="1" width="1" style="2" customWidth="1"/>
    <col min="2" max="2" width="1.5703125" style="2" customWidth="1"/>
    <col min="3" max="3" width="14.42578125" style="2" bestFit="1" customWidth="1"/>
    <col min="4" max="4" width="16.5703125" style="2" customWidth="1"/>
    <col min="5" max="5" width="17.85546875" style="2" customWidth="1"/>
    <col min="6" max="6" width="1.85546875" style="2" customWidth="1"/>
    <col min="7" max="7" width="14.85546875" style="2" customWidth="1"/>
    <col min="8" max="8" width="14" style="2" customWidth="1"/>
    <col min="9" max="9" width="15" style="2" customWidth="1"/>
    <col min="10" max="10" width="12.140625" style="2" customWidth="1"/>
    <col min="11" max="11" width="6.42578125" style="2" customWidth="1"/>
    <col min="12" max="12" width="1" style="2" customWidth="1"/>
    <col min="13" max="13" width="9.140625" style="2"/>
    <col min="14" max="14" width="0" style="2" hidden="1" customWidth="1"/>
    <col min="15" max="16384" width="9.140625" style="2"/>
  </cols>
  <sheetData>
    <row r="1" spans="2:14" ht="5.0999999999999996" customHeight="1" thickBot="1" x14ac:dyDescent="0.25"/>
    <row r="2" spans="2:14" ht="38.25" customHeight="1" x14ac:dyDescent="0.2">
      <c r="B2" s="728" t="s">
        <v>552</v>
      </c>
      <c r="C2" s="728"/>
      <c r="D2" s="728"/>
      <c r="E2" s="728"/>
      <c r="F2" s="728"/>
      <c r="G2" s="728"/>
      <c r="H2" s="728"/>
      <c r="I2" s="728"/>
      <c r="J2" s="728"/>
      <c r="K2" s="728"/>
    </row>
    <row r="3" spans="2:14" x14ac:dyDescent="0.2">
      <c r="B3" s="511"/>
      <c r="C3" s="347"/>
      <c r="D3" s="347"/>
      <c r="E3" s="347"/>
      <c r="F3" s="347"/>
      <c r="G3" s="347"/>
      <c r="H3" s="347"/>
      <c r="I3" s="347"/>
      <c r="J3" s="347"/>
      <c r="K3" s="512"/>
    </row>
    <row r="4" spans="2:14" x14ac:dyDescent="0.2">
      <c r="B4" s="3"/>
      <c r="K4" s="4"/>
    </row>
    <row r="5" spans="2:14" x14ac:dyDescent="0.2">
      <c r="B5" s="3"/>
      <c r="K5" s="4"/>
    </row>
    <row r="6" spans="2:14" ht="15" customHeight="1" x14ac:dyDescent="0.2">
      <c r="B6" s="3"/>
      <c r="C6" s="350" t="str">
        <f>IF(N14&gt;0,"Incomplete - All 'yellow' shaded cells must be completed.","")</f>
        <v/>
      </c>
      <c r="K6" s="4"/>
    </row>
    <row r="7" spans="2:14" x14ac:dyDescent="0.2">
      <c r="B7" s="3"/>
      <c r="D7" s="745" t="s">
        <v>69</v>
      </c>
      <c r="E7" s="745"/>
      <c r="G7" s="746" t="s">
        <v>553</v>
      </c>
      <c r="H7" s="746"/>
      <c r="I7" s="746"/>
      <c r="J7" s="746"/>
      <c r="K7" s="4"/>
    </row>
    <row r="8" spans="2:14" x14ac:dyDescent="0.2">
      <c r="B8" s="3"/>
      <c r="D8" s="745" t="s">
        <v>554</v>
      </c>
      <c r="E8" s="745"/>
      <c r="G8" s="745" t="s">
        <v>555</v>
      </c>
      <c r="H8" s="745"/>
      <c r="I8" s="745" t="s">
        <v>556</v>
      </c>
      <c r="J8" s="745"/>
      <c r="K8" s="4"/>
    </row>
    <row r="9" spans="2:14" ht="12.75" customHeight="1" x14ac:dyDescent="0.25">
      <c r="B9" s="8"/>
      <c r="C9" s="289" t="s">
        <v>82</v>
      </c>
      <c r="D9" s="642" t="s">
        <v>557</v>
      </c>
      <c r="E9" s="642" t="str">
        <f>"Sales ("&amp;Energy_2&amp;")"</f>
        <v>Sales (MWh)</v>
      </c>
      <c r="G9" s="642" t="s">
        <v>542</v>
      </c>
      <c r="H9" s="642" t="s">
        <v>543</v>
      </c>
      <c r="I9" s="642" t="s">
        <v>544</v>
      </c>
      <c r="J9" s="642" t="s">
        <v>543</v>
      </c>
      <c r="K9" s="4"/>
    </row>
    <row r="10" spans="2:14" ht="12.75" customHeight="1" x14ac:dyDescent="0.2">
      <c r="B10" s="8"/>
      <c r="C10" s="273">
        <f>Prg_Year-1</f>
        <v>2024</v>
      </c>
      <c r="D10" s="430">
        <v>368846477</v>
      </c>
      <c r="E10" s="431">
        <v>3521026</v>
      </c>
      <c r="G10" s="430">
        <v>13903310</v>
      </c>
      <c r="H10" s="430">
        <v>12175436</v>
      </c>
      <c r="I10" s="431">
        <v>37654</v>
      </c>
      <c r="J10" s="431">
        <v>41069</v>
      </c>
      <c r="K10" s="4"/>
      <c r="N10" s="333">
        <f>IF(OR(ISBLANK(D10),ISBLANK(E10),ISBLANK(G10),ISBLANK(H10),ISBLANK(I10),ISBLANK(J10)),1,0)</f>
        <v>0</v>
      </c>
    </row>
    <row r="11" spans="2:14" ht="12.75" customHeight="1" x14ac:dyDescent="0.2">
      <c r="B11" s="8"/>
      <c r="C11" s="273">
        <f>C10-1</f>
        <v>2023</v>
      </c>
      <c r="D11" s="430">
        <v>323835316</v>
      </c>
      <c r="E11" s="431">
        <v>3548497</v>
      </c>
      <c r="G11" s="430">
        <v>11667200</v>
      </c>
      <c r="H11" s="430">
        <v>10221097</v>
      </c>
      <c r="I11" s="431">
        <v>34506</v>
      </c>
      <c r="J11" s="431">
        <v>38666.748</v>
      </c>
      <c r="K11" s="4"/>
      <c r="N11" s="333">
        <f t="shared" ref="N11:N13" si="0">IF(OR(ISBLANK(D11),ISBLANK(E11),ISBLANK(G11),ISBLANK(H11),ISBLANK(I11),ISBLANK(J11)),1,0)</f>
        <v>0</v>
      </c>
    </row>
    <row r="12" spans="2:14" ht="12.75" customHeight="1" x14ac:dyDescent="0.2">
      <c r="B12" s="8"/>
      <c r="C12" s="273">
        <f t="shared" ref="C12:C13" si="1">C11-1</f>
        <v>2022</v>
      </c>
      <c r="D12" s="430">
        <v>396826431</v>
      </c>
      <c r="E12" s="431">
        <v>3680403.3879999998</v>
      </c>
      <c r="G12" s="430">
        <v>11667200</v>
      </c>
      <c r="H12" s="430">
        <v>10157434.340000002</v>
      </c>
      <c r="I12" s="431">
        <v>34505.559000000001</v>
      </c>
      <c r="J12" s="431">
        <v>38163.632644999998</v>
      </c>
      <c r="K12" s="4"/>
      <c r="N12" s="333">
        <f t="shared" si="0"/>
        <v>0</v>
      </c>
    </row>
    <row r="13" spans="2:14" ht="12.75" customHeight="1" x14ac:dyDescent="0.2">
      <c r="B13" s="8"/>
      <c r="C13" s="273">
        <f t="shared" si="1"/>
        <v>2021</v>
      </c>
      <c r="D13" s="430">
        <v>468113289</v>
      </c>
      <c r="E13" s="431">
        <v>3522775.1430000002</v>
      </c>
      <c r="G13" s="430">
        <v>11526136.380000001</v>
      </c>
      <c r="H13" s="430">
        <v>9930288.5100000016</v>
      </c>
      <c r="I13" s="431">
        <v>34505.559000000001</v>
      </c>
      <c r="J13" s="431">
        <v>37339.31</v>
      </c>
      <c r="K13" s="4"/>
      <c r="N13" s="333">
        <f t="shared" si="0"/>
        <v>0</v>
      </c>
    </row>
    <row r="14" spans="2:14" ht="12.75" customHeight="1" x14ac:dyDescent="0.2">
      <c r="B14" s="8"/>
      <c r="C14"/>
      <c r="K14" s="4"/>
      <c r="N14" s="2">
        <f>SUM(N10:N13)</f>
        <v>0</v>
      </c>
    </row>
    <row r="15" spans="2:14" ht="12.75" customHeight="1" x14ac:dyDescent="0.2">
      <c r="B15" s="5"/>
      <c r="C15" s="6"/>
      <c r="D15" s="6"/>
      <c r="E15" s="6"/>
      <c r="F15" s="6"/>
      <c r="G15" s="6"/>
      <c r="H15" s="6"/>
      <c r="I15" s="6"/>
      <c r="J15" s="6"/>
      <c r="K15" s="7"/>
    </row>
  </sheetData>
  <mergeCells count="6">
    <mergeCell ref="D7:E7"/>
    <mergeCell ref="G8:H8"/>
    <mergeCell ref="I8:J8"/>
    <mergeCell ref="G7:J7"/>
    <mergeCell ref="B2:K2"/>
    <mergeCell ref="D8:E8"/>
  </mergeCells>
  <dataValidations count="1">
    <dataValidation allowBlank="1" showInputMessage="1" showErrorMessage="1" prompt="These values can be copied from the previous years workbook." sqref="D10:D13" xr:uid="{00000000-0002-0000-1800-000000000000}"/>
  </dataValidations>
  <pageMargins left="0.25" right="0.25" top="0.5" bottom="0.5" header="0.3" footer="0.3"/>
  <pageSetup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B1:C39"/>
  <sheetViews>
    <sheetView showGridLines="0" showRowColHeaders="0" zoomScaleNormal="100" workbookViewId="0">
      <pane ySplit="3" topLeftCell="A19" activePane="bottomLeft" state="frozen"/>
      <selection pane="bottomLeft" activeCell="A4" sqref="A4"/>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71" t="s">
        <v>558</v>
      </c>
      <c r="C2" s="671"/>
    </row>
    <row r="3" spans="2:3" s="1" customFormat="1" ht="15.75" x14ac:dyDescent="0.25">
      <c r="B3" s="532" t="s">
        <v>559</v>
      </c>
      <c r="C3" s="532" t="s">
        <v>560</v>
      </c>
    </row>
    <row r="4" spans="2:3" s="1" customFormat="1" x14ac:dyDescent="0.2">
      <c r="B4" s="533" t="s">
        <v>31</v>
      </c>
      <c r="C4" s="283" t="s">
        <v>561</v>
      </c>
    </row>
    <row r="5" spans="2:3" s="1" customFormat="1" x14ac:dyDescent="0.2">
      <c r="B5" s="533" t="s">
        <v>562</v>
      </c>
      <c r="C5" s="283" t="s">
        <v>563</v>
      </c>
    </row>
    <row r="6" spans="2:3" s="1" customFormat="1" x14ac:dyDescent="0.2">
      <c r="B6" s="533" t="s">
        <v>564</v>
      </c>
      <c r="C6" s="283" t="s">
        <v>565</v>
      </c>
    </row>
    <row r="7" spans="2:3" s="1" customFormat="1" x14ac:dyDescent="0.2">
      <c r="B7" s="533" t="s">
        <v>566</v>
      </c>
      <c r="C7" s="283" t="s">
        <v>567</v>
      </c>
    </row>
    <row r="8" spans="2:3" s="1" customFormat="1" ht="79.5" customHeight="1" x14ac:dyDescent="0.2">
      <c r="B8" s="533" t="s">
        <v>427</v>
      </c>
      <c r="C8" s="283" t="s">
        <v>568</v>
      </c>
    </row>
    <row r="9" spans="2:3" s="1" customFormat="1" ht="38.25" x14ac:dyDescent="0.2">
      <c r="B9" s="533" t="s">
        <v>569</v>
      </c>
      <c r="C9" s="283" t="s">
        <v>570</v>
      </c>
    </row>
    <row r="10" spans="2:3" s="1" customFormat="1" x14ac:dyDescent="0.2">
      <c r="B10" s="533" t="s">
        <v>571</v>
      </c>
      <c r="C10" s="283" t="s">
        <v>572</v>
      </c>
    </row>
    <row r="11" spans="2:3" s="1" customFormat="1" x14ac:dyDescent="0.2">
      <c r="B11" s="533" t="s">
        <v>573</v>
      </c>
      <c r="C11" s="283" t="s">
        <v>574</v>
      </c>
    </row>
    <row r="12" spans="2:3" s="1" customFormat="1" x14ac:dyDescent="0.2">
      <c r="B12" s="533" t="s">
        <v>575</v>
      </c>
      <c r="C12" s="283" t="s">
        <v>576</v>
      </c>
    </row>
    <row r="13" spans="2:3" s="1" customFormat="1" ht="25.5" x14ac:dyDescent="0.2">
      <c r="B13" s="533" t="s">
        <v>577</v>
      </c>
      <c r="C13" s="283" t="s">
        <v>578</v>
      </c>
    </row>
    <row r="14" spans="2:3" s="1" customFormat="1" ht="25.5" x14ac:dyDescent="0.2">
      <c r="B14" s="533" t="s">
        <v>526</v>
      </c>
      <c r="C14" s="283" t="s">
        <v>579</v>
      </c>
    </row>
    <row r="15" spans="2:3" s="1" customFormat="1" x14ac:dyDescent="0.2">
      <c r="B15" s="533" t="s">
        <v>580</v>
      </c>
      <c r="C15" s="283" t="s">
        <v>581</v>
      </c>
    </row>
    <row r="16" spans="2:3" s="1" customFormat="1" ht="25.5" x14ac:dyDescent="0.2">
      <c r="B16" s="533" t="s">
        <v>582</v>
      </c>
      <c r="C16" s="283" t="s">
        <v>583</v>
      </c>
    </row>
    <row r="17" spans="2:3" s="1" customFormat="1" ht="51" x14ac:dyDescent="0.2">
      <c r="B17" s="533" t="s">
        <v>584</v>
      </c>
      <c r="C17" s="283" t="s">
        <v>585</v>
      </c>
    </row>
    <row r="18" spans="2:3" s="1" customFormat="1" x14ac:dyDescent="0.2">
      <c r="B18" s="533" t="s">
        <v>586</v>
      </c>
      <c r="C18" s="283" t="s">
        <v>587</v>
      </c>
    </row>
    <row r="19" spans="2:3" s="1" customFormat="1" x14ac:dyDescent="0.2">
      <c r="B19" s="533" t="s">
        <v>435</v>
      </c>
      <c r="C19" s="283" t="s">
        <v>588</v>
      </c>
    </row>
    <row r="20" spans="2:3" s="1" customFormat="1" ht="25.5" x14ac:dyDescent="0.2">
      <c r="B20" s="533" t="s">
        <v>589</v>
      </c>
      <c r="C20" s="283" t="s">
        <v>590</v>
      </c>
    </row>
    <row r="21" spans="2:3" s="1" customFormat="1" x14ac:dyDescent="0.2">
      <c r="B21" s="533" t="s">
        <v>591</v>
      </c>
      <c r="C21" s="283" t="s">
        <v>592</v>
      </c>
    </row>
    <row r="22" spans="2:3" s="1" customFormat="1" ht="38.25" x14ac:dyDescent="0.2">
      <c r="B22" s="533" t="s">
        <v>593</v>
      </c>
      <c r="C22" s="283" t="s">
        <v>594</v>
      </c>
    </row>
    <row r="23" spans="2:3" s="1" customFormat="1" ht="25.5" x14ac:dyDescent="0.2">
      <c r="B23" s="533" t="s">
        <v>595</v>
      </c>
      <c r="C23" s="283" t="s">
        <v>596</v>
      </c>
    </row>
    <row r="24" spans="2:3" s="1" customFormat="1" x14ac:dyDescent="0.2">
      <c r="B24" s="533" t="s">
        <v>429</v>
      </c>
      <c r="C24" s="283" t="s">
        <v>597</v>
      </c>
    </row>
    <row r="25" spans="2:3" s="1" customFormat="1" x14ac:dyDescent="0.2">
      <c r="B25" s="533" t="s">
        <v>598</v>
      </c>
      <c r="C25" s="283" t="s">
        <v>599</v>
      </c>
    </row>
    <row r="26" spans="2:3" s="1" customFormat="1" ht="63.75" x14ac:dyDescent="0.2">
      <c r="B26" s="533" t="s">
        <v>600</v>
      </c>
      <c r="C26" s="283" t="s">
        <v>601</v>
      </c>
    </row>
    <row r="27" spans="2:3" s="1" customFormat="1" x14ac:dyDescent="0.2">
      <c r="B27" s="533" t="s">
        <v>602</v>
      </c>
      <c r="C27" s="283" t="s">
        <v>603</v>
      </c>
    </row>
    <row r="28" spans="2:3" s="1" customFormat="1" ht="38.25" x14ac:dyDescent="0.2">
      <c r="B28" s="533" t="s">
        <v>604</v>
      </c>
      <c r="C28" s="283" t="s">
        <v>605</v>
      </c>
    </row>
    <row r="29" spans="2:3" s="1" customFormat="1" ht="38.25" x14ac:dyDescent="0.2">
      <c r="B29" s="533" t="s">
        <v>606</v>
      </c>
      <c r="C29" s="283" t="s">
        <v>607</v>
      </c>
    </row>
    <row r="30" spans="2:3" s="1" customFormat="1" ht="25.5" x14ac:dyDescent="0.2">
      <c r="B30" s="533" t="s">
        <v>82</v>
      </c>
      <c r="C30" s="283" t="s">
        <v>608</v>
      </c>
    </row>
    <row r="31" spans="2:3" s="1" customFormat="1" ht="38.25" x14ac:dyDescent="0.2">
      <c r="B31" s="533" t="s">
        <v>609</v>
      </c>
      <c r="C31" s="283" t="s">
        <v>610</v>
      </c>
    </row>
    <row r="32" spans="2:3" s="1" customFormat="1" ht="25.5" x14ac:dyDescent="0.2">
      <c r="B32" s="533" t="s">
        <v>611</v>
      </c>
      <c r="C32" s="283" t="s">
        <v>612</v>
      </c>
    </row>
    <row r="33" spans="2:3" s="1" customFormat="1" ht="25.5" x14ac:dyDescent="0.2">
      <c r="B33" s="533" t="s">
        <v>187</v>
      </c>
      <c r="C33" s="283" t="s">
        <v>613</v>
      </c>
    </row>
    <row r="34" spans="2:3" s="1" customFormat="1" ht="25.5" x14ac:dyDescent="0.2">
      <c r="B34" s="533" t="s">
        <v>614</v>
      </c>
      <c r="C34" s="283" t="s">
        <v>615</v>
      </c>
    </row>
    <row r="35" spans="2:3" s="1" customFormat="1" ht="25.5" x14ac:dyDescent="0.2">
      <c r="B35" s="533" t="s">
        <v>616</v>
      </c>
      <c r="C35" s="283" t="s">
        <v>617</v>
      </c>
    </row>
    <row r="36" spans="2:3" s="1" customFormat="1" ht="25.5" x14ac:dyDescent="0.2">
      <c r="B36" s="533" t="s">
        <v>441</v>
      </c>
      <c r="C36" s="283" t="s">
        <v>618</v>
      </c>
    </row>
    <row r="37" spans="2:3" s="1" customFormat="1" x14ac:dyDescent="0.2">
      <c r="B37"/>
      <c r="C37"/>
    </row>
    <row r="38" spans="2:3" s="1" customFormat="1" x14ac:dyDescent="0.2">
      <c r="B38"/>
      <c r="C38"/>
    </row>
    <row r="39" spans="2:3" s="1" customFormat="1" x14ac:dyDescent="0.2">
      <c r="B39"/>
      <c r="C39"/>
    </row>
  </sheetData>
  <sheetProtection password="C925" sheet="1" objects="1" scenarios="1"/>
  <mergeCells count="1">
    <mergeCell ref="B2:C2"/>
  </mergeCells>
  <pageMargins left="0.25" right="0.25" top="0.5" bottom="0.5" header="0.3" footer="0.3"/>
  <pageSetup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B1:C18"/>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71" t="s">
        <v>619</v>
      </c>
      <c r="C2" s="671"/>
    </row>
    <row r="3" spans="2:3" s="1" customFormat="1" ht="15.75" x14ac:dyDescent="0.25">
      <c r="B3" s="532" t="s">
        <v>559</v>
      </c>
      <c r="C3" s="532" t="s">
        <v>560</v>
      </c>
    </row>
    <row r="4" spans="2:3" s="1" customFormat="1" ht="28.5" customHeight="1" x14ac:dyDescent="0.2">
      <c r="B4" s="533" t="s">
        <v>620</v>
      </c>
      <c r="C4" s="283" t="s">
        <v>621</v>
      </c>
    </row>
    <row r="5" spans="2:3" s="1" customFormat="1" ht="66.75" customHeight="1" x14ac:dyDescent="0.2">
      <c r="B5" s="533" t="s">
        <v>116</v>
      </c>
      <c r="C5" s="283" t="s">
        <v>622</v>
      </c>
    </row>
    <row r="6" spans="2:3" s="1" customFormat="1" ht="72" customHeight="1" x14ac:dyDescent="0.2">
      <c r="B6" s="533" t="s">
        <v>109</v>
      </c>
      <c r="C6" s="283" t="s">
        <v>623</v>
      </c>
    </row>
    <row r="7" spans="2:3" s="1" customFormat="1" ht="40.5" customHeight="1" x14ac:dyDescent="0.2">
      <c r="B7" s="533" t="s">
        <v>158</v>
      </c>
      <c r="C7" s="283" t="s">
        <v>624</v>
      </c>
    </row>
    <row r="8" spans="2:3" s="1" customFormat="1" ht="15.75" customHeight="1" x14ac:dyDescent="0.2">
      <c r="B8" s="533" t="s">
        <v>99</v>
      </c>
      <c r="C8" s="283" t="s">
        <v>625</v>
      </c>
    </row>
    <row r="9" spans="2:3" s="1" customFormat="1" ht="114.75" x14ac:dyDescent="0.2">
      <c r="B9" s="533" t="s">
        <v>626</v>
      </c>
      <c r="C9" s="283" t="s">
        <v>627</v>
      </c>
    </row>
    <row r="10" spans="2:3" s="1" customFormat="1" ht="42" customHeight="1" x14ac:dyDescent="0.2">
      <c r="B10" s="533" t="s">
        <v>628</v>
      </c>
      <c r="C10" s="283" t="s">
        <v>629</v>
      </c>
    </row>
    <row r="11" spans="2:3" s="1" customFormat="1" ht="81" customHeight="1" x14ac:dyDescent="0.2">
      <c r="B11" s="533" t="s">
        <v>630</v>
      </c>
      <c r="C11" s="283" t="s">
        <v>631</v>
      </c>
    </row>
    <row r="12" spans="2:3" s="1" customFormat="1" ht="42" customHeight="1" x14ac:dyDescent="0.2">
      <c r="B12" s="533" t="s">
        <v>102</v>
      </c>
      <c r="C12" s="283" t="s">
        <v>632</v>
      </c>
    </row>
    <row r="13" spans="2:3" s="1" customFormat="1" ht="27.75" customHeight="1" x14ac:dyDescent="0.2">
      <c r="B13" s="533" t="s">
        <v>106</v>
      </c>
      <c r="C13" s="283" t="s">
        <v>633</v>
      </c>
    </row>
    <row r="14" spans="2:3" s="1" customFormat="1" ht="78" customHeight="1" x14ac:dyDescent="0.2">
      <c r="B14" s="533" t="s">
        <v>123</v>
      </c>
      <c r="C14" s="283" t="s">
        <v>634</v>
      </c>
    </row>
    <row r="15" spans="2:3" s="1" customFormat="1" ht="129.75" customHeight="1" x14ac:dyDescent="0.2">
      <c r="B15" s="533" t="s">
        <v>113</v>
      </c>
      <c r="C15" s="283" t="s">
        <v>635</v>
      </c>
    </row>
    <row r="16" spans="2:3" s="1" customFormat="1" x14ac:dyDescent="0.2">
      <c r="B16"/>
      <c r="C16"/>
    </row>
    <row r="17" spans="2:3" s="1" customFormat="1" x14ac:dyDescent="0.2">
      <c r="B17"/>
      <c r="C17"/>
    </row>
    <row r="18" spans="2:3" s="1" customFormat="1" x14ac:dyDescent="0.2">
      <c r="B18"/>
      <c r="C18"/>
    </row>
  </sheetData>
  <sheetProtection password="C925" sheet="1" objects="1" scenarios="1"/>
  <mergeCells count="1">
    <mergeCell ref="B2:C2"/>
  </mergeCell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B1:C12"/>
  <sheetViews>
    <sheetView showGridLines="0" showRowColHeaders="0" workbookViewId="0">
      <pane ySplit="3" topLeftCell="A4" activePane="bottomLeft" state="frozen"/>
      <selection pane="bottomLeft" activeCell="A3" sqref="A3"/>
    </sheetView>
  </sheetViews>
  <sheetFormatPr defaultColWidth="9.140625" defaultRowHeight="12.75" x14ac:dyDescent="0.2"/>
  <cols>
    <col min="1" max="1" width="1" style="2" customWidth="1"/>
    <col min="2" max="2" width="33.140625" style="2" customWidth="1"/>
    <col min="3" max="3" width="100" style="2" customWidth="1"/>
    <col min="4" max="4" width="1" style="2" customWidth="1"/>
    <col min="5" max="16384" width="9.140625" style="2"/>
  </cols>
  <sheetData>
    <row r="1" spans="2:3" ht="5.0999999999999996" customHeight="1" thickBot="1" x14ac:dyDescent="0.25"/>
    <row r="2" spans="2:3" ht="38.25" customHeight="1" thickBot="1" x14ac:dyDescent="0.25">
      <c r="B2" s="671" t="s">
        <v>636</v>
      </c>
      <c r="C2" s="671"/>
    </row>
    <row r="3" spans="2:3" s="1" customFormat="1" ht="15.75" x14ac:dyDescent="0.25">
      <c r="B3" s="532" t="s">
        <v>559</v>
      </c>
      <c r="C3" s="532" t="s">
        <v>560</v>
      </c>
    </row>
    <row r="4" spans="2:3" s="1" customFormat="1" ht="24.95" customHeight="1" x14ac:dyDescent="0.2">
      <c r="B4" s="533" t="s">
        <v>204</v>
      </c>
      <c r="C4" s="283" t="s">
        <v>637</v>
      </c>
    </row>
    <row r="5" spans="2:3" s="1" customFormat="1" ht="24.95" customHeight="1" x14ac:dyDescent="0.2">
      <c r="B5" s="533" t="s">
        <v>208</v>
      </c>
      <c r="C5" s="283" t="s">
        <v>638</v>
      </c>
    </row>
    <row r="6" spans="2:3" s="1" customFormat="1" ht="24.95" customHeight="1" x14ac:dyDescent="0.2">
      <c r="B6" s="533" t="s">
        <v>639</v>
      </c>
      <c r="C6" s="283" t="s">
        <v>640</v>
      </c>
    </row>
    <row r="7" spans="2:3" s="1" customFormat="1" ht="24.95" customHeight="1" x14ac:dyDescent="0.2">
      <c r="B7" s="533" t="s">
        <v>207</v>
      </c>
      <c r="C7" s="283" t="s">
        <v>641</v>
      </c>
    </row>
    <row r="8" spans="2:3" s="1" customFormat="1" ht="24.95" customHeight="1" x14ac:dyDescent="0.2">
      <c r="B8" s="533" t="s">
        <v>206</v>
      </c>
      <c r="C8" s="283" t="s">
        <v>642</v>
      </c>
    </row>
    <row r="9" spans="2:3" s="1" customFormat="1" ht="24.95" customHeight="1" x14ac:dyDescent="0.2">
      <c r="B9" s="533" t="s">
        <v>643</v>
      </c>
      <c r="C9" s="283" t="s">
        <v>644</v>
      </c>
    </row>
    <row r="10" spans="2:3" s="1" customFormat="1" ht="24.75" customHeight="1" x14ac:dyDescent="0.2">
      <c r="B10" s="533" t="s">
        <v>205</v>
      </c>
      <c r="C10" s="283" t="s">
        <v>645</v>
      </c>
    </row>
    <row r="11" spans="2:3" s="1" customFormat="1" x14ac:dyDescent="0.2">
      <c r="B11"/>
      <c r="C11"/>
    </row>
    <row r="12" spans="2:3" s="1" customFormat="1" x14ac:dyDescent="0.2">
      <c r="B12"/>
      <c r="C12"/>
    </row>
  </sheetData>
  <sheetProtection password="C925" sheet="1" objects="1" scenarios="1"/>
  <mergeCells count="1">
    <mergeCell ref="B2:C2"/>
  </mergeCells>
  <pageMargins left="0.25" right="0.25" top="0.5" bottom="0.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B1:C2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7.140625" style="2" customWidth="1"/>
    <col min="3" max="3" width="97.140625" style="2" customWidth="1"/>
    <col min="4" max="4" width="1" style="2" customWidth="1"/>
    <col min="5" max="16384" width="9.140625" style="2"/>
  </cols>
  <sheetData>
    <row r="1" spans="2:3" ht="5.0999999999999996" customHeight="1" thickBot="1" x14ac:dyDescent="0.25"/>
    <row r="2" spans="2:3" ht="38.25" customHeight="1" thickBot="1" x14ac:dyDescent="0.25">
      <c r="B2" s="671" t="s">
        <v>646</v>
      </c>
      <c r="C2" s="671"/>
    </row>
    <row r="3" spans="2:3" s="1" customFormat="1" ht="15.75" x14ac:dyDescent="0.25">
      <c r="B3" s="532" t="s">
        <v>559</v>
      </c>
      <c r="C3" s="532" t="s">
        <v>560</v>
      </c>
    </row>
    <row r="4" spans="2:3" s="1" customFormat="1" ht="76.5" x14ac:dyDescent="0.2">
      <c r="B4" s="533" t="s">
        <v>116</v>
      </c>
      <c r="C4" s="283" t="s">
        <v>622</v>
      </c>
    </row>
    <row r="5" spans="2:3" s="1" customFormat="1" ht="51" x14ac:dyDescent="0.2">
      <c r="B5" s="533" t="s">
        <v>647</v>
      </c>
      <c r="C5" s="283" t="s">
        <v>648</v>
      </c>
    </row>
    <row r="6" spans="2:3" s="1" customFormat="1" ht="38.25" x14ac:dyDescent="0.2">
      <c r="B6" s="533" t="s">
        <v>649</v>
      </c>
      <c r="C6" s="283" t="s">
        <v>650</v>
      </c>
    </row>
    <row r="7" spans="2:3" s="1" customFormat="1" ht="52.5" customHeight="1" x14ac:dyDescent="0.2">
      <c r="B7" s="533" t="s">
        <v>651</v>
      </c>
      <c r="C7" s="283" t="s">
        <v>652</v>
      </c>
    </row>
    <row r="8" spans="2:3" s="1" customFormat="1" ht="15.75" customHeight="1" x14ac:dyDescent="0.2">
      <c r="B8" s="533" t="s">
        <v>653</v>
      </c>
      <c r="C8" s="283" t="s">
        <v>654</v>
      </c>
    </row>
    <row r="9" spans="2:3" s="1" customFormat="1" ht="38.25" x14ac:dyDescent="0.2">
      <c r="B9" s="533" t="s">
        <v>655</v>
      </c>
      <c r="C9" s="283" t="s">
        <v>656</v>
      </c>
    </row>
    <row r="10" spans="2:3" s="1" customFormat="1" ht="108" customHeight="1" x14ac:dyDescent="0.2">
      <c r="B10" s="533" t="s">
        <v>657</v>
      </c>
      <c r="C10" s="283" t="s">
        <v>658</v>
      </c>
    </row>
    <row r="11" spans="2:3" s="1" customFormat="1" ht="29.25" customHeight="1" x14ac:dyDescent="0.2">
      <c r="B11" s="533" t="s">
        <v>626</v>
      </c>
      <c r="C11" s="283" t="s">
        <v>659</v>
      </c>
    </row>
    <row r="12" spans="2:3" s="1" customFormat="1" ht="18.75" customHeight="1" x14ac:dyDescent="0.2">
      <c r="B12" s="533" t="s">
        <v>147</v>
      </c>
      <c r="C12" s="283" t="s">
        <v>660</v>
      </c>
    </row>
    <row r="13" spans="2:3" s="1" customFormat="1" ht="63.75" x14ac:dyDescent="0.2">
      <c r="B13" s="533" t="s">
        <v>661</v>
      </c>
      <c r="C13" s="283" t="s">
        <v>662</v>
      </c>
    </row>
    <row r="14" spans="2:3" s="1" customFormat="1" ht="38.25" x14ac:dyDescent="0.2">
      <c r="B14" s="533" t="s">
        <v>663</v>
      </c>
      <c r="C14" s="283" t="s">
        <v>664</v>
      </c>
    </row>
    <row r="15" spans="2:3" s="1" customFormat="1" ht="25.5" x14ac:dyDescent="0.2">
      <c r="B15" s="533" t="s">
        <v>665</v>
      </c>
      <c r="C15" s="283" t="s">
        <v>666</v>
      </c>
    </row>
    <row r="16" spans="2:3" s="1" customFormat="1" ht="38.25" x14ac:dyDescent="0.2">
      <c r="B16" s="533" t="s">
        <v>667</v>
      </c>
      <c r="C16" s="283" t="s">
        <v>668</v>
      </c>
    </row>
    <row r="17" spans="2:3" s="1" customFormat="1" x14ac:dyDescent="0.2">
      <c r="B17" s="533" t="s">
        <v>669</v>
      </c>
      <c r="C17" s="283" t="s">
        <v>670</v>
      </c>
    </row>
    <row r="18" spans="2:3" s="1" customFormat="1" ht="38.25" x14ac:dyDescent="0.2">
      <c r="B18" s="533" t="s">
        <v>671</v>
      </c>
      <c r="C18" s="283" t="s">
        <v>672</v>
      </c>
    </row>
    <row r="19" spans="2:3" s="1" customFormat="1" x14ac:dyDescent="0.2">
      <c r="B19" s="533" t="s">
        <v>102</v>
      </c>
      <c r="C19" s="283" t="s">
        <v>673</v>
      </c>
    </row>
    <row r="20" spans="2:3" s="1" customFormat="1" ht="76.5" x14ac:dyDescent="0.2">
      <c r="B20" s="533" t="s">
        <v>674</v>
      </c>
      <c r="C20" s="283" t="s">
        <v>675</v>
      </c>
    </row>
    <row r="21" spans="2:3" s="1" customFormat="1" ht="65.25" customHeight="1" x14ac:dyDescent="0.2">
      <c r="B21" s="533" t="s">
        <v>676</v>
      </c>
      <c r="C21" s="283" t="s">
        <v>677</v>
      </c>
    </row>
    <row r="22" spans="2:3" s="1" customFormat="1" ht="129.75" customHeight="1" x14ac:dyDescent="0.2">
      <c r="B22" s="533" t="s">
        <v>678</v>
      </c>
      <c r="C22" s="283" t="s">
        <v>679</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O102"/>
  <sheetViews>
    <sheetView showGridLines="0" showRowColHeaders="0" zoomScale="90" zoomScaleNormal="90" workbookViewId="0">
      <pane ySplit="2" topLeftCell="A3" activePane="bottomLeft" state="frozen"/>
      <selection pane="bottomLeft" activeCell="D38" sqref="D38"/>
    </sheetView>
  </sheetViews>
  <sheetFormatPr defaultColWidth="9.140625" defaultRowHeight="12.75" x14ac:dyDescent="0.2"/>
  <cols>
    <col min="1" max="1" width="1" style="2" customWidth="1"/>
    <col min="2" max="2" width="3.85546875" style="2" customWidth="1"/>
    <col min="3" max="3" width="26" style="2" bestFit="1" customWidth="1"/>
    <col min="4" max="4" width="30.85546875" style="2" customWidth="1"/>
    <col min="5" max="5" width="9.140625" style="2"/>
    <col min="6" max="6" width="11.42578125" style="2" customWidth="1"/>
    <col min="7" max="10" width="9.140625" style="2"/>
    <col min="11" max="11" width="15.140625" style="2" customWidth="1"/>
    <col min="12" max="12" width="1" style="2" customWidth="1"/>
    <col min="13" max="13" width="16" style="2" customWidth="1"/>
    <col min="14" max="15" width="0" style="2" hidden="1" customWidth="1"/>
    <col min="16" max="16384" width="9.140625" style="2"/>
  </cols>
  <sheetData>
    <row r="1" spans="2:15" ht="28.5" customHeight="1" x14ac:dyDescent="0.2"/>
    <row r="2" spans="2:15" ht="64.5" customHeight="1" x14ac:dyDescent="0.2">
      <c r="B2" s="508"/>
      <c r="C2" s="509"/>
      <c r="D2" s="509"/>
      <c r="E2" s="509"/>
      <c r="F2" s="509"/>
      <c r="G2" s="509"/>
      <c r="H2" s="509"/>
      <c r="I2" s="509"/>
      <c r="J2" s="509"/>
      <c r="K2" s="510"/>
    </row>
    <row r="3" spans="2:15" ht="12.75" customHeight="1" x14ac:dyDescent="0.2">
      <c r="B3" s="511"/>
      <c r="C3" s="350" t="str">
        <f>IF(N14&gt;0,"Incomplete - All 'yellow' shaded cells must be completed.","")</f>
        <v/>
      </c>
      <c r="D3" s="347"/>
      <c r="E3" s="347"/>
      <c r="F3" s="347"/>
      <c r="G3" s="347"/>
      <c r="H3" s="347"/>
      <c r="I3" s="347"/>
      <c r="J3" s="347"/>
      <c r="K3" s="512"/>
    </row>
    <row r="4" spans="2:15" ht="15" customHeight="1" x14ac:dyDescent="0.25">
      <c r="B4" s="3"/>
      <c r="C4" s="9" t="s">
        <v>17</v>
      </c>
      <c r="F4" s="10" t="s">
        <v>76</v>
      </c>
      <c r="K4" s="4"/>
    </row>
    <row r="5" spans="2:15" ht="15" customHeight="1" x14ac:dyDescent="0.2">
      <c r="B5" s="272">
        <v>1</v>
      </c>
      <c r="C5" s="273" t="s">
        <v>77</v>
      </c>
      <c r="D5" s="177" t="s">
        <v>78</v>
      </c>
      <c r="F5" s="286" t="s">
        <v>79</v>
      </c>
      <c r="K5" s="4"/>
      <c r="N5" s="333">
        <f t="shared" ref="N5:N13" si="0">IF(ISBLANK(D5),1,0)</f>
        <v>0</v>
      </c>
    </row>
    <row r="6" spans="2:15" ht="15" customHeight="1" x14ac:dyDescent="0.2">
      <c r="B6" s="272">
        <v>2</v>
      </c>
      <c r="C6" s="273" t="s">
        <v>80</v>
      </c>
      <c r="D6" s="177" t="s">
        <v>81</v>
      </c>
      <c r="K6" s="4"/>
      <c r="N6" s="333">
        <f t="shared" si="0"/>
        <v>0</v>
      </c>
    </row>
    <row r="7" spans="2:15" ht="15" customHeight="1" x14ac:dyDescent="0.2">
      <c r="B7" s="272">
        <v>3</v>
      </c>
      <c r="C7" s="273" t="s">
        <v>82</v>
      </c>
      <c r="D7" s="177">
        <v>2025</v>
      </c>
      <c r="F7" s="10" t="str">
        <f>"Total "&amp;Prg_Year&amp;" Utility Revenue"</f>
        <v>Total 2025 Utility Revenue</v>
      </c>
      <c r="K7" s="4"/>
      <c r="N7" s="333">
        <f t="shared" si="0"/>
        <v>0</v>
      </c>
    </row>
    <row r="8" spans="2:15" ht="15" customHeight="1" x14ac:dyDescent="0.2">
      <c r="B8" s="272">
        <v>4</v>
      </c>
      <c r="C8" s="273" t="s">
        <v>83</v>
      </c>
      <c r="D8" s="177" t="s">
        <v>84</v>
      </c>
      <c r="F8" s="662">
        <v>356715526</v>
      </c>
      <c r="G8" s="663"/>
      <c r="H8" s="664"/>
      <c r="K8" s="4"/>
      <c r="N8" s="333">
        <f t="shared" si="0"/>
        <v>0</v>
      </c>
      <c r="O8" s="333">
        <f>IF(ISBLANK(F8),1,0)</f>
        <v>0</v>
      </c>
    </row>
    <row r="9" spans="2:15" ht="15" customHeight="1" x14ac:dyDescent="0.2">
      <c r="B9" s="272">
        <v>5</v>
      </c>
      <c r="C9" s="273" t="s">
        <v>85</v>
      </c>
      <c r="D9" s="287">
        <v>46143</v>
      </c>
      <c r="K9" s="4"/>
      <c r="N9" s="333">
        <f t="shared" si="0"/>
        <v>0</v>
      </c>
    </row>
    <row r="10" spans="2:15" ht="15" customHeight="1" x14ac:dyDescent="0.2">
      <c r="B10" s="272">
        <v>6</v>
      </c>
      <c r="C10" s="273" t="s">
        <v>86</v>
      </c>
      <c r="D10" s="177" t="s">
        <v>87</v>
      </c>
      <c r="F10" s="10" t="str">
        <f>"Total "&amp;Prg_Year&amp;" Utility Energy Sales ("&amp;Energy_2&amp;")"</f>
        <v>Total 2025 Utility Energy Sales (MWh)</v>
      </c>
      <c r="K10" s="4"/>
      <c r="N10" s="333">
        <f t="shared" si="0"/>
        <v>0</v>
      </c>
    </row>
    <row r="11" spans="2:15" ht="15" customHeight="1" x14ac:dyDescent="0.2">
      <c r="B11" s="272">
        <v>7</v>
      </c>
      <c r="C11" s="273" t="s">
        <v>88</v>
      </c>
      <c r="D11" s="177" t="s">
        <v>89</v>
      </c>
      <c r="F11" s="665">
        <v>3496150</v>
      </c>
      <c r="G11" s="666"/>
      <c r="H11" s="667"/>
      <c r="K11" s="4"/>
      <c r="N11" s="333">
        <f t="shared" si="0"/>
        <v>0</v>
      </c>
      <c r="O11" s="333">
        <f>IF(ISBLANK(F11),1,0)</f>
        <v>0</v>
      </c>
    </row>
    <row r="12" spans="2:15" ht="15" customHeight="1" x14ac:dyDescent="0.2">
      <c r="B12" s="272">
        <v>8</v>
      </c>
      <c r="C12" s="273" t="s">
        <v>90</v>
      </c>
      <c r="D12" s="177" t="s">
        <v>91</v>
      </c>
      <c r="K12" s="4"/>
      <c r="N12" s="333">
        <f t="shared" si="0"/>
        <v>0</v>
      </c>
    </row>
    <row r="13" spans="2:15" ht="15" customHeight="1" x14ac:dyDescent="0.2">
      <c r="B13" s="272">
        <v>9</v>
      </c>
      <c r="C13" s="2" t="s">
        <v>92</v>
      </c>
      <c r="D13" s="177">
        <v>3</v>
      </c>
      <c r="F13" s="10"/>
      <c r="K13" s="4"/>
      <c r="N13" s="333">
        <f t="shared" si="0"/>
        <v>0</v>
      </c>
    </row>
    <row r="14" spans="2:15" ht="15" customHeight="1" x14ac:dyDescent="0.2">
      <c r="B14" s="3"/>
      <c r="F14" s="10"/>
      <c r="K14" s="4"/>
      <c r="N14" s="333">
        <f>SUM(N5:O13)</f>
        <v>0</v>
      </c>
    </row>
    <row r="15" spans="2:15" ht="15" customHeight="1" x14ac:dyDescent="0.2">
      <c r="B15" s="5"/>
      <c r="C15" s="6"/>
      <c r="D15" s="6"/>
      <c r="E15" s="6"/>
      <c r="F15" s="6"/>
      <c r="G15" s="6"/>
      <c r="H15" s="6"/>
      <c r="I15" s="6"/>
      <c r="J15" s="6"/>
      <c r="K15" s="7"/>
    </row>
    <row r="16" spans="2:15" ht="15" customHeight="1" x14ac:dyDescent="0.2">
      <c r="B16" s="347"/>
      <c r="C16" s="347"/>
      <c r="D16" s="347"/>
      <c r="E16" s="347"/>
      <c r="F16" s="347"/>
      <c r="G16" s="347"/>
      <c r="H16" s="347"/>
      <c r="I16" s="347"/>
      <c r="J16" s="347"/>
      <c r="K16" s="347"/>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sheetData>
  <sheetProtection password="C925" sheet="1" objects="1" scenarios="1" formatRows="0"/>
  <mergeCells count="2">
    <mergeCell ref="F8:H8"/>
    <mergeCell ref="F11:H11"/>
  </mergeCells>
  <dataValidations count="4">
    <dataValidation type="list" allowBlank="1" showInputMessage="1" showErrorMessage="1" sqref="F5" xr:uid="{00000000-0002-0000-0200-000000000000}">
      <formula1>Utility_Type</formula1>
    </dataValidation>
    <dataValidation type="textLength" allowBlank="1" showInputMessage="1" showErrorMessage="1" error="Name exceed the allowed number of charactes." prompt="Do not exceed 32 characters." sqref="D6" xr:uid="{00000000-0002-0000-0200-000001000000}">
      <formula1>1</formula1>
      <formula2>32</formula2>
    </dataValidation>
    <dataValidation type="custom" allowBlank="1" showInputMessage="1" showErrorMessage="1" errorTitle="Program Year" error="Please enter year using 4-digits.  (i.e. 2017)_x000a_" prompt="Must be the four digit year." sqref="D7" xr:uid="{00000000-0002-0000-0200-000002000000}">
      <formula1>AND(ISNUMBER(D7),LEN(D7)=4)</formula1>
    </dataValidation>
    <dataValidation allowBlank="1" showInputMessage="1" showErrorMessage="1" prompt="Report Utility Staff Only!" sqref="D13" xr:uid="{00000000-0002-0000-0200-000003000000}"/>
  </dataValidations>
  <pageMargins left="0.25" right="0.25" top="0.25" bottom="0.25" header="0.3" footer="0.3"/>
  <pageSetup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B1:C25"/>
  <sheetViews>
    <sheetView showGridLines="0" showRowColHeaders="0" workbookViewId="0">
      <pane ySplit="3" topLeftCell="A4" activePane="bottomLeft" state="frozen"/>
      <selection pane="bottomLeft" activeCell="A4" sqref="A4"/>
    </sheetView>
  </sheetViews>
  <sheetFormatPr defaultColWidth="9.140625" defaultRowHeight="12.75" x14ac:dyDescent="0.2"/>
  <cols>
    <col min="1" max="1" width="1" style="2" customWidth="1"/>
    <col min="2" max="2" width="36.140625" style="2" customWidth="1"/>
    <col min="3" max="3" width="97.140625" style="2" customWidth="1"/>
    <col min="4" max="4" width="1" style="2" customWidth="1"/>
    <col min="5" max="16384" width="9.140625" style="2"/>
  </cols>
  <sheetData>
    <row r="1" spans="2:3" ht="5.0999999999999996" customHeight="1" thickBot="1" x14ac:dyDescent="0.25"/>
    <row r="2" spans="2:3" ht="38.25" customHeight="1" thickBot="1" x14ac:dyDescent="0.25">
      <c r="B2" s="671" t="s">
        <v>680</v>
      </c>
      <c r="C2" s="671"/>
    </row>
    <row r="3" spans="2:3" s="1" customFormat="1" ht="15.75" x14ac:dyDescent="0.25">
      <c r="B3" s="532" t="s">
        <v>559</v>
      </c>
      <c r="C3" s="532" t="s">
        <v>560</v>
      </c>
    </row>
    <row r="4" spans="2:3" s="1" customFormat="1" ht="25.5" x14ac:dyDescent="0.2">
      <c r="B4" s="533" t="s">
        <v>157</v>
      </c>
      <c r="C4" s="283" t="s">
        <v>621</v>
      </c>
    </row>
    <row r="5" spans="2:3" s="1" customFormat="1" ht="51" x14ac:dyDescent="0.2">
      <c r="B5" s="533" t="s">
        <v>158</v>
      </c>
      <c r="C5" s="283" t="s">
        <v>681</v>
      </c>
    </row>
    <row r="6" spans="2:3" s="1" customFormat="1" ht="25.5" x14ac:dyDescent="0.2">
      <c r="B6" s="533" t="s">
        <v>159</v>
      </c>
      <c r="C6" s="283" t="s">
        <v>682</v>
      </c>
    </row>
    <row r="7" spans="2:3" s="1" customFormat="1" ht="46.5" customHeight="1" x14ac:dyDescent="0.2">
      <c r="B7" s="533" t="s">
        <v>160</v>
      </c>
      <c r="C7" s="283" t="s">
        <v>683</v>
      </c>
    </row>
    <row r="8" spans="2:3" s="1" customFormat="1" ht="76.5" x14ac:dyDescent="0.2">
      <c r="B8" s="533" t="s">
        <v>161</v>
      </c>
      <c r="C8" s="283" t="s">
        <v>684</v>
      </c>
    </row>
    <row r="9" spans="2:3" s="1" customFormat="1" ht="25.5" x14ac:dyDescent="0.2">
      <c r="B9" s="533" t="s">
        <v>162</v>
      </c>
      <c r="C9" s="283" t="s">
        <v>685</v>
      </c>
    </row>
    <row r="10" spans="2:3" s="1" customFormat="1" ht="165.75" x14ac:dyDescent="0.2">
      <c r="B10" s="533" t="s">
        <v>655</v>
      </c>
      <c r="C10" s="283" t="s">
        <v>686</v>
      </c>
    </row>
    <row r="11" spans="2:3" s="1" customFormat="1" ht="238.5" customHeight="1" x14ac:dyDescent="0.2">
      <c r="B11" s="534" t="s">
        <v>687</v>
      </c>
      <c r="C11" s="283" t="s">
        <v>688</v>
      </c>
    </row>
    <row r="12" spans="2:3" s="1" customFormat="1" ht="76.5" x14ac:dyDescent="0.2">
      <c r="B12" s="533" t="s">
        <v>626</v>
      </c>
      <c r="C12" s="283" t="s">
        <v>689</v>
      </c>
    </row>
    <row r="13" spans="2:3" s="1" customFormat="1" ht="52.5" customHeight="1" x14ac:dyDescent="0.2">
      <c r="B13" s="533" t="s">
        <v>163</v>
      </c>
      <c r="C13" s="283" t="s">
        <v>690</v>
      </c>
    </row>
    <row r="14" spans="2:3" s="1" customFormat="1" ht="38.25" x14ac:dyDescent="0.2">
      <c r="B14" s="533" t="s">
        <v>102</v>
      </c>
      <c r="C14" s="283" t="s">
        <v>691</v>
      </c>
    </row>
    <row r="15" spans="2:3" s="1" customFormat="1" ht="25.5" x14ac:dyDescent="0.2">
      <c r="B15" s="533" t="s">
        <v>164</v>
      </c>
      <c r="C15" s="283" t="s">
        <v>692</v>
      </c>
    </row>
    <row r="16" spans="2:3" s="1" customFormat="1" ht="38.25" x14ac:dyDescent="0.2">
      <c r="B16" s="533" t="s">
        <v>165</v>
      </c>
      <c r="C16" s="283" t="s">
        <v>693</v>
      </c>
    </row>
    <row r="17" spans="2:3" s="1" customFormat="1" ht="25.5" x14ac:dyDescent="0.2">
      <c r="B17" s="533" t="s">
        <v>166</v>
      </c>
      <c r="C17" s="283" t="s">
        <v>694</v>
      </c>
    </row>
    <row r="18" spans="2:3" s="1" customFormat="1" ht="25.5" x14ac:dyDescent="0.2">
      <c r="B18" s="533" t="s">
        <v>167</v>
      </c>
      <c r="C18" s="283" t="s">
        <v>695</v>
      </c>
    </row>
    <row r="19" spans="2:3" s="1" customFormat="1" ht="51" x14ac:dyDescent="0.2">
      <c r="B19" s="533" t="s">
        <v>168</v>
      </c>
      <c r="C19" s="283" t="s">
        <v>696</v>
      </c>
    </row>
    <row r="20" spans="2:3" s="1" customFormat="1" ht="25.5" x14ac:dyDescent="0.2">
      <c r="B20" s="533" t="s">
        <v>169</v>
      </c>
      <c r="C20" s="283" t="s">
        <v>697</v>
      </c>
    </row>
    <row r="21" spans="2:3" s="1" customFormat="1" ht="38.25" x14ac:dyDescent="0.2">
      <c r="B21" s="533" t="s">
        <v>170</v>
      </c>
      <c r="C21" s="283" t="s">
        <v>698</v>
      </c>
    </row>
    <row r="22" spans="2:3" s="1" customFormat="1" ht="25.5" x14ac:dyDescent="0.2">
      <c r="B22" s="533" t="s">
        <v>171</v>
      </c>
      <c r="C22" s="283" t="s">
        <v>699</v>
      </c>
    </row>
    <row r="23" spans="2:3" s="1" customFormat="1" x14ac:dyDescent="0.2">
      <c r="B23"/>
      <c r="C23"/>
    </row>
    <row r="24" spans="2:3" s="1" customFormat="1" x14ac:dyDescent="0.2">
      <c r="B24"/>
      <c r="C24"/>
    </row>
    <row r="25" spans="2:3" s="1" customFormat="1" x14ac:dyDescent="0.2">
      <c r="B25"/>
      <c r="C25"/>
    </row>
  </sheetData>
  <sheetProtection password="C925" sheet="1" objects="1" scenarios="1"/>
  <mergeCells count="1">
    <mergeCell ref="B2:C2"/>
  </mergeCells>
  <pageMargins left="0.25" right="0.25" top="0.5" bottom="0.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B1:C15"/>
  <sheetViews>
    <sheetView showGridLines="0" showRowColHeaders="0" workbookViewId="0">
      <pane ySplit="3" topLeftCell="A4" activePane="bottomLeft" state="frozen"/>
      <selection pane="bottomLeft" activeCell="C12" sqref="C12"/>
    </sheetView>
  </sheetViews>
  <sheetFormatPr defaultColWidth="9.140625" defaultRowHeight="12.75" x14ac:dyDescent="0.2"/>
  <cols>
    <col min="1" max="1" width="1" style="2" customWidth="1"/>
    <col min="2" max="2" width="31.85546875" style="2" customWidth="1"/>
    <col min="3" max="3" width="101.140625" style="2" customWidth="1"/>
    <col min="4" max="4" width="1" style="2" customWidth="1"/>
    <col min="5" max="16384" width="9.140625" style="2"/>
  </cols>
  <sheetData>
    <row r="1" spans="2:3" ht="5.0999999999999996" customHeight="1" thickBot="1" x14ac:dyDescent="0.25"/>
    <row r="2" spans="2:3" ht="38.25" customHeight="1" thickBot="1" x14ac:dyDescent="0.25">
      <c r="B2" s="671" t="s">
        <v>700</v>
      </c>
      <c r="C2" s="671"/>
    </row>
    <row r="3" spans="2:3" s="1" customFormat="1" ht="15.75" x14ac:dyDescent="0.25">
      <c r="B3" s="532" t="s">
        <v>559</v>
      </c>
      <c r="C3" s="532" t="s">
        <v>560</v>
      </c>
    </row>
    <row r="4" spans="2:3" s="1" customFormat="1" ht="53.25" customHeight="1" x14ac:dyDescent="0.2">
      <c r="B4" s="533" t="s">
        <v>172</v>
      </c>
      <c r="C4" s="283" t="s">
        <v>701</v>
      </c>
    </row>
    <row r="5" spans="2:3" s="1" customFormat="1" ht="114.75" x14ac:dyDescent="0.2">
      <c r="B5" s="533" t="s">
        <v>173</v>
      </c>
      <c r="C5" s="283" t="s">
        <v>702</v>
      </c>
    </row>
    <row r="6" spans="2:3" s="1" customFormat="1" ht="26.25" customHeight="1" x14ac:dyDescent="0.2">
      <c r="B6" s="533" t="s">
        <v>174</v>
      </c>
      <c r="C6" s="283" t="s">
        <v>703</v>
      </c>
    </row>
    <row r="7" spans="2:3" s="1" customFormat="1" ht="28.5" customHeight="1" x14ac:dyDescent="0.2">
      <c r="B7" s="533" t="s">
        <v>175</v>
      </c>
      <c r="C7" s="283" t="s">
        <v>704</v>
      </c>
    </row>
    <row r="8" spans="2:3" s="1" customFormat="1" ht="29.25" customHeight="1" x14ac:dyDescent="0.2">
      <c r="B8" s="533" t="s">
        <v>102</v>
      </c>
      <c r="C8" s="283" t="s">
        <v>705</v>
      </c>
    </row>
    <row r="9" spans="2:3" s="1" customFormat="1" ht="51" x14ac:dyDescent="0.2">
      <c r="B9" s="533" t="s">
        <v>706</v>
      </c>
      <c r="C9" s="283" t="s">
        <v>707</v>
      </c>
    </row>
    <row r="10" spans="2:3" s="1" customFormat="1" ht="41.25" customHeight="1" x14ac:dyDescent="0.2">
      <c r="B10" s="533" t="s">
        <v>177</v>
      </c>
      <c r="C10" s="283" t="s">
        <v>708</v>
      </c>
    </row>
    <row r="11" spans="2:3" s="1" customFormat="1" ht="45" customHeight="1" x14ac:dyDescent="0.2">
      <c r="B11" s="533" t="s">
        <v>178</v>
      </c>
      <c r="C11" s="283" t="s">
        <v>709</v>
      </c>
    </row>
    <row r="12" spans="2:3" s="1" customFormat="1" ht="30" customHeight="1" x14ac:dyDescent="0.2">
      <c r="B12" s="533" t="s">
        <v>179</v>
      </c>
      <c r="C12" s="283" t="s">
        <v>710</v>
      </c>
    </row>
    <row r="13" spans="2:3" s="1" customFormat="1" x14ac:dyDescent="0.2">
      <c r="B13"/>
      <c r="C13"/>
    </row>
    <row r="14" spans="2:3" s="1" customFormat="1" x14ac:dyDescent="0.2">
      <c r="B14"/>
      <c r="C14"/>
    </row>
    <row r="15" spans="2:3" s="1" customFormat="1" x14ac:dyDescent="0.2">
      <c r="B15"/>
      <c r="C15"/>
    </row>
  </sheetData>
  <mergeCells count="1">
    <mergeCell ref="B2:C2"/>
  </mergeCells>
  <pageMargins left="0.25" right="0.25" top="0.5" bottom="0.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B1:C31"/>
  <sheetViews>
    <sheetView showGridLines="0" showRowColHeaders="0" workbookViewId="0">
      <selection activeCell="A4" sqref="A4"/>
    </sheetView>
  </sheetViews>
  <sheetFormatPr defaultColWidth="9.140625" defaultRowHeight="12.75" x14ac:dyDescent="0.2"/>
  <cols>
    <col min="1" max="1" width="1" style="2" customWidth="1"/>
    <col min="2" max="2" width="66.85546875" style="2" customWidth="1"/>
    <col min="3" max="3" width="66.5703125" style="2" customWidth="1"/>
    <col min="4" max="4" width="1" style="2" customWidth="1"/>
    <col min="5" max="16384" width="9.140625" style="2"/>
  </cols>
  <sheetData>
    <row r="1" spans="2:3" ht="5.0999999999999996" customHeight="1" thickBot="1" x14ac:dyDescent="0.25"/>
    <row r="2" spans="2:3" ht="38.25" customHeight="1" thickBot="1" x14ac:dyDescent="0.25">
      <c r="B2" s="671" t="s">
        <v>711</v>
      </c>
      <c r="C2" s="671"/>
    </row>
    <row r="3" spans="2:3" x14ac:dyDescent="0.2">
      <c r="B3" s="511"/>
      <c r="C3" s="512"/>
    </row>
    <row r="4" spans="2:3" ht="15.75" x14ac:dyDescent="0.25">
      <c r="B4" s="20" t="s">
        <v>712</v>
      </c>
      <c r="C4" s="21" t="s">
        <v>713</v>
      </c>
    </row>
    <row r="5" spans="2:3" x14ac:dyDescent="0.2">
      <c r="B5" s="8" t="s">
        <v>714</v>
      </c>
      <c r="C5" s="19" t="s">
        <v>715</v>
      </c>
    </row>
    <row r="6" spans="2:3" x14ac:dyDescent="0.2">
      <c r="B6" s="8" t="s">
        <v>716</v>
      </c>
      <c r="C6" s="156" t="s">
        <v>717</v>
      </c>
    </row>
    <row r="7" spans="2:3" x14ac:dyDescent="0.2">
      <c r="B7" s="8" t="s">
        <v>718</v>
      </c>
      <c r="C7" s="19" t="s">
        <v>719</v>
      </c>
    </row>
    <row r="8" spans="2:3" x14ac:dyDescent="0.2">
      <c r="B8" s="8" t="s">
        <v>720</v>
      </c>
      <c r="C8" s="19" t="s">
        <v>721</v>
      </c>
    </row>
    <row r="9" spans="2:3" x14ac:dyDescent="0.2">
      <c r="B9" s="8" t="s">
        <v>722</v>
      </c>
      <c r="C9" s="19" t="s">
        <v>723</v>
      </c>
    </row>
    <row r="10" spans="2:3" x14ac:dyDescent="0.2">
      <c r="B10" s="8" t="s">
        <v>724</v>
      </c>
      <c r="C10" s="19" t="s">
        <v>725</v>
      </c>
    </row>
    <row r="11" spans="2:3" x14ac:dyDescent="0.2">
      <c r="B11" s="155" t="s">
        <v>726</v>
      </c>
      <c r="C11" s="19" t="s">
        <v>727</v>
      </c>
    </row>
    <row r="12" spans="2:3" x14ac:dyDescent="0.2">
      <c r="B12" s="8"/>
      <c r="C12" s="19" t="s">
        <v>728</v>
      </c>
    </row>
    <row r="13" spans="2:3" x14ac:dyDescent="0.2">
      <c r="B13" s="8"/>
      <c r="C13" s="19" t="s">
        <v>729</v>
      </c>
    </row>
    <row r="14" spans="2:3" ht="15.75" x14ac:dyDescent="0.25">
      <c r="B14" s="20" t="s">
        <v>730</v>
      </c>
      <c r="C14" s="19" t="s">
        <v>731</v>
      </c>
    </row>
    <row r="15" spans="2:3" x14ac:dyDescent="0.2">
      <c r="B15" s="8" t="s">
        <v>732</v>
      </c>
      <c r="C15" s="19" t="s">
        <v>733</v>
      </c>
    </row>
    <row r="16" spans="2:3" x14ac:dyDescent="0.2">
      <c r="B16" s="8" t="s">
        <v>734</v>
      </c>
      <c r="C16" s="157" t="s">
        <v>735</v>
      </c>
    </row>
    <row r="17" spans="2:3" x14ac:dyDescent="0.2">
      <c r="B17" s="8" t="s">
        <v>736</v>
      </c>
      <c r="C17" s="157" t="s">
        <v>737</v>
      </c>
    </row>
    <row r="18" spans="2:3" x14ac:dyDescent="0.2">
      <c r="B18" s="8" t="s">
        <v>738</v>
      </c>
      <c r="C18" s="4"/>
    </row>
    <row r="19" spans="2:3" ht="15.75" x14ac:dyDescent="0.25">
      <c r="B19" s="8" t="s">
        <v>739</v>
      </c>
      <c r="C19" s="21" t="s">
        <v>740</v>
      </c>
    </row>
    <row r="20" spans="2:3" x14ac:dyDescent="0.2">
      <c r="B20" s="8" t="s">
        <v>741</v>
      </c>
      <c r="C20" s="19" t="s">
        <v>742</v>
      </c>
    </row>
    <row r="21" spans="2:3" x14ac:dyDescent="0.2">
      <c r="B21" s="8" t="s">
        <v>743</v>
      </c>
      <c r="C21" s="156" t="s">
        <v>744</v>
      </c>
    </row>
    <row r="22" spans="2:3" x14ac:dyDescent="0.2">
      <c r="B22" s="8" t="s">
        <v>745</v>
      </c>
      <c r="C22" s="19" t="s">
        <v>746</v>
      </c>
    </row>
    <row r="23" spans="2:3" x14ac:dyDescent="0.2">
      <c r="B23" s="8"/>
      <c r="C23" s="19"/>
    </row>
    <row r="24" spans="2:3" x14ac:dyDescent="0.2">
      <c r="B24" s="3"/>
      <c r="C24" s="4"/>
    </row>
    <row r="25" spans="2:3" ht="15.75" x14ac:dyDescent="0.25">
      <c r="B25" s="20" t="s">
        <v>747</v>
      </c>
      <c r="C25" s="21" t="s">
        <v>547</v>
      </c>
    </row>
    <row r="26" spans="2:3" x14ac:dyDescent="0.2">
      <c r="B26" s="8" t="s">
        <v>748</v>
      </c>
      <c r="C26" s="19" t="s">
        <v>749</v>
      </c>
    </row>
    <row r="27" spans="2:3" x14ac:dyDescent="0.2">
      <c r="B27" s="8" t="s">
        <v>750</v>
      </c>
      <c r="C27" s="19" t="s">
        <v>751</v>
      </c>
    </row>
    <row r="28" spans="2:3" x14ac:dyDescent="0.2">
      <c r="B28" s="8" t="s">
        <v>752</v>
      </c>
      <c r="C28" s="19" t="s">
        <v>753</v>
      </c>
    </row>
    <row r="29" spans="2:3" x14ac:dyDescent="0.2">
      <c r="B29" s="3"/>
      <c r="C29" s="156" t="s">
        <v>754</v>
      </c>
    </row>
    <row r="30" spans="2:3" x14ac:dyDescent="0.2">
      <c r="B30" s="3"/>
      <c r="C30" s="4" t="s">
        <v>755</v>
      </c>
    </row>
    <row r="31" spans="2:3" x14ac:dyDescent="0.2">
      <c r="B31" s="5"/>
      <c r="C31" s="7"/>
    </row>
  </sheetData>
  <sheetProtection password="C925" sheet="1" objects="1" scenarios="1"/>
  <mergeCells count="1">
    <mergeCell ref="B2:C2"/>
  </mergeCells>
  <phoneticPr fontId="0" type="noConversion"/>
  <dataValidations count="6">
    <dataValidation allowBlank="1" showInputMessage="1" showErrorMessage="1" prompt="Costs to develop and plan Energy Efficiency Programs." sqref="B4" xr:uid="{00000000-0002-0000-1F00-000000000000}"/>
    <dataValidation allowBlank="1" showInputMessage="1" showErrorMessage="1" prompt="Costs to communicate the benefits an delivery resources of energy efficiency programs and services to customers and trade allies designed to seek participation in EE programs." sqref="C4" xr:uid="{00000000-0002-0000-1F00-000001000000}"/>
    <dataValidation allowBlank="1" showInputMessage="1" showErrorMessage="1" prompt="Amounts paid to program participants, contractors or other third parties for energy efficient equipment, products and/or services.  Incentive costs include rebates, direct install costs, and up stream payments." sqref="B14" xr:uid="{00000000-0002-0000-1F00-000002000000}"/>
    <dataValidation allowBlank="1" showInputMessage="1" showErrorMessage="1" prompt="Costs incurred to determine deemed savings or other program-specific savings and other effects from EE program EM&amp;V." sqref="C19" xr:uid="{00000000-0002-0000-1F00-000003000000}"/>
    <dataValidation allowBlank="1" showInputMessage="1" showErrorMessage="1" prompt="Incremental costs incurred to be compliant with EE rules set forth by the APSC; should not include LCFC or Utility Performance Incentives.  " sqref="C25" xr:uid="{00000000-0002-0000-1F00-000004000000}"/>
    <dataValidation allowBlank="1" showInputMessage="1" showErrorMessage="1" prompt="Costs incurred to manage and/or support EE programs.  " sqref="B25" xr:uid="{00000000-0002-0000-1F00-000005000000}"/>
  </dataValidations>
  <pageMargins left="0.25" right="0.25" top="0.5" bottom="0.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B1:J29"/>
  <sheetViews>
    <sheetView showGridLines="0" showRowColHeaders="0" workbookViewId="0"/>
  </sheetViews>
  <sheetFormatPr defaultColWidth="9.140625" defaultRowHeight="12.75" x14ac:dyDescent="0.2"/>
  <cols>
    <col min="1" max="1" width="1" style="2" customWidth="1"/>
    <col min="2" max="2" width="21.85546875" style="2" customWidth="1"/>
    <col min="3" max="3" width="6.85546875" style="2" bestFit="1" customWidth="1"/>
    <col min="4" max="4" width="25.85546875" style="2" customWidth="1"/>
    <col min="5" max="5" width="29" style="2" bestFit="1" customWidth="1"/>
    <col min="6" max="6" width="2.140625" style="2" customWidth="1"/>
    <col min="7" max="7" width="21.42578125" style="2" customWidth="1"/>
    <col min="8" max="8" width="2.140625" style="2" customWidth="1"/>
    <col min="9" max="9" width="19" style="2" customWidth="1"/>
    <col min="10" max="10" width="5.140625" style="2" customWidth="1"/>
    <col min="11" max="11" width="1" style="2" customWidth="1"/>
    <col min="12" max="16384" width="9.140625" style="2"/>
  </cols>
  <sheetData>
    <row r="1" spans="2:10" ht="5.0999999999999996" customHeight="1" thickBot="1" x14ac:dyDescent="0.25"/>
    <row r="2" spans="2:10" ht="38.25" customHeight="1" thickBot="1" x14ac:dyDescent="0.25">
      <c r="B2" s="671" t="s">
        <v>756</v>
      </c>
      <c r="C2" s="671"/>
      <c r="D2" s="671"/>
      <c r="E2" s="671"/>
      <c r="F2" s="671"/>
      <c r="G2" s="671"/>
      <c r="H2" s="671"/>
      <c r="I2" s="671"/>
      <c r="J2" s="671"/>
    </row>
    <row r="3" spans="2:10" x14ac:dyDescent="0.2">
      <c r="B3" s="511"/>
      <c r="C3" s="347"/>
      <c r="D3" s="347"/>
      <c r="E3" s="347"/>
      <c r="F3" s="347"/>
      <c r="G3" s="347"/>
      <c r="H3" s="347"/>
      <c r="I3" s="347"/>
      <c r="J3" s="512"/>
    </row>
    <row r="4" spans="2:10" ht="15.75" x14ac:dyDescent="0.25">
      <c r="B4" s="20" t="s">
        <v>94</v>
      </c>
      <c r="C4" s="251" t="s">
        <v>757</v>
      </c>
      <c r="D4" s="9" t="s">
        <v>95</v>
      </c>
      <c r="E4" s="9" t="s">
        <v>96</v>
      </c>
      <c r="G4" s="9" t="s">
        <v>758</v>
      </c>
      <c r="H4" s="249"/>
      <c r="I4" s="249"/>
      <c r="J4" s="4"/>
    </row>
    <row r="5" spans="2:10" x14ac:dyDescent="0.2">
      <c r="B5" s="8" t="s">
        <v>138</v>
      </c>
      <c r="C5" s="252">
        <v>11</v>
      </c>
      <c r="D5" t="s">
        <v>620</v>
      </c>
      <c r="E5" t="s">
        <v>126</v>
      </c>
      <c r="G5" t="s">
        <v>204</v>
      </c>
      <c r="H5"/>
      <c r="I5"/>
      <c r="J5" s="4"/>
    </row>
    <row r="6" spans="2:10" x14ac:dyDescent="0.2">
      <c r="B6" s="8" t="s">
        <v>759</v>
      </c>
      <c r="C6" s="252"/>
      <c r="D6" t="s">
        <v>116</v>
      </c>
      <c r="E6" t="s">
        <v>760</v>
      </c>
      <c r="G6" t="s">
        <v>208</v>
      </c>
      <c r="H6"/>
      <c r="I6"/>
      <c r="J6" s="4"/>
    </row>
    <row r="7" spans="2:10" x14ac:dyDescent="0.2">
      <c r="B7" s="8" t="s">
        <v>108</v>
      </c>
      <c r="C7" s="252">
        <v>1</v>
      </c>
      <c r="D7" t="s">
        <v>109</v>
      </c>
      <c r="E7" t="s">
        <v>761</v>
      </c>
      <c r="G7" t="s">
        <v>639</v>
      </c>
      <c r="H7"/>
      <c r="I7"/>
      <c r="J7" s="4"/>
    </row>
    <row r="8" spans="2:10" x14ac:dyDescent="0.2">
      <c r="B8" s="8" t="s">
        <v>762</v>
      </c>
      <c r="C8" s="252">
        <v>2</v>
      </c>
      <c r="D8" t="s">
        <v>158</v>
      </c>
      <c r="E8" t="s">
        <v>110</v>
      </c>
      <c r="G8" t="s">
        <v>207</v>
      </c>
      <c r="H8"/>
      <c r="J8" s="4"/>
    </row>
    <row r="9" spans="2:10" x14ac:dyDescent="0.2">
      <c r="B9" s="8" t="s">
        <v>98</v>
      </c>
      <c r="C9" s="252">
        <v>4</v>
      </c>
      <c r="D9" t="s">
        <v>99</v>
      </c>
      <c r="E9" t="s">
        <v>763</v>
      </c>
      <c r="G9" t="s">
        <v>206</v>
      </c>
      <c r="H9"/>
      <c r="I9"/>
      <c r="J9" s="4"/>
    </row>
    <row r="10" spans="2:10" x14ac:dyDescent="0.2">
      <c r="B10" s="8" t="s">
        <v>764</v>
      </c>
      <c r="C10" s="252">
        <v>7</v>
      </c>
      <c r="D10" t="s">
        <v>626</v>
      </c>
      <c r="E10" t="s">
        <v>117</v>
      </c>
      <c r="G10" t="s">
        <v>643</v>
      </c>
      <c r="H10"/>
      <c r="I10"/>
      <c r="J10" s="4"/>
    </row>
    <row r="11" spans="2:10" x14ac:dyDescent="0.2">
      <c r="B11" s="8" t="s">
        <v>765</v>
      </c>
      <c r="C11" s="252">
        <v>8</v>
      </c>
      <c r="D11" t="s">
        <v>628</v>
      </c>
      <c r="E11" t="s">
        <v>103</v>
      </c>
      <c r="G11" t="s">
        <v>205</v>
      </c>
      <c r="H11"/>
      <c r="I11"/>
      <c r="J11" s="4"/>
    </row>
    <row r="12" spans="2:10" x14ac:dyDescent="0.2">
      <c r="B12" s="8" t="s">
        <v>102</v>
      </c>
      <c r="C12" s="252">
        <v>10</v>
      </c>
      <c r="D12" t="s">
        <v>630</v>
      </c>
      <c r="E12" t="s">
        <v>100</v>
      </c>
      <c r="G12"/>
      <c r="H12"/>
      <c r="I12"/>
      <c r="J12" s="4"/>
    </row>
    <row r="13" spans="2:10" x14ac:dyDescent="0.2">
      <c r="B13" s="8" t="s">
        <v>766</v>
      </c>
      <c r="C13" s="252"/>
      <c r="D13" t="s">
        <v>102</v>
      </c>
      <c r="E13" t="s">
        <v>119</v>
      </c>
      <c r="G13"/>
      <c r="H13"/>
      <c r="I13"/>
      <c r="J13" s="4"/>
    </row>
    <row r="14" spans="2:10" x14ac:dyDescent="0.2">
      <c r="B14" s="8" t="s">
        <v>122</v>
      </c>
      <c r="C14" s="252">
        <v>3</v>
      </c>
      <c r="D14" t="s">
        <v>106</v>
      </c>
      <c r="E14"/>
      <c r="G14"/>
      <c r="H14"/>
      <c r="I14"/>
      <c r="J14" s="4"/>
    </row>
    <row r="15" spans="2:10" x14ac:dyDescent="0.2">
      <c r="B15" s="8" t="s">
        <v>131</v>
      </c>
      <c r="C15" s="252">
        <v>5</v>
      </c>
      <c r="D15" t="s">
        <v>123</v>
      </c>
      <c r="E15"/>
      <c r="G15"/>
      <c r="H15"/>
      <c r="I15"/>
      <c r="J15" s="4"/>
    </row>
    <row r="16" spans="2:10" x14ac:dyDescent="0.2">
      <c r="B16" s="8" t="s">
        <v>105</v>
      </c>
      <c r="C16" s="252">
        <v>6</v>
      </c>
      <c r="D16" t="s">
        <v>113</v>
      </c>
      <c r="E16"/>
      <c r="G16"/>
      <c r="J16" s="4"/>
    </row>
    <row r="17" spans="2:10" x14ac:dyDescent="0.2">
      <c r="B17" s="8" t="s">
        <v>115</v>
      </c>
      <c r="C17" s="252">
        <v>9</v>
      </c>
      <c r="D17"/>
      <c r="E17"/>
      <c r="H17"/>
      <c r="I17" s="250"/>
      <c r="J17" s="4"/>
    </row>
    <row r="18" spans="2:10" x14ac:dyDescent="0.2">
      <c r="B18" s="8"/>
      <c r="C18"/>
      <c r="D18"/>
      <c r="E18"/>
      <c r="G18" s="250"/>
      <c r="H18"/>
      <c r="I18"/>
      <c r="J18" s="4"/>
    </row>
    <row r="19" spans="2:10" x14ac:dyDescent="0.2">
      <c r="B19" s="8"/>
      <c r="C19"/>
      <c r="D19"/>
      <c r="E19"/>
      <c r="G19"/>
      <c r="J19" s="4"/>
    </row>
    <row r="20" spans="2:10" x14ac:dyDescent="0.2">
      <c r="B20" s="8"/>
      <c r="C20"/>
      <c r="D20"/>
      <c r="E20"/>
      <c r="J20" s="4"/>
    </row>
    <row r="21" spans="2:10" x14ac:dyDescent="0.2">
      <c r="B21" s="8"/>
      <c r="C21"/>
      <c r="D21"/>
      <c r="E21"/>
      <c r="I21"/>
      <c r="J21" s="4"/>
    </row>
    <row r="22" spans="2:10" x14ac:dyDescent="0.2">
      <c r="B22" s="8"/>
      <c r="C22"/>
      <c r="D22"/>
      <c r="E22"/>
      <c r="I22" s="250"/>
      <c r="J22" s="4"/>
    </row>
    <row r="23" spans="2:10" x14ac:dyDescent="0.2">
      <c r="B23" s="8"/>
      <c r="C23"/>
      <c r="G23" s="250"/>
      <c r="I23"/>
      <c r="J23" s="4"/>
    </row>
    <row r="24" spans="2:10" x14ac:dyDescent="0.2">
      <c r="B24" s="8"/>
      <c r="C24"/>
      <c r="G24"/>
      <c r="J24" s="4"/>
    </row>
    <row r="25" spans="2:10" x14ac:dyDescent="0.2">
      <c r="B25" s="8"/>
      <c r="C25"/>
      <c r="J25" s="4"/>
    </row>
    <row r="26" spans="2:10" x14ac:dyDescent="0.2">
      <c r="B26" s="8"/>
      <c r="C26"/>
      <c r="J26" s="4"/>
    </row>
    <row r="27" spans="2:10" x14ac:dyDescent="0.2">
      <c r="B27" s="3"/>
      <c r="C27"/>
      <c r="J27" s="4"/>
    </row>
    <row r="28" spans="2:10" x14ac:dyDescent="0.2">
      <c r="B28" s="3"/>
      <c r="C28"/>
      <c r="J28" s="4"/>
    </row>
    <row r="29" spans="2:10" x14ac:dyDescent="0.2">
      <c r="B29" s="5"/>
      <c r="C29" s="6"/>
      <c r="D29" s="6"/>
      <c r="E29" s="6"/>
      <c r="F29" s="6"/>
      <c r="G29" s="6"/>
      <c r="H29" s="6"/>
      <c r="I29" s="6"/>
      <c r="J29" s="7"/>
    </row>
  </sheetData>
  <sheetProtection password="CAE5" sheet="1" objects="1" scenarios="1"/>
  <mergeCells count="1">
    <mergeCell ref="B2:J2"/>
  </mergeCells>
  <pageMargins left="0.25" right="0.25" top="0.5" bottom="0.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0000"/>
  </sheetPr>
  <dimension ref="B2:T74"/>
  <sheetViews>
    <sheetView topLeftCell="A29" zoomScale="75" zoomScaleNormal="75" workbookViewId="0">
      <selection activeCell="E55" sqref="E55"/>
    </sheetView>
  </sheetViews>
  <sheetFormatPr defaultRowHeight="12.75" x14ac:dyDescent="0.2"/>
  <cols>
    <col min="1" max="1" width="1.85546875" customWidth="1"/>
    <col min="2" max="2" width="39" bestFit="1" customWidth="1"/>
    <col min="3" max="3" width="21" bestFit="1" customWidth="1"/>
    <col min="4" max="4" width="26.85546875" bestFit="1" customWidth="1"/>
    <col min="5" max="5" width="26.85546875" customWidth="1"/>
    <col min="6" max="6" width="12.140625" bestFit="1" customWidth="1"/>
    <col min="7" max="7" width="13.42578125" bestFit="1" customWidth="1"/>
    <col min="8" max="8" width="14.85546875" bestFit="1" customWidth="1"/>
    <col min="9" max="9" width="11.140625" bestFit="1" customWidth="1"/>
    <col min="10" max="10" width="16.140625" customWidth="1"/>
    <col min="11" max="11" width="13.140625" customWidth="1"/>
    <col min="12" max="12" width="10.85546875" customWidth="1"/>
    <col min="13" max="13" width="12" customWidth="1"/>
    <col min="14" max="14" width="14.42578125" customWidth="1"/>
    <col min="15" max="15" width="12.140625" bestFit="1" customWidth="1"/>
    <col min="16" max="16" width="10.85546875" customWidth="1"/>
    <col min="17" max="17" width="9.5703125" customWidth="1"/>
    <col min="18" max="18" width="14.140625" customWidth="1"/>
    <col min="19" max="19" width="9.85546875" bestFit="1" customWidth="1"/>
    <col min="20" max="21" width="11.140625" bestFit="1" customWidth="1"/>
    <col min="23" max="23" width="11.140625" bestFit="1" customWidth="1"/>
    <col min="25" max="25" width="11.140625" bestFit="1" customWidth="1"/>
  </cols>
  <sheetData>
    <row r="2" spans="2:14" x14ac:dyDescent="0.2">
      <c r="B2" s="90" t="s">
        <v>767</v>
      </c>
    </row>
    <row r="3" spans="2:14" ht="38.25" x14ac:dyDescent="0.2">
      <c r="B3" s="535" t="s">
        <v>93</v>
      </c>
      <c r="C3" s="535" t="s">
        <v>768</v>
      </c>
      <c r="D3" s="535" t="s">
        <v>769</v>
      </c>
      <c r="E3" s="535" t="s">
        <v>770</v>
      </c>
      <c r="F3" s="536" t="str">
        <f>Budgets!D4</f>
        <v>Planning / Design</v>
      </c>
      <c r="G3" s="536" t="str">
        <f>Budgets!E4</f>
        <v>Marketing &amp; Delivery</v>
      </c>
      <c r="H3" s="536" t="str">
        <f>Budgets!F4</f>
        <v>Incentives / Direct Install Costs</v>
      </c>
      <c r="I3" s="536" t="str">
        <f>Budgets!G4</f>
        <v>EM&amp;V</v>
      </c>
      <c r="J3" s="536" t="str">
        <f>Budgets!H4</f>
        <v>Administration</v>
      </c>
      <c r="K3" s="536" t="str">
        <f>Budgets!I4</f>
        <v>Total</v>
      </c>
      <c r="L3" s="536" t="str">
        <f>'Savings &amp; Participants'!D4</f>
        <v>Demand 
Savings</v>
      </c>
      <c r="M3" s="536" t="str">
        <f>'Savings &amp; Participants'!E4</f>
        <v>Energy 
Savings</v>
      </c>
      <c r="N3" s="536" t="str">
        <f>'Savings &amp; Participants'!G5</f>
        <v>Participants</v>
      </c>
    </row>
    <row r="4" spans="2:14" x14ac:dyDescent="0.2">
      <c r="B4" s="537" t="str">
        <f>'Program Descriptions'!C5</f>
        <v>Load Mgt (LMP)</v>
      </c>
      <c r="C4" s="537" t="str">
        <f>IF(B4="Empty","",'Program Descriptions'!E5)</f>
        <v>Commercial &amp; Industrial</v>
      </c>
      <c r="D4" s="537" t="str">
        <f>IF(B4="Empty","",'Program Descriptions'!F5)</f>
        <v>Demand Response</v>
      </c>
      <c r="E4" s="537" t="str">
        <f>IF(B4="Empty","",'Program Descriptions'!G5)</f>
        <v>Utility Outreach (email/direct mail)</v>
      </c>
      <c r="F4" s="538">
        <f>Budgets!D5</f>
        <v>14403</v>
      </c>
      <c r="G4" s="538">
        <f>Budgets!E5</f>
        <v>424893</v>
      </c>
      <c r="H4" s="538">
        <f>Budgets!F5</f>
        <v>485000</v>
      </c>
      <c r="I4" s="538">
        <f>Budgets!G5</f>
        <v>18500</v>
      </c>
      <c r="J4" s="538">
        <f>Budgets!H5</f>
        <v>64814</v>
      </c>
      <c r="K4" s="539">
        <f>SUM(F4:J4)</f>
        <v>1007610</v>
      </c>
      <c r="L4" s="540">
        <f>IF(Demand_1=NG_Demand,"n/a",'Savings &amp; Participants'!D6)</f>
        <v>16250</v>
      </c>
      <c r="M4" s="540">
        <f>'Savings &amp; Participants'!E6</f>
        <v>0</v>
      </c>
      <c r="N4" s="540">
        <f>'Savings &amp; Participants'!G6</f>
        <v>50</v>
      </c>
    </row>
    <row r="5" spans="2:14" x14ac:dyDescent="0.2">
      <c r="B5" s="537" t="str">
        <f>'Program Descriptions'!C6</f>
        <v>Comm &amp; Industrial (CIEEP)</v>
      </c>
      <c r="C5" s="537" t="str">
        <f>IF(B5="Empty","",'Program Descriptions'!E6)</f>
        <v>Commercial &amp; Industrial</v>
      </c>
      <c r="D5" s="537" t="str">
        <f>IF(B5="Empty","",'Program Descriptions'!F6)</f>
        <v>Other</v>
      </c>
      <c r="E5" s="537" t="str">
        <f>IF(B5="Empty","",'Program Descriptions'!G6)</f>
        <v>Trade Ally</v>
      </c>
      <c r="F5" s="538">
        <f>Budgets!D6</f>
        <v>35255</v>
      </c>
      <c r="G5" s="538">
        <f>Budgets!E6</f>
        <v>940433</v>
      </c>
      <c r="H5" s="538">
        <f>Budgets!F6</f>
        <v>1427612</v>
      </c>
      <c r="I5" s="538">
        <f>Budgets!G6</f>
        <v>89098</v>
      </c>
      <c r="J5" s="538">
        <f>Budgets!H6</f>
        <v>591682</v>
      </c>
      <c r="K5" s="539">
        <f t="shared" ref="K5:K23" si="0">SUM(F5:J5)</f>
        <v>3084080</v>
      </c>
      <c r="L5" s="540">
        <f>IF(Demand_1=NG_Demand,"n/a",'Savings &amp; Participants'!D7)</f>
        <v>2367.4</v>
      </c>
      <c r="M5" s="540">
        <f>'Savings &amp; Participants'!E7</f>
        <v>10534008</v>
      </c>
      <c r="N5" s="540">
        <f>'Savings &amp; Participants'!G7</f>
        <v>436</v>
      </c>
    </row>
    <row r="6" spans="2:14" x14ac:dyDescent="0.2">
      <c r="B6" s="537" t="str">
        <f>'Program Descriptions'!C7</f>
        <v>Small Business (SBP)</v>
      </c>
      <c r="C6" s="537" t="str">
        <f>IF(B6="Empty","",'Program Descriptions'!E7)</f>
        <v>Small Business/C&amp;I</v>
      </c>
      <c r="D6" s="537" t="str">
        <f>IF(B6="Empty","",'Program Descriptions'!F7)</f>
        <v>Prescriptive/Standard Offer</v>
      </c>
      <c r="E6" s="537" t="str">
        <f>IF(B6="Empty","",'Program Descriptions'!G7)</f>
        <v>Trade Ally</v>
      </c>
      <c r="F6" s="538">
        <f>Budgets!D7</f>
        <v>16125</v>
      </c>
      <c r="G6" s="538">
        <f>Budgets!E7</f>
        <v>596229</v>
      </c>
      <c r="H6" s="538">
        <f>Budgets!F7</f>
        <v>867462</v>
      </c>
      <c r="I6" s="538">
        <f>Budgets!G7</f>
        <v>45192</v>
      </c>
      <c r="J6" s="538">
        <f>Budgets!H7</f>
        <v>71342</v>
      </c>
      <c r="K6" s="539">
        <f t="shared" si="0"/>
        <v>1596350</v>
      </c>
      <c r="L6" s="540">
        <f>IF(Demand_1=NG_Demand,"n/a",'Savings &amp; Participants'!D8)</f>
        <v>1414.55</v>
      </c>
      <c r="M6" s="540">
        <f>'Savings &amp; Participants'!E8</f>
        <v>6060578</v>
      </c>
      <c r="N6" s="540">
        <f>'Savings &amp; Participants'!G8</f>
        <v>668</v>
      </c>
    </row>
    <row r="7" spans="2:14" x14ac:dyDescent="0.2">
      <c r="B7" s="537" t="str">
        <f>'Program Descriptions'!C8</f>
        <v>Efficient Products (EPP)</v>
      </c>
      <c r="C7" s="537" t="str">
        <f>IF(B7="Empty","",'Program Descriptions'!E8)</f>
        <v>Residential</v>
      </c>
      <c r="D7" s="537" t="str">
        <f>IF(B7="Empty","",'Program Descriptions'!F8)</f>
        <v>Consumer Product Rebate</v>
      </c>
      <c r="E7" s="537" t="str">
        <f>IF(B7="Empty","",'Program Descriptions'!G8)</f>
        <v>Retail Outlets</v>
      </c>
      <c r="F7" s="538">
        <f>Budgets!D8</f>
        <v>15793</v>
      </c>
      <c r="G7" s="538">
        <f>Budgets!E8</f>
        <v>288998</v>
      </c>
      <c r="H7" s="538">
        <f>Budgets!F8</f>
        <v>334889</v>
      </c>
      <c r="I7" s="538">
        <f>Budgets!G8</f>
        <v>24943</v>
      </c>
      <c r="J7" s="538">
        <f>Budgets!H8</f>
        <v>56200</v>
      </c>
      <c r="K7" s="539">
        <f t="shared" si="0"/>
        <v>720823</v>
      </c>
      <c r="L7" s="540">
        <f>IF(Demand_1=NG_Demand,"n/a",'Savings &amp; Participants'!D9)</f>
        <v>115.6</v>
      </c>
      <c r="M7" s="540">
        <f>'Savings &amp; Participants'!E9</f>
        <v>1294116</v>
      </c>
      <c r="N7" s="540">
        <f>'Savings &amp; Participants'!G9</f>
        <v>14665</v>
      </c>
    </row>
    <row r="8" spans="2:14" x14ac:dyDescent="0.2">
      <c r="B8" s="537" t="str">
        <f>'Program Descriptions'!C9</f>
        <v>Res Energy Imprv (REIP)</v>
      </c>
      <c r="C8" s="537" t="str">
        <f>IF(B8="Empty","",'Program Descriptions'!E9)</f>
        <v>Residential</v>
      </c>
      <c r="D8" s="537" t="str">
        <f>IF(B8="Empty","",'Program Descriptions'!F9)</f>
        <v>Prescriptive/Standard Offer</v>
      </c>
      <c r="E8" s="537" t="str">
        <f>IF(B8="Empty","",'Program Descriptions'!G9)</f>
        <v>Trade Ally</v>
      </c>
      <c r="F8" s="538">
        <f>Budgets!D9</f>
        <v>33517</v>
      </c>
      <c r="G8" s="538">
        <f>Budgets!E9</f>
        <v>869857</v>
      </c>
      <c r="H8" s="538">
        <f>Budgets!F9</f>
        <v>1807586</v>
      </c>
      <c r="I8" s="538">
        <f>Budgets!G9</f>
        <v>34984</v>
      </c>
      <c r="J8" s="538">
        <f>Budgets!H9</f>
        <v>118110</v>
      </c>
      <c r="K8" s="539">
        <f t="shared" si="0"/>
        <v>2864054</v>
      </c>
      <c r="L8" s="540">
        <f>IF(Demand_1=NG_Demand,"n/a",'Savings &amp; Participants'!D10)</f>
        <v>1131.674</v>
      </c>
      <c r="M8" s="540">
        <f>'Savings &amp; Participants'!E10</f>
        <v>5602155</v>
      </c>
      <c r="N8" s="540">
        <f>'Savings &amp; Participants'!G10</f>
        <v>7033</v>
      </c>
    </row>
    <row r="9" spans="2:14" x14ac:dyDescent="0.2">
      <c r="B9" s="537" t="str">
        <f>'Program Descriptions'!C10</f>
        <v>Home Weatherization (HWP)</v>
      </c>
      <c r="C9" s="537" t="str">
        <f>IF(B9="Empty","",'Program Descriptions'!E10)</f>
        <v>Residential</v>
      </c>
      <c r="D9" s="537" t="str">
        <f>IF(B9="Empty","",'Program Descriptions'!F10)</f>
        <v>Whole Home</v>
      </c>
      <c r="E9" s="537" t="str">
        <f>IF(B9="Empty","",'Program Descriptions'!G10)</f>
        <v>Trade Ally</v>
      </c>
      <c r="F9" s="538">
        <f>Budgets!D10</f>
        <v>34342</v>
      </c>
      <c r="G9" s="538">
        <f>Budgets!E10</f>
        <v>634192</v>
      </c>
      <c r="H9" s="538">
        <f>Budgets!F10</f>
        <v>1467278</v>
      </c>
      <c r="I9" s="538">
        <f>Budgets!G10</f>
        <v>97330</v>
      </c>
      <c r="J9" s="538">
        <f>Budgets!H10</f>
        <v>128212</v>
      </c>
      <c r="K9" s="539">
        <f t="shared" si="0"/>
        <v>2361354</v>
      </c>
      <c r="L9" s="540">
        <f>IF(Demand_1=NG_Demand,"n/a",'Savings &amp; Participants'!D11)</f>
        <v>2359.4059999999999</v>
      </c>
      <c r="M9" s="540">
        <f>'Savings &amp; Participants'!E11</f>
        <v>6645777</v>
      </c>
      <c r="N9" s="540">
        <f>'Savings &amp; Participants'!G11</f>
        <v>2200</v>
      </c>
    </row>
    <row r="10" spans="2:14" x14ac:dyDescent="0.2">
      <c r="B10" s="537" t="str">
        <f>'Program Descriptions'!C11</f>
        <v>Discont'd EE AR (EEA)</v>
      </c>
      <c r="C10" s="537" t="str">
        <f>IF(B10="Empty","",'Program Descriptions'!E11)</f>
        <v>All Classes</v>
      </c>
      <c r="D10" s="537" t="str">
        <f>IF(B10="Empty","",'Program Descriptions'!F11)</f>
        <v>Behavior/Education</v>
      </c>
      <c r="E10" s="537" t="str">
        <f>IF(B10="Empty","",'Program Descriptions'!G11)</f>
        <v>Statewide Administrator</v>
      </c>
      <c r="F10" s="538">
        <f>Budgets!D11</f>
        <v>0</v>
      </c>
      <c r="G10" s="538">
        <f>Budgets!E11</f>
        <v>0</v>
      </c>
      <c r="H10" s="538">
        <f>Budgets!F11</f>
        <v>0</v>
      </c>
      <c r="I10" s="538">
        <f>Budgets!G11</f>
        <v>0</v>
      </c>
      <c r="J10" s="538">
        <f>Budgets!H11</f>
        <v>0</v>
      </c>
      <c r="K10" s="539">
        <f t="shared" si="0"/>
        <v>0</v>
      </c>
      <c r="L10" s="540">
        <f>IF(Demand_1=NG_Demand,"n/a",'Savings &amp; Participants'!D12)</f>
        <v>0</v>
      </c>
      <c r="M10" s="540">
        <f>'Savings &amp; Participants'!E12</f>
        <v>0</v>
      </c>
      <c r="N10" s="540" t="str">
        <f>'Savings &amp; Participants'!G12</f>
        <v>N/A</v>
      </c>
    </row>
    <row r="11" spans="2:14" x14ac:dyDescent="0.2">
      <c r="B11" s="537" t="str">
        <f>'Program Descriptions'!C12</f>
        <v>Discont'd Onlne Audt(OLA)</v>
      </c>
      <c r="C11" s="537" t="str">
        <f>IF(B11="Empty","",'Program Descriptions'!E12)</f>
        <v>Residential</v>
      </c>
      <c r="D11" s="537" t="str">
        <f>IF(B11="Empty","",'Program Descriptions'!F12)</f>
        <v>Behavior/Education</v>
      </c>
      <c r="E11" s="537" t="str">
        <f>IF(B11="Empty","",'Program Descriptions'!G12)</f>
        <v>Website</v>
      </c>
      <c r="F11" s="538">
        <f>Budgets!D12</f>
        <v>0</v>
      </c>
      <c r="G11" s="538">
        <f>Budgets!E12</f>
        <v>0</v>
      </c>
      <c r="H11" s="538">
        <f>Budgets!F12</f>
        <v>0</v>
      </c>
      <c r="I11" s="538">
        <f>Budgets!G12</f>
        <v>0</v>
      </c>
      <c r="J11" s="538">
        <f>Budgets!H12</f>
        <v>0</v>
      </c>
      <c r="K11" s="539">
        <f t="shared" si="0"/>
        <v>0</v>
      </c>
      <c r="L11" s="540">
        <f>IF(Demand_1=NG_Demand,"n/a",'Savings &amp; Participants'!D13)</f>
        <v>0</v>
      </c>
      <c r="M11" s="540">
        <f>'Savings &amp; Participants'!E13</f>
        <v>0</v>
      </c>
      <c r="N11" s="540" t="str">
        <f>'Savings &amp; Participants'!G13</f>
        <v>N/A</v>
      </c>
    </row>
    <row r="12" spans="2:14" x14ac:dyDescent="0.2">
      <c r="B12" s="537" t="str">
        <f>'Program Descriptions'!C13</f>
        <v>Income Qualified (IQW)</v>
      </c>
      <c r="C12" s="537" t="str">
        <f>IF(B12="Empty","",'Program Descriptions'!E13)</f>
        <v>Residential</v>
      </c>
      <c r="D12" s="537" t="str">
        <f>IF(B12="Empty","",'Program Descriptions'!F13)</f>
        <v>Whole Home</v>
      </c>
      <c r="E12" s="537" t="str">
        <f>IF(B12="Empty","",'Program Descriptions'!G13)</f>
        <v>Trade Ally</v>
      </c>
      <c r="F12" s="538">
        <f>Budgets!D13</f>
        <v>11690</v>
      </c>
      <c r="G12" s="538">
        <f>Budgets!E13</f>
        <v>215845</v>
      </c>
      <c r="H12" s="538">
        <f>Budgets!F13</f>
        <v>801440</v>
      </c>
      <c r="I12" s="538">
        <f>Budgets!G13</f>
        <v>25500</v>
      </c>
      <c r="J12" s="538">
        <f>Budgets!H13</f>
        <v>43637</v>
      </c>
      <c r="K12" s="539">
        <f t="shared" si="0"/>
        <v>1098112</v>
      </c>
      <c r="L12" s="540">
        <f>IF(Demand_1=NG_Demand,"n/a",'Savings &amp; Participants'!D14)</f>
        <v>609</v>
      </c>
      <c r="M12" s="540">
        <f>'Savings &amp; Participants'!E14</f>
        <v>1535745</v>
      </c>
      <c r="N12" s="540">
        <f>'Savings &amp; Participants'!G14</f>
        <v>250</v>
      </c>
    </row>
    <row r="13" spans="2:14" x14ac:dyDescent="0.2">
      <c r="B13" s="537" t="str">
        <f>'Program Descriptions'!C14</f>
        <v>Discont'd Ele Veh (EVE)</v>
      </c>
      <c r="C13" s="537" t="str">
        <f>IF(B13="Empty","",'Program Descriptions'!E14)</f>
        <v>Res/Small Business</v>
      </c>
      <c r="D13" s="537" t="str">
        <f>IF(B13="Empty","",'Program Descriptions'!F14)</f>
        <v>Measure/Technology Focus</v>
      </c>
      <c r="E13" s="537" t="str">
        <f>IF(B13="Empty","",'Program Descriptions'!G14)</f>
        <v>Utility Outreach (email/direct mail)</v>
      </c>
      <c r="F13" s="538">
        <f>Budgets!D14</f>
        <v>0</v>
      </c>
      <c r="G13" s="538">
        <f>Budgets!E14</f>
        <v>0</v>
      </c>
      <c r="H13" s="538">
        <f>Budgets!F14</f>
        <v>0</v>
      </c>
      <c r="I13" s="538">
        <f>Budgets!G14</f>
        <v>0</v>
      </c>
      <c r="J13" s="538">
        <f>Budgets!H14</f>
        <v>0</v>
      </c>
      <c r="K13" s="539">
        <f t="shared" si="0"/>
        <v>0</v>
      </c>
      <c r="L13" s="540">
        <f>IF(Demand_1=NG_Demand,"n/a",'Savings &amp; Participants'!D15)</f>
        <v>0</v>
      </c>
      <c r="M13" s="540">
        <f>'Savings &amp; Participants'!E15</f>
        <v>0</v>
      </c>
      <c r="N13" s="540" t="str">
        <f>'Savings &amp; Participants'!G15</f>
        <v>N/A</v>
      </c>
    </row>
    <row r="14" spans="2:14" x14ac:dyDescent="0.2">
      <c r="B14" s="537" t="str">
        <f>'Program Descriptions'!C15</f>
        <v>Discont'd Comm Solutions</v>
      </c>
      <c r="C14" s="537" t="str">
        <f>IF(B14="Empty","",'Program Descriptions'!E15)</f>
        <v>Commercial &amp; Industrial</v>
      </c>
      <c r="D14" s="537" t="str">
        <f>IF(B14="Empty","",'Program Descriptions'!F15)</f>
        <v>Other</v>
      </c>
      <c r="E14" s="537" t="str">
        <f>IF(B14="Empty","",'Program Descriptions'!G15)</f>
        <v>Trade Ally</v>
      </c>
      <c r="F14" s="538">
        <f>Budgets!D15</f>
        <v>0</v>
      </c>
      <c r="G14" s="538">
        <f>Budgets!E15</f>
        <v>0</v>
      </c>
      <c r="H14" s="538">
        <f>Budgets!F15</f>
        <v>0</v>
      </c>
      <c r="I14" s="538">
        <f>Budgets!G15</f>
        <v>0</v>
      </c>
      <c r="J14" s="538">
        <f>Budgets!H15</f>
        <v>0</v>
      </c>
      <c r="K14" s="539">
        <f t="shared" si="0"/>
        <v>0</v>
      </c>
      <c r="L14" s="540">
        <f>IF(Demand_1=NG_Demand,"n/a",'Savings &amp; Participants'!D16)</f>
        <v>0</v>
      </c>
      <c r="M14" s="540">
        <f>'Savings &amp; Participants'!E16</f>
        <v>0</v>
      </c>
      <c r="N14" s="540" t="str">
        <f>'Savings &amp; Participants'!G16</f>
        <v>N/A</v>
      </c>
    </row>
    <row r="15" spans="2:14" x14ac:dyDescent="0.2">
      <c r="B15" s="537" t="str">
        <f>'Program Descriptions'!C16</f>
        <v>Discont'd Res Appliance</v>
      </c>
      <c r="C15" s="537" t="str">
        <f>IF(B15="Empty","",'Program Descriptions'!E16)</f>
        <v>Residential</v>
      </c>
      <c r="D15" s="537" t="str">
        <f>IF(B15="Empty","",'Program Descriptions'!F16)</f>
        <v>Consumer Product Rebate</v>
      </c>
      <c r="E15" s="537" t="str">
        <f>IF(B15="Empty","",'Program Descriptions'!G16)</f>
        <v>Coupon Redemption</v>
      </c>
      <c r="F15" s="538">
        <f>Budgets!D16</f>
        <v>0</v>
      </c>
      <c r="G15" s="538">
        <f>Budgets!E16</f>
        <v>0</v>
      </c>
      <c r="H15" s="538">
        <f>Budgets!F16</f>
        <v>0</v>
      </c>
      <c r="I15" s="538">
        <f>Budgets!G16</f>
        <v>0</v>
      </c>
      <c r="J15" s="538">
        <f>Budgets!H16</f>
        <v>0</v>
      </c>
      <c r="K15" s="539">
        <f t="shared" si="0"/>
        <v>0</v>
      </c>
      <c r="L15" s="540">
        <f>IF(Demand_1=NG_Demand,"n/a",'Savings &amp; Participants'!D17)</f>
        <v>0</v>
      </c>
      <c r="M15" s="540">
        <f>'Savings &amp; Participants'!E17</f>
        <v>0</v>
      </c>
      <c r="N15" s="540" t="str">
        <f>'Savings &amp; Participants'!G17</f>
        <v>N/A</v>
      </c>
    </row>
    <row r="16" spans="2:14" x14ac:dyDescent="0.2">
      <c r="B16" s="537" t="str">
        <f>'Program Descriptions'!C17</f>
        <v>Discont'd Res Solutions</v>
      </c>
      <c r="C16" s="537" t="str">
        <f>IF(B16="Empty","",'Program Descriptions'!E17)</f>
        <v>Residential</v>
      </c>
      <c r="D16" s="537" t="str">
        <f>IF(B16="Empty","",'Program Descriptions'!F17)</f>
        <v>Prescriptive/Standard Offer</v>
      </c>
      <c r="E16" s="537" t="str">
        <f>IF(B16="Empty","",'Program Descriptions'!G17)</f>
        <v>Trade Ally</v>
      </c>
      <c r="F16" s="538">
        <f>Budgets!D17</f>
        <v>0</v>
      </c>
      <c r="G16" s="538">
        <f>Budgets!E17</f>
        <v>0</v>
      </c>
      <c r="H16" s="538">
        <f>Budgets!F17</f>
        <v>0</v>
      </c>
      <c r="I16" s="538">
        <f>Budgets!G17</f>
        <v>0</v>
      </c>
      <c r="J16" s="538">
        <f>Budgets!H17</f>
        <v>0</v>
      </c>
      <c r="K16" s="539">
        <f t="shared" si="0"/>
        <v>0</v>
      </c>
      <c r="L16" s="540">
        <f>IF(Demand_1=NG_Demand,"n/a",'Savings &amp; Participants'!D18)</f>
        <v>0</v>
      </c>
      <c r="M16" s="540">
        <f>'Savings &amp; Participants'!E18</f>
        <v>0</v>
      </c>
      <c r="N16" s="540" t="str">
        <f>'Savings &amp; Participants'!G18</f>
        <v>N/A</v>
      </c>
    </row>
    <row r="17" spans="2:20" x14ac:dyDescent="0.2">
      <c r="B17" s="537" t="str">
        <f>'Program Descriptions'!C18</f>
        <v>Discont'd R ES Appliance</v>
      </c>
      <c r="C17" s="537" t="str">
        <f>IF(B17="Empty","",'Program Descriptions'!E18)</f>
        <v>Residential</v>
      </c>
      <c r="D17" s="537" t="str">
        <f>IF(B17="Empty","",'Program Descriptions'!F18)</f>
        <v>Consumer Product Rebate</v>
      </c>
      <c r="E17" s="537" t="str">
        <f>IF(B17="Empty","",'Program Descriptions'!G18)</f>
        <v>Retail Outlets</v>
      </c>
      <c r="F17" s="538">
        <f>Budgets!D18</f>
        <v>0</v>
      </c>
      <c r="G17" s="538">
        <f>Budgets!E18</f>
        <v>0</v>
      </c>
      <c r="H17" s="538">
        <f>Budgets!F18</f>
        <v>0</v>
      </c>
      <c r="I17" s="538">
        <f>Budgets!G18</f>
        <v>0</v>
      </c>
      <c r="J17" s="538">
        <f>Budgets!H18</f>
        <v>0</v>
      </c>
      <c r="K17" s="539">
        <f t="shared" si="0"/>
        <v>0</v>
      </c>
      <c r="L17" s="540">
        <f>IF(Demand_1=NG_Demand,"n/a",'Savings &amp; Participants'!D19)</f>
        <v>0</v>
      </c>
      <c r="M17" s="540">
        <f>'Savings &amp; Participants'!E19</f>
        <v>0</v>
      </c>
      <c r="N17" s="540" t="str">
        <f>'Savings &amp; Participants'!G19</f>
        <v>N/A</v>
      </c>
    </row>
    <row r="18" spans="2:20" x14ac:dyDescent="0.2">
      <c r="B18" s="537" t="str">
        <f>'Program Descriptions'!C19</f>
        <v>Discont'd ARWX (AWIP)</v>
      </c>
      <c r="C18" s="537" t="str">
        <f>IF(B18="Empty","",'Program Descriptions'!E19)</f>
        <v>Residential</v>
      </c>
      <c r="D18" s="537" t="str">
        <f>IF(B18="Empty","",'Program Descriptions'!F19)</f>
        <v>Whole Home</v>
      </c>
      <c r="E18" s="537" t="str">
        <f>IF(B18="Empty","",'Program Descriptions'!G19)</f>
        <v>Statewide Administrator</v>
      </c>
      <c r="F18" s="538">
        <f>Budgets!D19</f>
        <v>0</v>
      </c>
      <c r="G18" s="538">
        <f>Budgets!E19</f>
        <v>0</v>
      </c>
      <c r="H18" s="538">
        <f>Budgets!F19</f>
        <v>0</v>
      </c>
      <c r="I18" s="538">
        <f>Budgets!G19</f>
        <v>0</v>
      </c>
      <c r="J18" s="538">
        <f>Budgets!H19</f>
        <v>0</v>
      </c>
      <c r="K18" s="539">
        <f t="shared" si="0"/>
        <v>0</v>
      </c>
      <c r="L18" s="540">
        <f>IF(Demand_1=NG_Demand,"n/a",'Savings &amp; Participants'!D20)</f>
        <v>0</v>
      </c>
      <c r="M18" s="540">
        <f>'Savings &amp; Participants'!E20</f>
        <v>0</v>
      </c>
      <c r="N18" s="540" t="str">
        <f>'Savings &amp; Participants'!G20</f>
        <v>N/A</v>
      </c>
    </row>
    <row r="19" spans="2:20" x14ac:dyDescent="0.2">
      <c r="B19" s="537" t="str">
        <f>'Program Descriptions'!C20</f>
        <v>New Construction (NCP)</v>
      </c>
      <c r="C19" s="537" t="str">
        <f>IF(B19="Empty","",'Program Descriptions'!E20)</f>
        <v>Res/C&amp;I</v>
      </c>
      <c r="D19" s="537" t="str">
        <f>IF(B19="Empty","",'Program Descriptions'!F20)</f>
        <v>Prescriptive/Standard Offer</v>
      </c>
      <c r="E19" s="537" t="str">
        <f>IF(B19="Empty","",'Program Descriptions'!G20)</f>
        <v>Trade Ally</v>
      </c>
      <c r="F19" s="538">
        <f>Budgets!D20</f>
        <v>3300</v>
      </c>
      <c r="G19" s="538">
        <f>Budgets!E20</f>
        <v>79211</v>
      </c>
      <c r="H19" s="538">
        <f>Budgets!F20</f>
        <v>279279</v>
      </c>
      <c r="I19" s="538">
        <f>Budgets!G20</f>
        <v>4696</v>
      </c>
      <c r="J19" s="538">
        <f>Budgets!H20</f>
        <v>49507</v>
      </c>
      <c r="K19" s="539">
        <f t="shared" si="0"/>
        <v>415993</v>
      </c>
      <c r="L19" s="540">
        <f>IF(Demand_1=NG_Demand,"n/a",'Savings &amp; Participants'!D21)</f>
        <v>120.19799999999999</v>
      </c>
      <c r="M19" s="540">
        <f>'Savings &amp; Participants'!E21</f>
        <v>727832</v>
      </c>
      <c r="N19" s="540">
        <f>'Savings &amp; Participants'!G21</f>
        <v>160</v>
      </c>
    </row>
    <row r="20" spans="2:20" x14ac:dyDescent="0.2">
      <c r="B20" s="537" t="str">
        <f>'Program Descriptions'!C21</f>
        <v>Strat Energy Mgmt (SEMP)</v>
      </c>
      <c r="C20" s="537" t="str">
        <f>IF(B20="Empty","",'Program Descriptions'!E21)</f>
        <v>Res/Small Business</v>
      </c>
      <c r="D20" s="537" t="str">
        <f>IF(B20="Empty","",'Program Descriptions'!F21)</f>
        <v>Behavior/Education</v>
      </c>
      <c r="E20" s="537" t="str">
        <f>IF(B20="Empty","",'Program Descriptions'!G21)</f>
        <v>Utility Outreach (email/direct mail)</v>
      </c>
      <c r="F20" s="538">
        <f>Budgets!D21</f>
        <v>6809</v>
      </c>
      <c r="G20" s="538">
        <f>Budgets!E21</f>
        <v>204272</v>
      </c>
      <c r="H20" s="538">
        <f>Budgets!F21</f>
        <v>209655</v>
      </c>
      <c r="I20" s="538">
        <f>Budgets!G21</f>
        <v>9000</v>
      </c>
      <c r="J20" s="538">
        <f>Budgets!H21</f>
        <v>129373</v>
      </c>
      <c r="K20" s="539">
        <f t="shared" si="0"/>
        <v>559109</v>
      </c>
      <c r="L20" s="540">
        <f>IF(Demand_1=NG_Demand,"n/a",'Savings &amp; Participants'!D22)</f>
        <v>643</v>
      </c>
      <c r="M20" s="540">
        <f>'Savings &amp; Participants'!E22</f>
        <v>5850291</v>
      </c>
      <c r="N20" s="540">
        <f>'Savings &amp; Participants'!G22</f>
        <v>51</v>
      </c>
    </row>
    <row r="21" spans="2:20" x14ac:dyDescent="0.2">
      <c r="B21" s="537" t="str">
        <f>'Program Descriptions'!C22</f>
        <v>Bring Y/Otstat (BYOT)</v>
      </c>
      <c r="C21" s="537" t="str">
        <f>IF(B21="Empty","",'Program Descriptions'!E22)</f>
        <v>Res/Small Business</v>
      </c>
      <c r="D21" s="537" t="str">
        <f>IF(B21="Empty","",'Program Descriptions'!F22)</f>
        <v>Demand Response</v>
      </c>
      <c r="E21" s="537" t="str">
        <f>IF(B21="Empty","",'Program Descriptions'!G22)</f>
        <v>Utility Outreach (email/direct mail)</v>
      </c>
      <c r="F21" s="538">
        <f>Budgets!D22</f>
        <v>6714</v>
      </c>
      <c r="G21" s="538">
        <f>Budgets!E22</f>
        <v>223803</v>
      </c>
      <c r="H21" s="538">
        <f>Budgets!F22</f>
        <v>160675</v>
      </c>
      <c r="I21" s="538">
        <f>Budgets!G22</f>
        <v>22000</v>
      </c>
      <c r="J21" s="538">
        <f>Budgets!H22</f>
        <v>67887</v>
      </c>
      <c r="K21" s="539">
        <f t="shared" si="0"/>
        <v>481079</v>
      </c>
      <c r="L21" s="540">
        <f>IF(Demand_1=NG_Demand,"n/a",'Savings &amp; Participants'!D23)</f>
        <v>4320.3599999999997</v>
      </c>
      <c r="M21" s="540">
        <f>'Savings &amp; Participants'!E23</f>
        <v>61638</v>
      </c>
      <c r="N21" s="540">
        <f>'Savings &amp; Participants'!G23</f>
        <v>1338</v>
      </c>
    </row>
    <row r="22" spans="2:20" x14ac:dyDescent="0.2">
      <c r="B22" s="537" t="str">
        <f>'Program Descriptions'!C23</f>
        <v>Empty</v>
      </c>
      <c r="C22" s="537" t="str">
        <f>IF(B22="Empty","",'Program Descriptions'!E23)</f>
        <v/>
      </c>
      <c r="D22" s="537" t="str">
        <f>IF(B22="Empty","",'Program Descriptions'!F23)</f>
        <v/>
      </c>
      <c r="E22" s="537" t="str">
        <f>IF(B22="Empty","",'Program Descriptions'!G23)</f>
        <v/>
      </c>
      <c r="F22" s="538">
        <f>Budgets!D23</f>
        <v>0</v>
      </c>
      <c r="G22" s="538">
        <f>Budgets!E23</f>
        <v>0</v>
      </c>
      <c r="H22" s="538">
        <f>Budgets!F23</f>
        <v>0</v>
      </c>
      <c r="I22" s="538">
        <f>Budgets!G23</f>
        <v>0</v>
      </c>
      <c r="J22" s="538">
        <f>Budgets!H23</f>
        <v>0</v>
      </c>
      <c r="K22" s="539">
        <f t="shared" si="0"/>
        <v>0</v>
      </c>
      <c r="L22" s="540">
        <f>IF(Demand_1=NG_Demand,"n/a",'Savings &amp; Participants'!D24)</f>
        <v>0</v>
      </c>
      <c r="M22" s="540">
        <f>'Savings &amp; Participants'!E24</f>
        <v>0</v>
      </c>
      <c r="N22" s="540">
        <f>'Savings &amp; Participants'!G24</f>
        <v>0</v>
      </c>
    </row>
    <row r="23" spans="2:20" x14ac:dyDescent="0.2">
      <c r="B23" s="537" t="str">
        <f>'Program Descriptions'!C24</f>
        <v>Empty</v>
      </c>
      <c r="C23" s="537" t="str">
        <f>IF(B23="Empty","",'Program Descriptions'!E24)</f>
        <v/>
      </c>
      <c r="D23" s="537" t="str">
        <f>IF(B23="Empty","",'Program Descriptions'!F24)</f>
        <v/>
      </c>
      <c r="E23" s="537" t="str">
        <f>IF(B23="Empty","",'Program Descriptions'!G24)</f>
        <v/>
      </c>
      <c r="F23" s="538">
        <f>Budgets!D24</f>
        <v>0</v>
      </c>
      <c r="G23" s="538">
        <f>Budgets!E24</f>
        <v>0</v>
      </c>
      <c r="H23" s="538">
        <f>Budgets!F24</f>
        <v>0</v>
      </c>
      <c r="I23" s="538">
        <f>Budgets!G24</f>
        <v>0</v>
      </c>
      <c r="J23" s="538">
        <f>Budgets!H24</f>
        <v>0</v>
      </c>
      <c r="K23" s="539">
        <f t="shared" si="0"/>
        <v>0</v>
      </c>
      <c r="L23" s="540">
        <f>IF(Demand_1=NG_Demand,"n/a",'Savings &amp; Participants'!D25)</f>
        <v>0</v>
      </c>
      <c r="M23" s="540">
        <f>'Savings &amp; Participants'!E25</f>
        <v>0</v>
      </c>
      <c r="N23" s="540">
        <f>'Savings &amp; Participants'!G25</f>
        <v>0</v>
      </c>
    </row>
    <row r="24" spans="2:20" x14ac:dyDescent="0.2">
      <c r="B24" s="267" t="str">
        <f>Budgets!H26</f>
        <v>Regulatory</v>
      </c>
      <c r="C24" s="541" t="s">
        <v>191</v>
      </c>
      <c r="D24" s="541" t="s">
        <v>191</v>
      </c>
      <c r="E24" s="541" t="s">
        <v>191</v>
      </c>
      <c r="F24" s="538"/>
      <c r="G24" s="538"/>
      <c r="H24" s="538"/>
      <c r="I24" s="538"/>
      <c r="J24" s="538"/>
      <c r="K24" s="539">
        <f>Budgets!I26</f>
        <v>117000</v>
      </c>
      <c r="L24" s="540"/>
      <c r="M24" s="540"/>
      <c r="N24" s="540"/>
    </row>
    <row r="25" spans="2:20" x14ac:dyDescent="0.2">
      <c r="F25" s="538">
        <f t="shared" ref="F25:N25" si="1">SUM(F4:F23)</f>
        <v>177948</v>
      </c>
      <c r="G25" s="538">
        <f t="shared" si="1"/>
        <v>4477733</v>
      </c>
      <c r="H25" s="538">
        <f t="shared" si="1"/>
        <v>7840876</v>
      </c>
      <c r="I25" s="538">
        <f t="shared" si="1"/>
        <v>371243</v>
      </c>
      <c r="J25" s="538">
        <f t="shared" si="1"/>
        <v>1320764</v>
      </c>
      <c r="K25" s="539">
        <f>SUM(K4:K24)</f>
        <v>14305564</v>
      </c>
      <c r="L25" s="540">
        <f t="shared" si="1"/>
        <v>29331.187999999998</v>
      </c>
      <c r="M25" s="540">
        <f t="shared" si="1"/>
        <v>38312140</v>
      </c>
      <c r="N25" s="540">
        <f t="shared" si="1"/>
        <v>26851</v>
      </c>
    </row>
    <row r="27" spans="2:20" x14ac:dyDescent="0.2">
      <c r="B27" s="90" t="s">
        <v>771</v>
      </c>
    </row>
    <row r="28" spans="2:20" ht="38.25" x14ac:dyDescent="0.2">
      <c r="B28" s="535" t="str">
        <f t="shared" ref="B28:B49" si="2">B3</f>
        <v>Program Name</v>
      </c>
      <c r="C28" s="535" t="str">
        <f t="shared" ref="C28:N28" si="3">C3</f>
        <v>Sector</v>
      </c>
      <c r="D28" s="535" t="str">
        <f t="shared" si="3"/>
        <v>Type</v>
      </c>
      <c r="E28" s="535" t="str">
        <f t="shared" si="3"/>
        <v>Channel</v>
      </c>
      <c r="F28" s="536" t="str">
        <f t="shared" si="3"/>
        <v>Planning / Design</v>
      </c>
      <c r="G28" s="536" t="str">
        <f t="shared" si="3"/>
        <v>Marketing &amp; Delivery</v>
      </c>
      <c r="H28" s="536" t="str">
        <f t="shared" si="3"/>
        <v>Incentives / Direct Install Costs</v>
      </c>
      <c r="I28" s="536" t="str">
        <f t="shared" si="3"/>
        <v>EM&amp;V</v>
      </c>
      <c r="J28" s="536" t="str">
        <f t="shared" si="3"/>
        <v>Administration</v>
      </c>
      <c r="K28" s="536" t="str">
        <f t="shared" si="3"/>
        <v>Total</v>
      </c>
      <c r="L28" s="536" t="str">
        <f t="shared" si="3"/>
        <v>Demand 
Savings</v>
      </c>
      <c r="M28" s="536" t="str">
        <f t="shared" si="3"/>
        <v>Energy 
Savings</v>
      </c>
      <c r="N28" s="536" t="str">
        <f t="shared" si="3"/>
        <v>Participants</v>
      </c>
      <c r="O28" s="536" t="s">
        <v>772</v>
      </c>
      <c r="P28" s="536" t="s">
        <v>773</v>
      </c>
      <c r="Q28" s="536" t="s">
        <v>774</v>
      </c>
      <c r="R28" s="536" t="s">
        <v>775</v>
      </c>
      <c r="S28" s="536" t="s">
        <v>776</v>
      </c>
      <c r="T28" s="536" t="s">
        <v>441</v>
      </c>
    </row>
    <row r="29" spans="2:20" x14ac:dyDescent="0.2">
      <c r="B29" s="537" t="str">
        <f t="shared" si="2"/>
        <v>Load Mgt (LMP)</v>
      </c>
      <c r="C29" s="537" t="str">
        <f t="shared" ref="C29:E48" si="4">C4</f>
        <v>Commercial &amp; Industrial</v>
      </c>
      <c r="D29" s="537" t="str">
        <f t="shared" si="4"/>
        <v>Demand Response</v>
      </c>
      <c r="E29" s="537" t="str">
        <f t="shared" si="4"/>
        <v>Utility Outreach (email/direct mail)</v>
      </c>
      <c r="F29" s="538">
        <f>'Actual Expenses'!D5</f>
        <v>0</v>
      </c>
      <c r="G29" s="538">
        <f>'Actual Expenses'!E5</f>
        <v>321838.43</v>
      </c>
      <c r="H29" s="538">
        <f>'Actual Expenses'!F5</f>
        <v>419500.86</v>
      </c>
      <c r="I29" s="538">
        <f>'Actual Expenses'!G5</f>
        <v>23737.68</v>
      </c>
      <c r="J29" s="538">
        <f>'Actual Expenses'!H5</f>
        <v>21294.36</v>
      </c>
      <c r="K29" s="539">
        <f>SUM(F29:J29)</f>
        <v>786371.33000000007</v>
      </c>
      <c r="L29" s="540">
        <f>IF(Demand_1=NG_Demand,"n/a",'Evaluated Savings'!D6)</f>
        <v>8209.93</v>
      </c>
      <c r="M29" s="540">
        <f>'Evaluated Savings'!E6</f>
        <v>166783</v>
      </c>
      <c r="N29" s="540">
        <f>'Evaluated Savings'!G6</f>
        <v>19</v>
      </c>
      <c r="O29" s="540">
        <f>'Cost-Benefits'!F7</f>
        <v>166.78299999999999</v>
      </c>
      <c r="P29" s="538">
        <f>'Cost-Benefits'!G7</f>
        <v>366.87</v>
      </c>
      <c r="Q29" s="538">
        <f>'Cost-Benefits'!H7</f>
        <v>618.20899999999995</v>
      </c>
      <c r="R29" s="538">
        <f>'Cost-Benefits'!I7</f>
        <v>251.33899999999994</v>
      </c>
      <c r="S29" s="542">
        <f>'Cost-Benefits'!J7</f>
        <v>1.6850900864066289</v>
      </c>
      <c r="T29" s="543">
        <f>'Cost-Benefits'!L7</f>
        <v>2.3039496711295464</v>
      </c>
    </row>
    <row r="30" spans="2:20" x14ac:dyDescent="0.2">
      <c r="B30" s="537" t="str">
        <f t="shared" si="2"/>
        <v>Comm &amp; Industrial (CIEEP)</v>
      </c>
      <c r="C30" s="537" t="str">
        <f t="shared" si="4"/>
        <v>Commercial &amp; Industrial</v>
      </c>
      <c r="D30" s="537" t="str">
        <f t="shared" si="4"/>
        <v>Other</v>
      </c>
      <c r="E30" s="537" t="str">
        <f t="shared" si="4"/>
        <v>Trade Ally</v>
      </c>
      <c r="F30" s="538">
        <f>'Actual Expenses'!D9</f>
        <v>565.71</v>
      </c>
      <c r="G30" s="538">
        <f>'Actual Expenses'!E9</f>
        <v>1329278.3600000001</v>
      </c>
      <c r="H30" s="538">
        <f>'Actual Expenses'!F9</f>
        <v>1383839.39</v>
      </c>
      <c r="I30" s="538">
        <f>'Actual Expenses'!G9</f>
        <v>91440</v>
      </c>
      <c r="J30" s="538">
        <f>'Actual Expenses'!H9</f>
        <v>123631.51999999999</v>
      </c>
      <c r="K30" s="539">
        <f t="shared" ref="K30:K48" si="5">SUM(F30:J30)</f>
        <v>2928754.98</v>
      </c>
      <c r="L30" s="540">
        <f>IF(Demand_1=NG_Demand,"n/a",'Evaluated Savings'!D7)</f>
        <v>1270.3900000000001</v>
      </c>
      <c r="M30" s="540">
        <f>'Evaluated Savings'!E7</f>
        <v>8691274</v>
      </c>
      <c r="N30" s="540">
        <f>'Evaluated Savings'!G7</f>
        <v>462</v>
      </c>
      <c r="O30" s="540">
        <f>'Cost-Benefits'!F8</f>
        <v>127814.393</v>
      </c>
      <c r="P30" s="538">
        <f>'Cost-Benefits'!G8</f>
        <v>4399.2529999999997</v>
      </c>
      <c r="Q30" s="538">
        <f>'Cost-Benefits'!H8</f>
        <v>5596.9120000000003</v>
      </c>
      <c r="R30" s="538">
        <f>'Cost-Benefits'!I8</f>
        <v>1197.6590000000006</v>
      </c>
      <c r="S30" s="542">
        <f>'Cost-Benefits'!J8</f>
        <v>1.2722414464455671</v>
      </c>
      <c r="T30" s="543">
        <f>'Cost-Benefits'!L8</f>
        <v>4.8575973103719493E-2</v>
      </c>
    </row>
    <row r="31" spans="2:20" x14ac:dyDescent="0.2">
      <c r="B31" s="537" t="str">
        <f t="shared" si="2"/>
        <v>Small Business (SBP)</v>
      </c>
      <c r="C31" s="537" t="str">
        <f t="shared" si="4"/>
        <v>Small Business/C&amp;I</v>
      </c>
      <c r="D31" s="537" t="str">
        <f t="shared" si="4"/>
        <v>Prescriptive/Standard Offer</v>
      </c>
      <c r="E31" s="537" t="str">
        <f t="shared" si="4"/>
        <v>Trade Ally</v>
      </c>
      <c r="F31" s="538">
        <f>'Actual Expenses'!D13</f>
        <v>13638.63</v>
      </c>
      <c r="G31" s="538">
        <f>'Actual Expenses'!E13</f>
        <v>520599.67000000004</v>
      </c>
      <c r="H31" s="538">
        <f>'Actual Expenses'!F13</f>
        <v>867461.66</v>
      </c>
      <c r="I31" s="538">
        <f>'Actual Expenses'!G13</f>
        <v>91521.26</v>
      </c>
      <c r="J31" s="538">
        <f>'Actual Expenses'!H13</f>
        <v>52407.740000000005</v>
      </c>
      <c r="K31" s="539">
        <f t="shared" si="5"/>
        <v>1545628.96</v>
      </c>
      <c r="L31" s="540">
        <f>IF(Demand_1=NG_Demand,"n/a",'Evaluated Savings'!D8)</f>
        <v>1068.72</v>
      </c>
      <c r="M31" s="540">
        <f>'Evaluated Savings'!E8</f>
        <v>4161317</v>
      </c>
      <c r="N31" s="540">
        <f>'Evaluated Savings'!G8</f>
        <v>645</v>
      </c>
      <c r="O31" s="540">
        <f>'Cost-Benefits'!F9</f>
        <v>45473.733</v>
      </c>
      <c r="P31" s="538">
        <f>'Cost-Benefits'!G9</f>
        <v>1507.752</v>
      </c>
      <c r="Q31" s="538">
        <f>'Cost-Benefits'!H9</f>
        <v>2502.1550000000002</v>
      </c>
      <c r="R31" s="538">
        <f>'Cost-Benefits'!I9</f>
        <v>994.40300000000025</v>
      </c>
      <c r="S31" s="542">
        <f>'Cost-Benefits'!J9</f>
        <v>1.6595268983228013</v>
      </c>
      <c r="T31" s="543">
        <f>'Cost-Benefits'!L9</f>
        <v>4.3244623189936021E-2</v>
      </c>
    </row>
    <row r="32" spans="2:20" x14ac:dyDescent="0.2">
      <c r="B32" s="537" t="str">
        <f t="shared" si="2"/>
        <v>Efficient Products (EPP)</v>
      </c>
      <c r="C32" s="537" t="str">
        <f t="shared" si="4"/>
        <v>Residential</v>
      </c>
      <c r="D32" s="537" t="str">
        <f t="shared" si="4"/>
        <v>Consumer Product Rebate</v>
      </c>
      <c r="E32" s="537" t="str">
        <f t="shared" si="4"/>
        <v>Retail Outlets</v>
      </c>
      <c r="F32" s="538">
        <f>'Actual Expenses'!D17</f>
        <v>0</v>
      </c>
      <c r="G32" s="538">
        <f>'Actual Expenses'!E17</f>
        <v>298273.44</v>
      </c>
      <c r="H32" s="538">
        <f>'Actual Expenses'!F17</f>
        <v>334888.96000000002</v>
      </c>
      <c r="I32" s="538">
        <f>'Actual Expenses'!G17</f>
        <v>11208.07</v>
      </c>
      <c r="J32" s="538">
        <f>'Actual Expenses'!H17</f>
        <v>31282.97</v>
      </c>
      <c r="K32" s="539">
        <f t="shared" si="5"/>
        <v>675653.44</v>
      </c>
      <c r="L32" s="540">
        <f>IF(Demand_1=NG_Demand,"n/a",'Evaluated Savings'!D9)</f>
        <v>290.13</v>
      </c>
      <c r="M32" s="540">
        <f>'Evaluated Savings'!E9</f>
        <v>3792328</v>
      </c>
      <c r="N32" s="540">
        <f>'Evaluated Savings'!G9</f>
        <v>129782</v>
      </c>
      <c r="O32" s="540">
        <f>'Cost-Benefits'!F10</f>
        <v>45597.411</v>
      </c>
      <c r="P32" s="538">
        <f>'Cost-Benefits'!G10</f>
        <v>1002.715</v>
      </c>
      <c r="Q32" s="538">
        <f>'Cost-Benefits'!H10</f>
        <v>2356.4169999999999</v>
      </c>
      <c r="R32" s="538">
        <f>'Cost-Benefits'!I10</f>
        <v>1353.7019999999998</v>
      </c>
      <c r="S32" s="542">
        <f>'Cost-Benefits'!J10</f>
        <v>2.3500366504939088</v>
      </c>
      <c r="T32" s="543">
        <f>'Cost-Benefits'!L10</f>
        <v>2.9352760018344817E-2</v>
      </c>
    </row>
    <row r="33" spans="2:20" x14ac:dyDescent="0.2">
      <c r="B33" s="537" t="str">
        <f t="shared" si="2"/>
        <v>Res Energy Imprv (REIP)</v>
      </c>
      <c r="C33" s="537" t="str">
        <f t="shared" si="4"/>
        <v>Residential</v>
      </c>
      <c r="D33" s="537" t="str">
        <f t="shared" si="4"/>
        <v>Prescriptive/Standard Offer</v>
      </c>
      <c r="E33" s="537" t="str">
        <f t="shared" si="4"/>
        <v>Trade Ally</v>
      </c>
      <c r="F33" s="538">
        <f>'Actual Expenses'!D21</f>
        <v>681.46</v>
      </c>
      <c r="G33" s="538">
        <f>'Actual Expenses'!E21</f>
        <v>848327.21</v>
      </c>
      <c r="H33" s="538">
        <f>'Actual Expenses'!F21</f>
        <v>1807586.05</v>
      </c>
      <c r="I33" s="538">
        <f>'Actual Expenses'!G21</f>
        <v>105915.51</v>
      </c>
      <c r="J33" s="538">
        <f>'Actual Expenses'!H21</f>
        <v>79315.850000000006</v>
      </c>
      <c r="K33" s="539">
        <f t="shared" si="5"/>
        <v>2841826.0799999996</v>
      </c>
      <c r="L33" s="540">
        <f>IF(Demand_1=NG_Demand,"n/a",'Evaluated Savings'!D10)</f>
        <v>642.01</v>
      </c>
      <c r="M33" s="540">
        <f>'Evaluated Savings'!E10</f>
        <v>7788226</v>
      </c>
      <c r="N33" s="540">
        <f>'Evaluated Savings'!G10</f>
        <v>6238</v>
      </c>
      <c r="O33" s="540">
        <f>'Cost-Benefits'!F11</f>
        <v>117124.44500000001</v>
      </c>
      <c r="P33" s="538">
        <f>'Cost-Benefits'!G11</f>
        <v>2982.0630000000001</v>
      </c>
      <c r="Q33" s="538">
        <f>'Cost-Benefits'!H11</f>
        <v>4615.1509999999998</v>
      </c>
      <c r="R33" s="538">
        <f>'Cost-Benefits'!I11</f>
        <v>1633.0879999999997</v>
      </c>
      <c r="S33" s="542">
        <f>'Cost-Benefits'!J11</f>
        <v>1.5476369882192293</v>
      </c>
      <c r="T33" s="543">
        <f>'Cost-Benefits'!L11</f>
        <v>3.6178898194397867E-2</v>
      </c>
    </row>
    <row r="34" spans="2:20" x14ac:dyDescent="0.2">
      <c r="B34" s="537" t="str">
        <f t="shared" si="2"/>
        <v>Home Weatherization (HWP)</v>
      </c>
      <c r="C34" s="537" t="str">
        <f t="shared" si="4"/>
        <v>Residential</v>
      </c>
      <c r="D34" s="537" t="str">
        <f t="shared" si="4"/>
        <v>Whole Home</v>
      </c>
      <c r="E34" s="537" t="str">
        <f t="shared" si="4"/>
        <v>Trade Ally</v>
      </c>
      <c r="F34" s="538">
        <f>'Actual Expenses'!D25</f>
        <v>2272.81</v>
      </c>
      <c r="G34" s="538">
        <f>'Actual Expenses'!E25</f>
        <v>607982.77</v>
      </c>
      <c r="H34" s="538">
        <f>'Actual Expenses'!F25</f>
        <v>1300623.31</v>
      </c>
      <c r="I34" s="538">
        <f>'Actual Expenses'!G25</f>
        <v>107410.09</v>
      </c>
      <c r="J34" s="538">
        <f>'Actual Expenses'!H25</f>
        <v>47855.03</v>
      </c>
      <c r="K34" s="539">
        <f t="shared" si="5"/>
        <v>2066144.0100000002</v>
      </c>
      <c r="L34" s="540">
        <f>IF(Demand_1=NG_Demand,"n/a",'Evaluated Savings'!D11)</f>
        <v>1194.19</v>
      </c>
      <c r="M34" s="540">
        <f>'Evaluated Savings'!E11</f>
        <v>3106874</v>
      </c>
      <c r="N34" s="540">
        <f>'Evaluated Savings'!G11</f>
        <v>1180</v>
      </c>
      <c r="O34" s="540">
        <f>'Cost-Benefits'!F12</f>
        <v>72756.159</v>
      </c>
      <c r="P34" s="538">
        <f>'Cost-Benefits'!G12</f>
        <v>2069.826</v>
      </c>
      <c r="Q34" s="538">
        <f>'Cost-Benefits'!H12</f>
        <v>4858.973</v>
      </c>
      <c r="R34" s="538">
        <f>'Cost-Benefits'!I12</f>
        <v>2789.1469999999999</v>
      </c>
      <c r="S34" s="542">
        <f>'Cost-Benefits'!J12</f>
        <v>2.3475272800708851</v>
      </c>
      <c r="T34" s="543">
        <f>'Cost-Benefits'!L12</f>
        <v>4.7706448672980427E-2</v>
      </c>
    </row>
    <row r="35" spans="2:20" x14ac:dyDescent="0.2">
      <c r="B35" s="537" t="str">
        <f t="shared" si="2"/>
        <v>Discont'd EE AR (EEA)</v>
      </c>
      <c r="C35" s="537" t="str">
        <f t="shared" si="4"/>
        <v>All Classes</v>
      </c>
      <c r="D35" s="537" t="str">
        <f t="shared" si="4"/>
        <v>Behavior/Education</v>
      </c>
      <c r="E35" s="537" t="str">
        <f t="shared" si="4"/>
        <v>Statewide Administrator</v>
      </c>
      <c r="F35" s="538">
        <f>'Actual Expenses'!D29</f>
        <v>0</v>
      </c>
      <c r="G35" s="538">
        <f>'Actual Expenses'!E29</f>
        <v>0</v>
      </c>
      <c r="H35" s="538">
        <f>'Actual Expenses'!F29</f>
        <v>0</v>
      </c>
      <c r="I35" s="538">
        <f>'Actual Expenses'!G29</f>
        <v>0</v>
      </c>
      <c r="J35" s="538">
        <f>'Actual Expenses'!H29</f>
        <v>0</v>
      </c>
      <c r="K35" s="539">
        <f t="shared" si="5"/>
        <v>0</v>
      </c>
      <c r="L35" s="540">
        <f>IF(Demand_1=NG_Demand,"n/a",'Evaluated Savings'!D12)</f>
        <v>0</v>
      </c>
      <c r="M35" s="540">
        <f>'Evaluated Savings'!E12</f>
        <v>0</v>
      </c>
      <c r="N35" s="540">
        <f>'Evaluated Savings'!G12</f>
        <v>0</v>
      </c>
      <c r="O35" s="540">
        <f>'Cost-Benefits'!F13</f>
        <v>0</v>
      </c>
      <c r="P35" s="538">
        <f>'Cost-Benefits'!G13</f>
        <v>0</v>
      </c>
      <c r="Q35" s="538">
        <f>'Cost-Benefits'!H13</f>
        <v>0</v>
      </c>
      <c r="R35" s="538">
        <f>'Cost-Benefits'!I13</f>
        <v>0</v>
      </c>
      <c r="S35" s="542" t="str">
        <f>'Cost-Benefits'!J13</f>
        <v>n/a</v>
      </c>
      <c r="T35" s="543" t="str">
        <f>'Cost-Benefits'!L13</f>
        <v>n/a</v>
      </c>
    </row>
    <row r="36" spans="2:20" x14ac:dyDescent="0.2">
      <c r="B36" s="537" t="str">
        <f t="shared" si="2"/>
        <v>Discont'd Onlne Audt(OLA)</v>
      </c>
      <c r="C36" s="537" t="str">
        <f t="shared" si="4"/>
        <v>Residential</v>
      </c>
      <c r="D36" s="537" t="str">
        <f t="shared" si="4"/>
        <v>Behavior/Education</v>
      </c>
      <c r="E36" s="537" t="str">
        <f t="shared" si="4"/>
        <v>Website</v>
      </c>
      <c r="F36" s="538">
        <f>'Actual Expenses'!D33</f>
        <v>0</v>
      </c>
      <c r="G36" s="538">
        <f>'Actual Expenses'!E33</f>
        <v>0</v>
      </c>
      <c r="H36" s="538">
        <f>'Actual Expenses'!F33</f>
        <v>0</v>
      </c>
      <c r="I36" s="538">
        <f>'Actual Expenses'!G33</f>
        <v>0</v>
      </c>
      <c r="J36" s="538">
        <f>'Actual Expenses'!H33</f>
        <v>0</v>
      </c>
      <c r="K36" s="539">
        <f t="shared" si="5"/>
        <v>0</v>
      </c>
      <c r="L36" s="540">
        <f>IF(Demand_1=NG_Demand,"n/a",'Evaluated Savings'!D13)</f>
        <v>0</v>
      </c>
      <c r="M36" s="540">
        <f>'Evaluated Savings'!E13</f>
        <v>0</v>
      </c>
      <c r="N36" s="540">
        <f>'Evaluated Savings'!G13</f>
        <v>0</v>
      </c>
      <c r="O36" s="540">
        <f>'Cost-Benefits'!F14</f>
        <v>0</v>
      </c>
      <c r="P36" s="538">
        <f>'Cost-Benefits'!G14</f>
        <v>0</v>
      </c>
      <c r="Q36" s="538">
        <f>'Cost-Benefits'!H14</f>
        <v>0</v>
      </c>
      <c r="R36" s="538">
        <f>'Cost-Benefits'!I14</f>
        <v>0</v>
      </c>
      <c r="S36" s="542" t="str">
        <f>'Cost-Benefits'!J14</f>
        <v>n/a</v>
      </c>
      <c r="T36" s="543" t="str">
        <f>'Cost-Benefits'!L14</f>
        <v>n/a</v>
      </c>
    </row>
    <row r="37" spans="2:20" x14ac:dyDescent="0.2">
      <c r="B37" s="537" t="str">
        <f t="shared" si="2"/>
        <v>Income Qualified (IQW)</v>
      </c>
      <c r="C37" s="537" t="str">
        <f t="shared" si="4"/>
        <v>Residential</v>
      </c>
      <c r="D37" s="537" t="str">
        <f t="shared" si="4"/>
        <v>Whole Home</v>
      </c>
      <c r="E37" s="537" t="str">
        <f t="shared" si="4"/>
        <v>Trade Ally</v>
      </c>
      <c r="F37" s="538">
        <f>'Actual Expenses'!D37</f>
        <v>0</v>
      </c>
      <c r="G37" s="538">
        <f>'Actual Expenses'!E37</f>
        <v>265942.03000000003</v>
      </c>
      <c r="H37" s="538">
        <f>'Actual Expenses'!F37</f>
        <v>801439.52</v>
      </c>
      <c r="I37" s="538">
        <f>'Actual Expenses'!G37</f>
        <v>14290.84</v>
      </c>
      <c r="J37" s="538">
        <f>'Actual Expenses'!H37</f>
        <v>29916.39</v>
      </c>
      <c r="K37" s="539">
        <f t="shared" si="5"/>
        <v>1111588.78</v>
      </c>
      <c r="L37" s="540">
        <f>IF(Demand_1=NG_Demand,"n/a",'Evaluated Savings'!D14)</f>
        <v>605.71</v>
      </c>
      <c r="M37" s="540">
        <f>'Evaluated Savings'!E14</f>
        <v>1700442</v>
      </c>
      <c r="N37" s="540">
        <f>'Evaluated Savings'!G14</f>
        <v>695</v>
      </c>
      <c r="O37" s="540">
        <f>'Cost-Benefits'!F15</f>
        <v>32264.522000000001</v>
      </c>
      <c r="P37" s="538">
        <f>'Cost-Benefits'!G15</f>
        <v>1110.9390000000001</v>
      </c>
      <c r="Q37" s="538">
        <f>'Cost-Benefits'!H15</f>
        <v>2465.4940000000001</v>
      </c>
      <c r="R37" s="538">
        <f>'Cost-Benefits'!I15</f>
        <v>1354.5550000000001</v>
      </c>
      <c r="S37" s="542">
        <f>'Cost-Benefits'!J15</f>
        <v>2.2192883677681672</v>
      </c>
      <c r="T37" s="543">
        <f>'Cost-Benefits'!L15</f>
        <v>5.2964706420890954E-2</v>
      </c>
    </row>
    <row r="38" spans="2:20" x14ac:dyDescent="0.2">
      <c r="B38" s="537" t="str">
        <f t="shared" si="2"/>
        <v>Discont'd Ele Veh (EVE)</v>
      </c>
      <c r="C38" s="537" t="str">
        <f t="shared" si="4"/>
        <v>Res/Small Business</v>
      </c>
      <c r="D38" s="537" t="str">
        <f t="shared" si="4"/>
        <v>Measure/Technology Focus</v>
      </c>
      <c r="E38" s="537" t="str">
        <f t="shared" si="4"/>
        <v>Utility Outreach (email/direct mail)</v>
      </c>
      <c r="F38" s="538">
        <f>'Actual Expenses'!D41</f>
        <v>0</v>
      </c>
      <c r="G38" s="538">
        <f>'Actual Expenses'!E41</f>
        <v>15</v>
      </c>
      <c r="H38" s="538">
        <f>'Actual Expenses'!F41</f>
        <v>0</v>
      </c>
      <c r="I38" s="538">
        <f>'Actual Expenses'!G41</f>
        <v>0.2</v>
      </c>
      <c r="J38" s="538">
        <f>'Actual Expenses'!H41</f>
        <v>0.2</v>
      </c>
      <c r="K38" s="539">
        <f t="shared" si="5"/>
        <v>15.399999999999999</v>
      </c>
      <c r="L38" s="540">
        <f>IF(Demand_1=NG_Demand,"n/a",'Evaluated Savings'!D15)</f>
        <v>0</v>
      </c>
      <c r="M38" s="540">
        <f>'Evaluated Savings'!E15</f>
        <v>0</v>
      </c>
      <c r="N38" s="540">
        <f>'Evaluated Savings'!G15</f>
        <v>0</v>
      </c>
      <c r="O38" s="540">
        <f>'Cost-Benefits'!F16</f>
        <v>0</v>
      </c>
      <c r="P38" s="538">
        <f>'Cost-Benefits'!G16</f>
        <v>0</v>
      </c>
      <c r="Q38" s="538">
        <f>'Cost-Benefits'!H16</f>
        <v>0</v>
      </c>
      <c r="R38" s="538">
        <f>'Cost-Benefits'!I16</f>
        <v>0</v>
      </c>
      <c r="S38" s="542" t="str">
        <f>'Cost-Benefits'!J16</f>
        <v>n/a</v>
      </c>
      <c r="T38" s="543" t="str">
        <f>'Cost-Benefits'!L16</f>
        <v>n/a</v>
      </c>
    </row>
    <row r="39" spans="2:20" x14ac:dyDescent="0.2">
      <c r="B39" s="537" t="str">
        <f t="shared" si="2"/>
        <v>Discont'd Comm Solutions</v>
      </c>
      <c r="C39" s="537" t="str">
        <f t="shared" si="4"/>
        <v>Commercial &amp; Industrial</v>
      </c>
      <c r="D39" s="537" t="str">
        <f t="shared" si="4"/>
        <v>Other</v>
      </c>
      <c r="E39" s="537" t="str">
        <f t="shared" si="4"/>
        <v>Trade Ally</v>
      </c>
      <c r="F39" s="538">
        <f>'Actual Expenses'!D45</f>
        <v>0</v>
      </c>
      <c r="G39" s="538">
        <f>'Actual Expenses'!E45</f>
        <v>0</v>
      </c>
      <c r="H39" s="538">
        <f>'Actual Expenses'!F45</f>
        <v>0</v>
      </c>
      <c r="I39" s="538">
        <f>'Actual Expenses'!G45</f>
        <v>0</v>
      </c>
      <c r="J39" s="538">
        <f>'Actual Expenses'!H45</f>
        <v>0</v>
      </c>
      <c r="K39" s="539">
        <f t="shared" si="5"/>
        <v>0</v>
      </c>
      <c r="L39" s="540">
        <f>IF(Demand_1=NG_Demand,"n/a",'Evaluated Savings'!D16)</f>
        <v>0</v>
      </c>
      <c r="M39" s="540">
        <f>'Evaluated Savings'!E16</f>
        <v>0</v>
      </c>
      <c r="N39" s="540">
        <f>'Evaluated Savings'!G16</f>
        <v>0</v>
      </c>
      <c r="O39" s="540">
        <f>'Cost-Benefits'!F17</f>
        <v>0</v>
      </c>
      <c r="P39" s="538">
        <f>'Cost-Benefits'!G17</f>
        <v>0</v>
      </c>
      <c r="Q39" s="538">
        <f>'Cost-Benefits'!H17</f>
        <v>0</v>
      </c>
      <c r="R39" s="538">
        <f>'Cost-Benefits'!I17</f>
        <v>0</v>
      </c>
      <c r="S39" s="542" t="str">
        <f>'Cost-Benefits'!J17</f>
        <v>n/a</v>
      </c>
      <c r="T39" s="543" t="str">
        <f>'Cost-Benefits'!L17</f>
        <v>n/a</v>
      </c>
    </row>
    <row r="40" spans="2:20" x14ac:dyDescent="0.2">
      <c r="B40" s="537" t="str">
        <f t="shared" si="2"/>
        <v>Discont'd Res Appliance</v>
      </c>
      <c r="C40" s="537" t="str">
        <f t="shared" si="4"/>
        <v>Residential</v>
      </c>
      <c r="D40" s="537" t="str">
        <f t="shared" si="4"/>
        <v>Consumer Product Rebate</v>
      </c>
      <c r="E40" s="537" t="str">
        <f t="shared" si="4"/>
        <v>Coupon Redemption</v>
      </c>
      <c r="F40" s="538">
        <f>'Actual Expenses'!D49</f>
        <v>0</v>
      </c>
      <c r="G40" s="538">
        <f>'Actual Expenses'!E49</f>
        <v>0</v>
      </c>
      <c r="H40" s="538">
        <f>'Actual Expenses'!F49</f>
        <v>0</v>
      </c>
      <c r="I40" s="538">
        <f>'Actual Expenses'!G49</f>
        <v>0</v>
      </c>
      <c r="J40" s="538">
        <f>'Actual Expenses'!H49</f>
        <v>0</v>
      </c>
      <c r="K40" s="539">
        <f t="shared" si="5"/>
        <v>0</v>
      </c>
      <c r="L40" s="540">
        <f>IF(Demand_1=NG_Demand,"n/a",'Evaluated Savings'!D17)</f>
        <v>0</v>
      </c>
      <c r="M40" s="540">
        <f>'Evaluated Savings'!E17</f>
        <v>0</v>
      </c>
      <c r="N40" s="540">
        <f>'Evaluated Savings'!G17</f>
        <v>0</v>
      </c>
      <c r="O40" s="540">
        <f>'Cost-Benefits'!F18</f>
        <v>0</v>
      </c>
      <c r="P40" s="538">
        <f>'Cost-Benefits'!G18</f>
        <v>0</v>
      </c>
      <c r="Q40" s="538">
        <f>'Cost-Benefits'!H18</f>
        <v>0</v>
      </c>
      <c r="R40" s="538">
        <f>'Cost-Benefits'!I18</f>
        <v>0</v>
      </c>
      <c r="S40" s="542" t="str">
        <f>'Cost-Benefits'!J18</f>
        <v>n/a</v>
      </c>
      <c r="T40" s="543" t="str">
        <f>'Cost-Benefits'!L18</f>
        <v>n/a</v>
      </c>
    </row>
    <row r="41" spans="2:20" x14ac:dyDescent="0.2">
      <c r="B41" s="537" t="str">
        <f t="shared" si="2"/>
        <v>Discont'd Res Solutions</v>
      </c>
      <c r="C41" s="537" t="str">
        <f t="shared" si="4"/>
        <v>Residential</v>
      </c>
      <c r="D41" s="537" t="str">
        <f t="shared" si="4"/>
        <v>Prescriptive/Standard Offer</v>
      </c>
      <c r="E41" s="537" t="str">
        <f t="shared" si="4"/>
        <v>Trade Ally</v>
      </c>
      <c r="F41" s="538">
        <f>'Actual Expenses'!D53</f>
        <v>0</v>
      </c>
      <c r="G41" s="538">
        <f>'Actual Expenses'!E53</f>
        <v>0</v>
      </c>
      <c r="H41" s="538">
        <f>'Actual Expenses'!F53</f>
        <v>0</v>
      </c>
      <c r="I41" s="538">
        <f>'Actual Expenses'!G53</f>
        <v>0</v>
      </c>
      <c r="J41" s="538">
        <f>'Actual Expenses'!H53</f>
        <v>0</v>
      </c>
      <c r="K41" s="539">
        <f t="shared" si="5"/>
        <v>0</v>
      </c>
      <c r="L41" s="540">
        <f>IF(Demand_1=NG_Demand,"n/a",'Evaluated Savings'!D18)</f>
        <v>0</v>
      </c>
      <c r="M41" s="540">
        <f>'Evaluated Savings'!E18</f>
        <v>0</v>
      </c>
      <c r="N41" s="540">
        <f>'Evaluated Savings'!G18</f>
        <v>0</v>
      </c>
      <c r="O41" s="540">
        <f>'Cost-Benefits'!F19</f>
        <v>0</v>
      </c>
      <c r="P41" s="538">
        <f>'Cost-Benefits'!G19</f>
        <v>0</v>
      </c>
      <c r="Q41" s="538">
        <f>'Cost-Benefits'!H19</f>
        <v>0</v>
      </c>
      <c r="R41" s="538">
        <f>'Cost-Benefits'!I19</f>
        <v>0</v>
      </c>
      <c r="S41" s="542" t="str">
        <f>'Cost-Benefits'!J19</f>
        <v>n/a</v>
      </c>
      <c r="T41" s="543" t="str">
        <f>'Cost-Benefits'!L19</f>
        <v>n/a</v>
      </c>
    </row>
    <row r="42" spans="2:20" x14ac:dyDescent="0.2">
      <c r="B42" s="537" t="str">
        <f t="shared" si="2"/>
        <v>Discont'd R ES Appliance</v>
      </c>
      <c r="C42" s="537" t="str">
        <f t="shared" si="4"/>
        <v>Residential</v>
      </c>
      <c r="D42" s="537" t="str">
        <f t="shared" si="4"/>
        <v>Consumer Product Rebate</v>
      </c>
      <c r="E42" s="537" t="str">
        <f t="shared" si="4"/>
        <v>Retail Outlets</v>
      </c>
      <c r="F42" s="538">
        <f>'Actual Expenses'!D57</f>
        <v>0</v>
      </c>
      <c r="G42" s="538">
        <f>'Actual Expenses'!E57</f>
        <v>0</v>
      </c>
      <c r="H42" s="538">
        <f>'Actual Expenses'!F57</f>
        <v>0</v>
      </c>
      <c r="I42" s="538">
        <f>'Actual Expenses'!G57</f>
        <v>0</v>
      </c>
      <c r="J42" s="538">
        <f>'Actual Expenses'!H57</f>
        <v>0</v>
      </c>
      <c r="K42" s="539">
        <f t="shared" si="5"/>
        <v>0</v>
      </c>
      <c r="L42" s="540">
        <f>IF(Demand_1=NG_Demand,"n/a",'Evaluated Savings'!D19)</f>
        <v>0</v>
      </c>
      <c r="M42" s="540">
        <f>'Evaluated Savings'!E19</f>
        <v>0</v>
      </c>
      <c r="N42" s="540">
        <f>'Evaluated Savings'!G19</f>
        <v>0</v>
      </c>
      <c r="O42" s="540">
        <f>'Cost-Benefits'!F20</f>
        <v>0</v>
      </c>
      <c r="P42" s="538">
        <f>'Cost-Benefits'!G20</f>
        <v>0</v>
      </c>
      <c r="Q42" s="538">
        <f>'Cost-Benefits'!H20</f>
        <v>0</v>
      </c>
      <c r="R42" s="538">
        <f>'Cost-Benefits'!I20</f>
        <v>0</v>
      </c>
      <c r="S42" s="542" t="str">
        <f>'Cost-Benefits'!J20</f>
        <v>n/a</v>
      </c>
      <c r="T42" s="543" t="str">
        <f>'Cost-Benefits'!L20</f>
        <v>n/a</v>
      </c>
    </row>
    <row r="43" spans="2:20" x14ac:dyDescent="0.2">
      <c r="B43" s="537" t="str">
        <f t="shared" si="2"/>
        <v>Discont'd ARWX (AWIP)</v>
      </c>
      <c r="C43" s="537" t="str">
        <f t="shared" si="4"/>
        <v>Residential</v>
      </c>
      <c r="D43" s="537" t="str">
        <f t="shared" si="4"/>
        <v>Whole Home</v>
      </c>
      <c r="E43" s="537" t="str">
        <f t="shared" si="4"/>
        <v>Statewide Administrator</v>
      </c>
      <c r="F43" s="538">
        <f>'Actual Expenses'!D61</f>
        <v>0</v>
      </c>
      <c r="G43" s="538">
        <f>'Actual Expenses'!E61</f>
        <v>0</v>
      </c>
      <c r="H43" s="538">
        <f>'Actual Expenses'!F61</f>
        <v>0</v>
      </c>
      <c r="I43" s="538">
        <f>'Actual Expenses'!G61</f>
        <v>0</v>
      </c>
      <c r="J43" s="538">
        <f>'Actual Expenses'!H61</f>
        <v>0</v>
      </c>
      <c r="K43" s="539">
        <f t="shared" si="5"/>
        <v>0</v>
      </c>
      <c r="L43" s="540">
        <f>IF(Demand_1=NG_Demand,"n/a",'Evaluated Savings'!D20)</f>
        <v>0</v>
      </c>
      <c r="M43" s="540">
        <f>'Evaluated Savings'!E20</f>
        <v>0</v>
      </c>
      <c r="N43" s="540">
        <f>'Evaluated Savings'!G20</f>
        <v>0</v>
      </c>
      <c r="O43" s="540">
        <f>'Cost-Benefits'!F21</f>
        <v>0</v>
      </c>
      <c r="P43" s="538">
        <f>'Cost-Benefits'!G21</f>
        <v>0</v>
      </c>
      <c r="Q43" s="538">
        <f>'Cost-Benefits'!H21</f>
        <v>0</v>
      </c>
      <c r="R43" s="538">
        <f>'Cost-Benefits'!I21</f>
        <v>0</v>
      </c>
      <c r="S43" s="542" t="str">
        <f>'Cost-Benefits'!J21</f>
        <v>n/a</v>
      </c>
      <c r="T43" s="543" t="str">
        <f>'Cost-Benefits'!L21</f>
        <v>n/a</v>
      </c>
    </row>
    <row r="44" spans="2:20" x14ac:dyDescent="0.2">
      <c r="B44" s="537" t="str">
        <f t="shared" si="2"/>
        <v>New Construction (NCP)</v>
      </c>
      <c r="C44" s="537" t="str">
        <f t="shared" si="4"/>
        <v>Res/C&amp;I</v>
      </c>
      <c r="D44" s="537" t="str">
        <f t="shared" si="4"/>
        <v>Prescriptive/Standard Offer</v>
      </c>
      <c r="E44" s="537" t="str">
        <f t="shared" si="4"/>
        <v>Trade Ally</v>
      </c>
      <c r="F44" s="538">
        <f>'Actual Expenses'!D65</f>
        <v>347.94</v>
      </c>
      <c r="G44" s="538">
        <f>'Actual Expenses'!E65</f>
        <v>157785.51</v>
      </c>
      <c r="H44" s="538">
        <f>'Actual Expenses'!F65</f>
        <v>221414.33</v>
      </c>
      <c r="I44" s="538">
        <f>'Actual Expenses'!G65</f>
        <v>12027.44</v>
      </c>
      <c r="J44" s="538">
        <f>'Actual Expenses'!H65</f>
        <v>19185.62</v>
      </c>
      <c r="K44" s="539">
        <f t="shared" si="5"/>
        <v>410760.84</v>
      </c>
      <c r="L44" s="540">
        <f>IF(Demand_1=NG_Demand,"n/a",'Evaluated Savings'!D21)</f>
        <v>72.8</v>
      </c>
      <c r="M44" s="540">
        <f>'Evaluated Savings'!E21</f>
        <v>482893</v>
      </c>
      <c r="N44" s="540">
        <f>'Evaluated Savings'!G21</f>
        <v>48</v>
      </c>
      <c r="O44" s="540">
        <f>'Cost-Benefits'!F22</f>
        <v>6927.4669999999996</v>
      </c>
      <c r="P44" s="538">
        <f>'Cost-Benefits'!G22</f>
        <v>300.87099999999998</v>
      </c>
      <c r="Q44" s="538">
        <f>'Cost-Benefits'!H22</f>
        <v>321.82600000000002</v>
      </c>
      <c r="R44" s="538">
        <f>'Cost-Benefits'!I22</f>
        <v>20.955000000000041</v>
      </c>
      <c r="S44" s="542">
        <f>'Cost-Benefits'!J22</f>
        <v>1.0696477892518721</v>
      </c>
      <c r="T44" s="543">
        <f>'Cost-Benefits'!L22</f>
        <v>6.0842650135005359E-2</v>
      </c>
    </row>
    <row r="45" spans="2:20" x14ac:dyDescent="0.2">
      <c r="B45" s="537" t="str">
        <f t="shared" si="2"/>
        <v>Strat Energy Mgmt (SEMP)</v>
      </c>
      <c r="C45" s="537" t="str">
        <f t="shared" si="4"/>
        <v>Res/Small Business</v>
      </c>
      <c r="D45" s="537" t="str">
        <f t="shared" si="4"/>
        <v>Behavior/Education</v>
      </c>
      <c r="E45" s="537" t="str">
        <f t="shared" si="4"/>
        <v>Utility Outreach (email/direct mail)</v>
      </c>
      <c r="F45" s="538">
        <f>'Actual Expenses'!D69</f>
        <v>0</v>
      </c>
      <c r="G45" s="538">
        <f>'Actual Expenses'!E69</f>
        <v>324225.26</v>
      </c>
      <c r="H45" s="538">
        <f>'Actual Expenses'!F69</f>
        <v>209655.36</v>
      </c>
      <c r="I45" s="538">
        <f>'Actual Expenses'!G69</f>
        <v>16013.27</v>
      </c>
      <c r="J45" s="538">
        <f>'Actual Expenses'!H69</f>
        <v>24961.690000000002</v>
      </c>
      <c r="K45" s="539">
        <f t="shared" si="5"/>
        <v>574855.58000000007</v>
      </c>
      <c r="L45" s="540">
        <f>IF(Demand_1=NG_Demand,"n/a",'Evaluated Savings'!D22)</f>
        <v>894.55</v>
      </c>
      <c r="M45" s="540">
        <f>'Evaluated Savings'!E22</f>
        <v>14670946</v>
      </c>
      <c r="N45" s="540">
        <f>'Evaluated Savings'!G22</f>
        <v>17</v>
      </c>
      <c r="O45" s="540">
        <f>'Cost-Benefits'!F23</f>
        <v>14670.946</v>
      </c>
      <c r="P45" s="538">
        <f>'Cost-Benefits'!G23</f>
        <v>365.2</v>
      </c>
      <c r="Q45" s="538">
        <f>'Cost-Benefits'!H23</f>
        <v>430.791</v>
      </c>
      <c r="R45" s="538">
        <f>'Cost-Benefits'!I23</f>
        <v>65.591000000000008</v>
      </c>
      <c r="S45" s="542">
        <f>'Cost-Benefits'!J23</f>
        <v>1.1796029572836801</v>
      </c>
      <c r="T45" s="543">
        <f>'Cost-Benefits'!L23</f>
        <v>2.6072652711011217E-2</v>
      </c>
    </row>
    <row r="46" spans="2:20" ht="12.75" customHeight="1" x14ac:dyDescent="0.2">
      <c r="B46" s="537" t="str">
        <f t="shared" si="2"/>
        <v>Bring Y/Otstat (BYOT)</v>
      </c>
      <c r="C46" s="537" t="str">
        <f t="shared" si="4"/>
        <v>Res/Small Business</v>
      </c>
      <c r="D46" s="537" t="str">
        <f t="shared" si="4"/>
        <v>Demand Response</v>
      </c>
      <c r="E46" s="537" t="str">
        <f t="shared" si="4"/>
        <v>Utility Outreach (email/direct mail)</v>
      </c>
      <c r="F46" s="538">
        <f>'Actual Expenses'!D73</f>
        <v>0</v>
      </c>
      <c r="G46" s="538">
        <f>'Actual Expenses'!E73</f>
        <v>63169.380000000005</v>
      </c>
      <c r="H46" s="538">
        <f>'Actual Expenses'!F73</f>
        <v>110000</v>
      </c>
      <c r="I46" s="538">
        <f>'Actual Expenses'!G73</f>
        <v>11126.54</v>
      </c>
      <c r="J46" s="538">
        <f>'Actual Expenses'!H73</f>
        <v>4691.6099999999997</v>
      </c>
      <c r="K46" s="539">
        <f t="shared" si="5"/>
        <v>188987.53</v>
      </c>
      <c r="L46" s="540">
        <f>IF(Demand_1=NG_Demand,"n/a",'Evaluated Savings'!D23)</f>
        <v>3228.35</v>
      </c>
      <c r="M46" s="540">
        <f>'Evaluated Savings'!E23</f>
        <v>16677</v>
      </c>
      <c r="N46" s="540">
        <f>'Evaluated Savings'!G23</f>
        <v>2177</v>
      </c>
      <c r="O46" s="540">
        <f>'Cost-Benefits'!F24</f>
        <v>16.677</v>
      </c>
      <c r="P46" s="538">
        <f>'Cost-Benefits'!G24</f>
        <v>78.988</v>
      </c>
      <c r="Q46" s="538">
        <f>'Cost-Benefits'!H24</f>
        <v>241.87</v>
      </c>
      <c r="R46" s="538">
        <f>'Cost-Benefits'!I24</f>
        <v>162.88200000000001</v>
      </c>
      <c r="S46" s="542">
        <f>'Cost-Benefits'!J24</f>
        <v>3.0621107003595482</v>
      </c>
      <c r="T46" s="543">
        <f>'Cost-Benefits'!L24</f>
        <v>4.9608461473886072</v>
      </c>
    </row>
    <row r="47" spans="2:20" ht="12.75" customHeight="1" x14ac:dyDescent="0.2">
      <c r="B47" s="537" t="str">
        <f t="shared" si="2"/>
        <v>Empty</v>
      </c>
      <c r="C47" s="537" t="str">
        <f t="shared" si="4"/>
        <v/>
      </c>
      <c r="D47" s="537" t="str">
        <f t="shared" si="4"/>
        <v/>
      </c>
      <c r="E47" s="537" t="str">
        <f t="shared" si="4"/>
        <v/>
      </c>
      <c r="F47" s="538">
        <f>'Actual Expenses'!D77</f>
        <v>0</v>
      </c>
      <c r="G47" s="538">
        <f>'Actual Expenses'!E77</f>
        <v>0</v>
      </c>
      <c r="H47" s="538">
        <f>'Actual Expenses'!F77</f>
        <v>0</v>
      </c>
      <c r="I47" s="538">
        <f>'Actual Expenses'!G77</f>
        <v>0</v>
      </c>
      <c r="J47" s="538">
        <f>'Actual Expenses'!H77</f>
        <v>0</v>
      </c>
      <c r="K47" s="539">
        <f t="shared" si="5"/>
        <v>0</v>
      </c>
      <c r="L47" s="540">
        <f>IF(Demand_1=NG_Demand,"n/a",'Evaluated Savings'!D24)</f>
        <v>0</v>
      </c>
      <c r="M47" s="540">
        <f>'Evaluated Savings'!E24</f>
        <v>0</v>
      </c>
      <c r="N47" s="540">
        <f>'Evaluated Savings'!G24</f>
        <v>0</v>
      </c>
      <c r="O47" s="540">
        <f>'Cost-Benefits'!F25</f>
        <v>0</v>
      </c>
      <c r="P47" s="538">
        <f>'Cost-Benefits'!G25</f>
        <v>0</v>
      </c>
      <c r="Q47" s="538">
        <f>'Cost-Benefits'!H25</f>
        <v>0</v>
      </c>
      <c r="R47" s="538">
        <f>'Cost-Benefits'!I25</f>
        <v>0</v>
      </c>
      <c r="S47" s="542" t="str">
        <f>'Cost-Benefits'!J25</f>
        <v>n/a</v>
      </c>
      <c r="T47" s="543" t="str">
        <f>'Cost-Benefits'!L25</f>
        <v>n/a</v>
      </c>
    </row>
    <row r="48" spans="2:20" x14ac:dyDescent="0.2">
      <c r="B48" s="537" t="str">
        <f t="shared" si="2"/>
        <v>Empty</v>
      </c>
      <c r="C48" s="537" t="str">
        <f t="shared" si="4"/>
        <v/>
      </c>
      <c r="D48" s="537" t="str">
        <f t="shared" si="4"/>
        <v/>
      </c>
      <c r="E48" s="537" t="str">
        <f t="shared" si="4"/>
        <v/>
      </c>
      <c r="F48" s="538">
        <f>'Actual Expenses'!D81</f>
        <v>0</v>
      </c>
      <c r="G48" s="538">
        <f>'Actual Expenses'!E81</f>
        <v>0</v>
      </c>
      <c r="H48" s="538">
        <f>'Actual Expenses'!F81</f>
        <v>0</v>
      </c>
      <c r="I48" s="538">
        <f>'Actual Expenses'!G81</f>
        <v>0</v>
      </c>
      <c r="J48" s="538">
        <f>'Actual Expenses'!H81</f>
        <v>0</v>
      </c>
      <c r="K48" s="539">
        <f t="shared" si="5"/>
        <v>0</v>
      </c>
      <c r="L48" s="540">
        <f>IF(Demand_1=NG_Demand,"n/a",'Evaluated Savings'!D25)</f>
        <v>0</v>
      </c>
      <c r="M48" s="540">
        <f>'Evaluated Savings'!E25</f>
        <v>0</v>
      </c>
      <c r="N48" s="540">
        <f>'Evaluated Savings'!G25</f>
        <v>0</v>
      </c>
      <c r="O48" s="540">
        <f>'Cost-Benefits'!F26</f>
        <v>0</v>
      </c>
      <c r="P48" s="538">
        <f>'Cost-Benefits'!G26</f>
        <v>0</v>
      </c>
      <c r="Q48" s="538">
        <f>'Cost-Benefits'!H26</f>
        <v>0</v>
      </c>
      <c r="R48" s="538">
        <f>'Cost-Benefits'!I26</f>
        <v>0</v>
      </c>
      <c r="S48" s="542" t="str">
        <f>'Cost-Benefits'!J26</f>
        <v>n/a</v>
      </c>
      <c r="T48" s="543" t="str">
        <f>'Cost-Benefits'!L26</f>
        <v>n/a</v>
      </c>
    </row>
    <row r="49" spans="2:20" x14ac:dyDescent="0.2">
      <c r="B49" s="267" t="str">
        <f t="shared" si="2"/>
        <v>Regulatory</v>
      </c>
      <c r="C49" s="541" t="str">
        <f>C24</f>
        <v>-</v>
      </c>
      <c r="D49" s="541" t="str">
        <f t="shared" ref="D49:E49" si="6">D24</f>
        <v>-</v>
      </c>
      <c r="E49" s="541" t="str">
        <f t="shared" si="6"/>
        <v>-</v>
      </c>
      <c r="F49" s="538"/>
      <c r="G49" s="538"/>
      <c r="H49" s="538"/>
      <c r="I49" s="538"/>
      <c r="J49" s="538"/>
      <c r="K49" s="539">
        <f>'Actual Expenses'!I91</f>
        <v>88843.87</v>
      </c>
      <c r="L49" s="540"/>
      <c r="M49" s="540"/>
      <c r="N49" s="540"/>
      <c r="O49" s="540"/>
      <c r="P49" s="538"/>
      <c r="Q49" s="538"/>
      <c r="R49" s="538"/>
      <c r="S49" s="542"/>
      <c r="T49" s="543"/>
    </row>
    <row r="50" spans="2:20" x14ac:dyDescent="0.2">
      <c r="F50" s="538">
        <f>SUM(F29:F48)</f>
        <v>17506.55</v>
      </c>
      <c r="G50" s="538">
        <f t="shared" ref="G50:T50" si="7">SUM(G29:G48)</f>
        <v>4737437.0599999996</v>
      </c>
      <c r="H50" s="538">
        <f t="shared" si="7"/>
        <v>7456409.4400000004</v>
      </c>
      <c r="I50" s="538">
        <f t="shared" si="7"/>
        <v>484690.9</v>
      </c>
      <c r="J50" s="538">
        <f t="shared" si="7"/>
        <v>434542.98</v>
      </c>
      <c r="K50" s="539">
        <f>SUM(K29:K49)</f>
        <v>13219430.799999997</v>
      </c>
      <c r="L50" s="540">
        <f t="shared" si="7"/>
        <v>17476.779999999995</v>
      </c>
      <c r="M50" s="540">
        <f t="shared" si="7"/>
        <v>44577760</v>
      </c>
      <c r="N50" s="540">
        <f t="shared" si="7"/>
        <v>141263</v>
      </c>
      <c r="O50" s="540">
        <f t="shared" si="7"/>
        <v>462812.53600000002</v>
      </c>
      <c r="P50" s="538">
        <f t="shared" si="7"/>
        <v>14184.476999999999</v>
      </c>
      <c r="Q50" s="538">
        <f t="shared" si="7"/>
        <v>24007.797999999999</v>
      </c>
      <c r="R50" s="538">
        <f t="shared" si="7"/>
        <v>9823.3209999999999</v>
      </c>
      <c r="S50" s="542">
        <f t="shared" si="7"/>
        <v>18.392709164622289</v>
      </c>
      <c r="T50" s="543">
        <f t="shared" si="7"/>
        <v>7.60973453096444</v>
      </c>
    </row>
    <row r="53" spans="2:20" x14ac:dyDescent="0.2">
      <c r="B53" s="90" t="s">
        <v>777</v>
      </c>
      <c r="C53" s="747" t="s">
        <v>22</v>
      </c>
      <c r="D53" s="748"/>
      <c r="E53" s="748"/>
      <c r="F53" s="749"/>
      <c r="G53" s="747" t="s">
        <v>778</v>
      </c>
      <c r="H53" s="748"/>
      <c r="I53" s="748"/>
      <c r="J53" s="749"/>
      <c r="K53" s="747" t="s">
        <v>779</v>
      </c>
      <c r="L53" s="748"/>
      <c r="M53" s="748"/>
      <c r="N53" s="749"/>
      <c r="O53" s="747" t="s">
        <v>202</v>
      </c>
      <c r="P53" s="748"/>
      <c r="Q53" s="748"/>
      <c r="R53" s="749"/>
    </row>
    <row r="54" spans="2:20" x14ac:dyDescent="0.2">
      <c r="B54" s="535" t="str">
        <f t="shared" ref="B54:B74" si="8">B3</f>
        <v>Program Name</v>
      </c>
      <c r="C54" s="536" t="s">
        <v>542</v>
      </c>
      <c r="D54" s="536" t="s">
        <v>543</v>
      </c>
      <c r="E54" s="536" t="s">
        <v>780</v>
      </c>
      <c r="F54" s="536" t="s">
        <v>543</v>
      </c>
      <c r="G54" s="536" t="s">
        <v>544</v>
      </c>
      <c r="H54" s="536" t="s">
        <v>545</v>
      </c>
      <c r="I54" s="536" t="s">
        <v>544</v>
      </c>
      <c r="J54" s="536" t="s">
        <v>545</v>
      </c>
      <c r="K54" s="536" t="s">
        <v>544</v>
      </c>
      <c r="L54" s="536" t="s">
        <v>545</v>
      </c>
      <c r="M54" s="536" t="s">
        <v>544</v>
      </c>
      <c r="N54" s="536" t="s">
        <v>545</v>
      </c>
      <c r="O54" s="536" t="s">
        <v>544</v>
      </c>
      <c r="P54" s="536" t="s">
        <v>545</v>
      </c>
      <c r="Q54" s="536" t="s">
        <v>544</v>
      </c>
      <c r="R54" s="536" t="s">
        <v>545</v>
      </c>
    </row>
    <row r="55" spans="2:20" x14ac:dyDescent="0.2">
      <c r="B55" s="537" t="str">
        <f t="shared" si="8"/>
        <v>Load Mgt (LMP)</v>
      </c>
      <c r="C55" s="538">
        <f>'Prior Year Progam'!F9</f>
        <v>296968</v>
      </c>
      <c r="D55" s="538">
        <f>'Prior Year Progam'!G9</f>
        <v>205062</v>
      </c>
      <c r="E55" s="538">
        <f>'Prior Year Progam'!H9</f>
        <v>840020</v>
      </c>
      <c r="F55" s="538">
        <f>'Prior Year Progam'!I9</f>
        <v>472989</v>
      </c>
      <c r="G55" s="540">
        <f>'Prior Year Progam'!K9</f>
        <v>150000</v>
      </c>
      <c r="H55" s="540">
        <f>'Prior Year Progam'!L9</f>
        <v>137005</v>
      </c>
      <c r="I55" s="540">
        <f>'Prior Year Progam'!M9</f>
        <v>0</v>
      </c>
      <c r="J55" s="540">
        <f>'Prior Year Progam'!N9</f>
        <v>80324</v>
      </c>
      <c r="K55" s="540">
        <f>IF(Demand_1=NG_Demand,"n/a",'Prior Year Progam'!P9)</f>
        <v>10000</v>
      </c>
      <c r="L55" s="540">
        <f>IF(Demand_1=NG_Demand,"n/a",'Prior Year Progam'!Q9)</f>
        <v>8140</v>
      </c>
      <c r="M55" s="540">
        <f>IF(Demand_1=NG_Demand,"n/a",'Prior Year Progam'!R9)</f>
        <v>10695</v>
      </c>
      <c r="N55" s="540">
        <f>IF(Demand_1=NG_Demand,"n/a",'Prior Year Progam'!S9)</f>
        <v>6390.41</v>
      </c>
      <c r="O55" s="540">
        <f>'Prior Year Progam'!U9</f>
        <v>20</v>
      </c>
      <c r="P55" s="540">
        <f>'Prior Year Progam'!V9</f>
        <v>16</v>
      </c>
      <c r="Q55" s="540">
        <f>'Prior Year Progam'!W9</f>
        <v>25</v>
      </c>
      <c r="R55" s="540">
        <f>'Prior Year Progam'!X9</f>
        <v>15</v>
      </c>
    </row>
    <row r="56" spans="2:20" x14ac:dyDescent="0.2">
      <c r="B56" s="537" t="str">
        <f t="shared" si="8"/>
        <v>Comm &amp; Industrial (CIEEP)</v>
      </c>
      <c r="C56" s="538">
        <f>'Prior Year Progam'!F10</f>
        <v>3702397</v>
      </c>
      <c r="D56" s="538">
        <f>'Prior Year Progam'!G10</f>
        <v>3261658</v>
      </c>
      <c r="E56" s="538">
        <f>'Prior Year Progam'!H10</f>
        <v>3098985</v>
      </c>
      <c r="F56" s="538">
        <f>'Prior Year Progam'!I10</f>
        <v>3096961</v>
      </c>
      <c r="G56" s="540">
        <f>'Prior Year Progam'!K10</f>
        <v>14737590</v>
      </c>
      <c r="H56" s="540">
        <f>'Prior Year Progam'!L10</f>
        <v>18121254</v>
      </c>
      <c r="I56" s="540">
        <f>'Prior Year Progam'!M10</f>
        <v>11730533</v>
      </c>
      <c r="J56" s="540">
        <f>'Prior Year Progam'!N10</f>
        <v>10710161</v>
      </c>
      <c r="K56" s="540">
        <f>IF(Demand_1=NG_Demand,"n/a",'Prior Year Progam'!P10)</f>
        <v>1870</v>
      </c>
      <c r="L56" s="540">
        <f>IF(Demand_1=NG_Demand,"n/a",'Prior Year Progam'!Q10)</f>
        <v>2437</v>
      </c>
      <c r="M56" s="540">
        <f>IF(Demand_1=NG_Demand,"n/a",'Prior Year Progam'!R10)</f>
        <v>2642</v>
      </c>
      <c r="N56" s="540">
        <f>IF(Demand_1=NG_Demand,"n/a",'Prior Year Progam'!S10)</f>
        <v>2718</v>
      </c>
      <c r="O56" s="540">
        <f>'Prior Year Progam'!U10</f>
        <v>182</v>
      </c>
      <c r="P56" s="540">
        <f>'Prior Year Progam'!V10</f>
        <v>119</v>
      </c>
      <c r="Q56" s="540">
        <f>'Prior Year Progam'!W10</f>
        <v>436</v>
      </c>
      <c r="R56" s="540">
        <f>'Prior Year Progam'!X10</f>
        <v>368</v>
      </c>
    </row>
    <row r="57" spans="2:20" x14ac:dyDescent="0.2">
      <c r="B57" s="537" t="str">
        <f t="shared" si="8"/>
        <v>Small Business (SBP)</v>
      </c>
      <c r="C57" s="538">
        <f>'Prior Year Progam'!F11</f>
        <v>1614244</v>
      </c>
      <c r="D57" s="538">
        <f>'Prior Year Progam'!G11</f>
        <v>1101462</v>
      </c>
      <c r="E57" s="538">
        <f>'Prior Year Progam'!H11</f>
        <v>1758433</v>
      </c>
      <c r="F57" s="538">
        <f>'Prior Year Progam'!I11</f>
        <v>1728280</v>
      </c>
      <c r="G57" s="540">
        <f>'Prior Year Progam'!K11</f>
        <v>5969622</v>
      </c>
      <c r="H57" s="540">
        <f>'Prior Year Progam'!L11</f>
        <v>3311611</v>
      </c>
      <c r="I57" s="540">
        <f>'Prior Year Progam'!M11</f>
        <v>6060578</v>
      </c>
      <c r="J57" s="540">
        <f>'Prior Year Progam'!N11</f>
        <v>4765274</v>
      </c>
      <c r="K57" s="540">
        <f>IF(Demand_1=NG_Demand,"n/a",'Prior Year Progam'!P11)</f>
        <v>1170</v>
      </c>
      <c r="L57" s="540">
        <f>IF(Demand_1=NG_Demand,"n/a",'Prior Year Progam'!Q11)</f>
        <v>660</v>
      </c>
      <c r="M57" s="540">
        <f>IF(Demand_1=NG_Demand,"n/a",'Prior Year Progam'!R11)</f>
        <v>1489</v>
      </c>
      <c r="N57" s="540">
        <f>IF(Demand_1=NG_Demand,"n/a",'Prior Year Progam'!S11)</f>
        <v>987.9</v>
      </c>
      <c r="O57" s="540">
        <f>'Prior Year Progam'!U11</f>
        <v>300</v>
      </c>
      <c r="P57" s="540">
        <f>'Prior Year Progam'!V11</f>
        <v>291</v>
      </c>
      <c r="Q57" s="540">
        <f>'Prior Year Progam'!W11</f>
        <v>668</v>
      </c>
      <c r="R57" s="540">
        <f>'Prior Year Progam'!X11</f>
        <v>398</v>
      </c>
    </row>
    <row r="58" spans="2:20" x14ac:dyDescent="0.2">
      <c r="B58" s="537" t="str">
        <f t="shared" si="8"/>
        <v>Efficient Products (EPP)</v>
      </c>
      <c r="C58" s="538">
        <f>'Prior Year Progam'!F12</f>
        <v>1228570</v>
      </c>
      <c r="D58" s="538">
        <f>'Prior Year Progam'!G12</f>
        <v>1111185</v>
      </c>
      <c r="E58" s="538">
        <f>'Prior Year Progam'!H12</f>
        <v>729211</v>
      </c>
      <c r="F58" s="538">
        <f>'Prior Year Progam'!I12</f>
        <v>723092</v>
      </c>
      <c r="G58" s="540">
        <f>'Prior Year Progam'!K12</f>
        <v>3237145</v>
      </c>
      <c r="H58" s="540">
        <f>'Prior Year Progam'!L12</f>
        <v>6512556</v>
      </c>
      <c r="I58" s="540">
        <f>'Prior Year Progam'!M12</f>
        <v>1298780</v>
      </c>
      <c r="J58" s="540">
        <f>'Prior Year Progam'!N12</f>
        <v>3578685</v>
      </c>
      <c r="K58" s="540">
        <f>IF(Demand_1=NG_Demand,"n/a",'Prior Year Progam'!P12)</f>
        <v>534</v>
      </c>
      <c r="L58" s="540">
        <f>IF(Demand_1=NG_Demand,"n/a",'Prior Year Progam'!Q12)</f>
        <v>1072</v>
      </c>
      <c r="M58" s="540">
        <f>IF(Demand_1=NG_Demand,"n/a",'Prior Year Progam'!R12)</f>
        <v>265</v>
      </c>
      <c r="N58" s="540">
        <f>IF(Demand_1=NG_Demand,"n/a",'Prior Year Progam'!S12)</f>
        <v>510.53</v>
      </c>
      <c r="O58" s="540">
        <f>'Prior Year Progam'!U12</f>
        <v>144975</v>
      </c>
      <c r="P58" s="540">
        <f>'Prior Year Progam'!V12</f>
        <v>247730</v>
      </c>
      <c r="Q58" s="540">
        <f>'Prior Year Progam'!W12</f>
        <v>14665</v>
      </c>
      <c r="R58" s="540">
        <f>'Prior Year Progam'!X12</f>
        <v>101203</v>
      </c>
    </row>
    <row r="59" spans="2:20" x14ac:dyDescent="0.2">
      <c r="B59" s="537" t="str">
        <f t="shared" si="8"/>
        <v>Res Energy Imprv (REIP)</v>
      </c>
      <c r="C59" s="538">
        <f>'Prior Year Progam'!F13</f>
        <v>1404650</v>
      </c>
      <c r="D59" s="538">
        <f>'Prior Year Progam'!G13</f>
        <v>1357406</v>
      </c>
      <c r="E59" s="538">
        <f>'Prior Year Progam'!H13</f>
        <v>2220490</v>
      </c>
      <c r="F59" s="538">
        <f>'Prior Year Progam'!I13</f>
        <v>2085123</v>
      </c>
      <c r="G59" s="540">
        <f>'Prior Year Progam'!K13</f>
        <v>3678955</v>
      </c>
      <c r="H59" s="540">
        <f>'Prior Year Progam'!L13</f>
        <v>4299812</v>
      </c>
      <c r="I59" s="540">
        <f>'Prior Year Progam'!M13</f>
        <v>5733934</v>
      </c>
      <c r="J59" s="540">
        <f>'Prior Year Progam'!N13</f>
        <v>7918988</v>
      </c>
      <c r="K59" s="540">
        <f>IF(Demand_1=NG_Demand,"n/a",'Prior Year Progam'!P13)</f>
        <v>306</v>
      </c>
      <c r="L59" s="540">
        <f>IF(Demand_1=NG_Demand,"n/a",'Prior Year Progam'!Q13)</f>
        <v>649</v>
      </c>
      <c r="M59" s="540">
        <f>IF(Demand_1=NG_Demand,"n/a",'Prior Year Progam'!R13)</f>
        <v>1446</v>
      </c>
      <c r="N59" s="540">
        <f>IF(Demand_1=NG_Demand,"n/a",'Prior Year Progam'!S13)</f>
        <v>1165.1600000000001</v>
      </c>
      <c r="O59" s="540">
        <f>'Prior Year Progam'!U13</f>
        <v>4734</v>
      </c>
      <c r="P59" s="540">
        <f>'Prior Year Progam'!V13</f>
        <v>7474</v>
      </c>
      <c r="Q59" s="540">
        <f>'Prior Year Progam'!W13</f>
        <v>7033</v>
      </c>
      <c r="R59" s="540">
        <f>'Prior Year Progam'!X13</f>
        <v>5393</v>
      </c>
    </row>
    <row r="60" spans="2:20" x14ac:dyDescent="0.2">
      <c r="B60" s="537" t="str">
        <f t="shared" si="8"/>
        <v>Home Weatherization (HWP)</v>
      </c>
      <c r="C60" s="538">
        <f>'Prior Year Progam'!F14</f>
        <v>2999305</v>
      </c>
      <c r="D60" s="538">
        <f>'Prior Year Progam'!G14</f>
        <v>2846544</v>
      </c>
      <c r="E60" s="538">
        <f>'Prior Year Progam'!H14</f>
        <v>3026926</v>
      </c>
      <c r="F60" s="538">
        <f>'Prior Year Progam'!I14</f>
        <v>2102565</v>
      </c>
      <c r="G60" s="540">
        <f>'Prior Year Progam'!K14</f>
        <v>6486837</v>
      </c>
      <c r="H60" s="540">
        <f>'Prior Year Progam'!L14</f>
        <v>582964</v>
      </c>
      <c r="I60" s="540">
        <f>'Prior Year Progam'!M14</f>
        <v>6642648</v>
      </c>
      <c r="J60" s="540">
        <f>'Prior Year Progam'!N14</f>
        <v>4042064</v>
      </c>
      <c r="K60" s="540">
        <f>IF(Demand_1=NG_Demand,"n/a",'Prior Year Progam'!P14)</f>
        <v>2191</v>
      </c>
      <c r="L60" s="540">
        <f>IF(Demand_1=NG_Demand,"n/a",'Prior Year Progam'!Q14)</f>
        <v>2035</v>
      </c>
      <c r="M60" s="540">
        <f>IF(Demand_1=NG_Demand,"n/a",'Prior Year Progam'!R14)</f>
        <v>2200</v>
      </c>
      <c r="N60" s="540">
        <f>IF(Demand_1=NG_Demand,"n/a",'Prior Year Progam'!S14)</f>
        <v>1416.46</v>
      </c>
      <c r="O60" s="540">
        <f>'Prior Year Progam'!U14</f>
        <v>1925</v>
      </c>
      <c r="P60" s="540">
        <f>'Prior Year Progam'!V14</f>
        <v>1592</v>
      </c>
      <c r="Q60" s="540">
        <f>'Prior Year Progam'!W14</f>
        <v>2200</v>
      </c>
      <c r="R60" s="540">
        <f>'Prior Year Progam'!X14</f>
        <v>1171</v>
      </c>
    </row>
    <row r="61" spans="2:20" x14ac:dyDescent="0.2">
      <c r="B61" s="537" t="str">
        <f t="shared" si="8"/>
        <v>Discont'd EE AR (EEA)</v>
      </c>
      <c r="C61" s="538">
        <f>'Prior Year Progam'!F15</f>
        <v>0</v>
      </c>
      <c r="D61" s="538">
        <f>'Prior Year Progam'!G15</f>
        <v>0</v>
      </c>
      <c r="E61" s="538">
        <f>'Prior Year Progam'!H15</f>
        <v>0</v>
      </c>
      <c r="F61" s="538">
        <f>'Prior Year Progam'!I15</f>
        <v>-6422</v>
      </c>
      <c r="G61" s="540">
        <f>'Prior Year Progam'!K15</f>
        <v>0</v>
      </c>
      <c r="H61" s="540">
        <f>'Prior Year Progam'!L15</f>
        <v>0</v>
      </c>
      <c r="I61" s="540">
        <f>'Prior Year Progam'!M15</f>
        <v>0</v>
      </c>
      <c r="J61" s="540">
        <f>'Prior Year Progam'!N15</f>
        <v>0</v>
      </c>
      <c r="K61" s="540">
        <f>IF(Demand_1=NG_Demand,"n/a",'Prior Year Progam'!P15)</f>
        <v>0</v>
      </c>
      <c r="L61" s="540">
        <f>IF(Demand_1=NG_Demand,"n/a",'Prior Year Progam'!Q15)</f>
        <v>0</v>
      </c>
      <c r="M61" s="540">
        <f>IF(Demand_1=NG_Demand,"n/a",'Prior Year Progam'!R15)</f>
        <v>0</v>
      </c>
      <c r="N61" s="540">
        <f>IF(Demand_1=NG_Demand,"n/a",'Prior Year Progam'!S15)</f>
        <v>0</v>
      </c>
      <c r="O61" s="540">
        <f>'Prior Year Progam'!U15</f>
        <v>0</v>
      </c>
      <c r="P61" s="540">
        <f>'Prior Year Progam'!V15</f>
        <v>0</v>
      </c>
      <c r="Q61" s="540">
        <f>'Prior Year Progam'!W15</f>
        <v>0</v>
      </c>
      <c r="R61" s="540" t="str">
        <f>'Prior Year Progam'!X15</f>
        <v>n/a</v>
      </c>
    </row>
    <row r="62" spans="2:20" x14ac:dyDescent="0.2">
      <c r="B62" s="537" t="str">
        <f t="shared" si="8"/>
        <v>Discont'd Onlne Audt(OLA)</v>
      </c>
      <c r="C62" s="538">
        <f>'Prior Year Progam'!F16</f>
        <v>0</v>
      </c>
      <c r="D62" s="538">
        <f>'Prior Year Progam'!G16</f>
        <v>0</v>
      </c>
      <c r="E62" s="538">
        <f>'Prior Year Progam'!H16</f>
        <v>0</v>
      </c>
      <c r="F62" s="538">
        <f>'Prior Year Progam'!I16</f>
        <v>0</v>
      </c>
      <c r="G62" s="540">
        <f>'Prior Year Progam'!K16</f>
        <v>0</v>
      </c>
      <c r="H62" s="540">
        <f>'Prior Year Progam'!L16</f>
        <v>0</v>
      </c>
      <c r="I62" s="540">
        <f>'Prior Year Progam'!M16</f>
        <v>0</v>
      </c>
      <c r="J62" s="540">
        <f>'Prior Year Progam'!N16</f>
        <v>0</v>
      </c>
      <c r="K62" s="540">
        <f>IF(Demand_1=NG_Demand,"n/a",'Prior Year Progam'!P16)</f>
        <v>0</v>
      </c>
      <c r="L62" s="540">
        <f>IF(Demand_1=NG_Demand,"n/a",'Prior Year Progam'!Q16)</f>
        <v>0</v>
      </c>
      <c r="M62" s="540">
        <f>IF(Demand_1=NG_Demand,"n/a",'Prior Year Progam'!R16)</f>
        <v>0</v>
      </c>
      <c r="N62" s="540">
        <f>IF(Demand_1=NG_Demand,"n/a",'Prior Year Progam'!S16)</f>
        <v>0</v>
      </c>
      <c r="O62" s="540">
        <f>'Prior Year Progam'!U16</f>
        <v>0</v>
      </c>
      <c r="P62" s="540">
        <f>'Prior Year Progam'!V16</f>
        <v>0</v>
      </c>
      <c r="Q62" s="540">
        <f>'Prior Year Progam'!W16</f>
        <v>0</v>
      </c>
      <c r="R62" s="540">
        <f>'Prior Year Progam'!X16</f>
        <v>0</v>
      </c>
    </row>
    <row r="63" spans="2:20" x14ac:dyDescent="0.2">
      <c r="B63" s="537" t="str">
        <f t="shared" si="8"/>
        <v>Income Qualified (IQW)</v>
      </c>
      <c r="C63" s="538">
        <f>'Prior Year Progam'!F17</f>
        <v>228742</v>
      </c>
      <c r="D63" s="538">
        <f>'Prior Year Progam'!G17</f>
        <v>218212</v>
      </c>
      <c r="E63" s="538">
        <f>'Prior Year Progam'!H17</f>
        <v>896616</v>
      </c>
      <c r="F63" s="538">
        <f>'Prior Year Progam'!I17</f>
        <v>881993</v>
      </c>
      <c r="G63" s="540">
        <f>'Prior Year Progam'!K17</f>
        <v>245410</v>
      </c>
      <c r="H63" s="540">
        <f>'Prior Year Progam'!L17</f>
        <v>431546</v>
      </c>
      <c r="I63" s="540">
        <f>'Prior Year Progam'!M17</f>
        <v>1071667</v>
      </c>
      <c r="J63" s="540">
        <f>'Prior Year Progam'!N17</f>
        <v>1006861</v>
      </c>
      <c r="K63" s="540">
        <f>IF(Demand_1=NG_Demand,"n/a",'Prior Year Progam'!P17)</f>
        <v>84</v>
      </c>
      <c r="L63" s="540">
        <f>IF(Demand_1=NG_Demand,"n/a",'Prior Year Progam'!Q17)</f>
        <v>141</v>
      </c>
      <c r="M63" s="540">
        <f>IF(Demand_1=NG_Demand,"n/a",'Prior Year Progam'!R17)</f>
        <v>435</v>
      </c>
      <c r="N63" s="540">
        <f>IF(Demand_1=NG_Demand,"n/a",'Prior Year Progam'!S17)</f>
        <v>373</v>
      </c>
      <c r="O63" s="540">
        <f>'Prior Year Progam'!U17</f>
        <v>50</v>
      </c>
      <c r="P63" s="540">
        <f>'Prior Year Progam'!V17</f>
        <v>75</v>
      </c>
      <c r="Q63" s="540">
        <f>'Prior Year Progam'!W17</f>
        <v>200</v>
      </c>
      <c r="R63" s="540">
        <f>'Prior Year Progam'!X17</f>
        <v>554</v>
      </c>
    </row>
    <row r="64" spans="2:20" x14ac:dyDescent="0.2">
      <c r="B64" s="537" t="str">
        <f t="shared" si="8"/>
        <v>Discont'd Ele Veh (EVE)</v>
      </c>
      <c r="C64" s="538">
        <f>'Prior Year Progam'!F18</f>
        <v>0</v>
      </c>
      <c r="D64" s="538">
        <f>'Prior Year Progam'!G18</f>
        <v>0</v>
      </c>
      <c r="E64" s="538">
        <f>'Prior Year Progam'!H18</f>
        <v>0</v>
      </c>
      <c r="F64" s="538">
        <f>'Prior Year Progam'!I18</f>
        <v>0</v>
      </c>
      <c r="G64" s="540">
        <f>'Prior Year Progam'!K18</f>
        <v>0</v>
      </c>
      <c r="H64" s="540">
        <f>'Prior Year Progam'!L18</f>
        <v>0</v>
      </c>
      <c r="I64" s="540">
        <f>'Prior Year Progam'!M18</f>
        <v>0</v>
      </c>
      <c r="J64" s="540">
        <f>'Prior Year Progam'!N18</f>
        <v>0</v>
      </c>
      <c r="K64" s="540">
        <f>IF(Demand_1=NG_Demand,"n/a",'Prior Year Progam'!P18)</f>
        <v>0</v>
      </c>
      <c r="L64" s="540">
        <f>IF(Demand_1=NG_Demand,"n/a",'Prior Year Progam'!Q18)</f>
        <v>0</v>
      </c>
      <c r="M64" s="540">
        <f>IF(Demand_1=NG_Demand,"n/a",'Prior Year Progam'!R18)</f>
        <v>0</v>
      </c>
      <c r="N64" s="540">
        <f>IF(Demand_1=NG_Demand,"n/a",'Prior Year Progam'!S18)</f>
        <v>0</v>
      </c>
      <c r="O64" s="540">
        <f>'Prior Year Progam'!U18</f>
        <v>0</v>
      </c>
      <c r="P64" s="540">
        <f>'Prior Year Progam'!V18</f>
        <v>0</v>
      </c>
      <c r="Q64" s="540">
        <f>'Prior Year Progam'!W18</f>
        <v>0</v>
      </c>
      <c r="R64" s="540" t="str">
        <f>'Prior Year Progam'!X18</f>
        <v>n/a</v>
      </c>
    </row>
    <row r="65" spans="2:18" x14ac:dyDescent="0.2">
      <c r="B65" s="537" t="str">
        <f t="shared" si="8"/>
        <v>Discont'd Comm Solutions</v>
      </c>
      <c r="C65" s="538">
        <f>'Prior Year Progam'!F19</f>
        <v>0</v>
      </c>
      <c r="D65" s="538">
        <f>'Prior Year Progam'!G19</f>
        <v>0</v>
      </c>
      <c r="E65" s="538">
        <f>'Prior Year Progam'!H19</f>
        <v>0</v>
      </c>
      <c r="F65" s="538">
        <f>'Prior Year Progam'!I19</f>
        <v>0</v>
      </c>
      <c r="G65" s="540">
        <f>'Prior Year Progam'!K19</f>
        <v>0</v>
      </c>
      <c r="H65" s="540">
        <f>'Prior Year Progam'!L19</f>
        <v>0</v>
      </c>
      <c r="I65" s="540">
        <f>'Prior Year Progam'!M19</f>
        <v>0</v>
      </c>
      <c r="J65" s="540">
        <f>'Prior Year Progam'!N19</f>
        <v>0</v>
      </c>
      <c r="K65" s="540">
        <f>IF(Demand_1=NG_Demand,"n/a",'Prior Year Progam'!P19)</f>
        <v>0</v>
      </c>
      <c r="L65" s="540">
        <f>IF(Demand_1=NG_Demand,"n/a",'Prior Year Progam'!Q19)</f>
        <v>0</v>
      </c>
      <c r="M65" s="540">
        <f>IF(Demand_1=NG_Demand,"n/a",'Prior Year Progam'!R19)</f>
        <v>0</v>
      </c>
      <c r="N65" s="540">
        <f>IF(Demand_1=NG_Demand,"n/a",'Prior Year Progam'!S19)</f>
        <v>0</v>
      </c>
      <c r="O65" s="540">
        <f>'Prior Year Progam'!U19</f>
        <v>0</v>
      </c>
      <c r="P65" s="540">
        <f>'Prior Year Progam'!V19</f>
        <v>0</v>
      </c>
      <c r="Q65" s="540">
        <f>'Prior Year Progam'!W19</f>
        <v>0</v>
      </c>
      <c r="R65" s="540">
        <f>'Prior Year Progam'!X19</f>
        <v>0</v>
      </c>
    </row>
    <row r="66" spans="2:18" x14ac:dyDescent="0.2">
      <c r="B66" s="537" t="str">
        <f t="shared" si="8"/>
        <v>Discont'd Res Appliance</v>
      </c>
      <c r="C66" s="538">
        <f>'Prior Year Progam'!F20</f>
        <v>0</v>
      </c>
      <c r="D66" s="538">
        <f>'Prior Year Progam'!G20</f>
        <v>0</v>
      </c>
      <c r="E66" s="538">
        <f>'Prior Year Progam'!H20</f>
        <v>0</v>
      </c>
      <c r="F66" s="538">
        <f>'Prior Year Progam'!I20</f>
        <v>0</v>
      </c>
      <c r="G66" s="540">
        <f>'Prior Year Progam'!K20</f>
        <v>0</v>
      </c>
      <c r="H66" s="540">
        <f>'Prior Year Progam'!L20</f>
        <v>0</v>
      </c>
      <c r="I66" s="540">
        <f>'Prior Year Progam'!M20</f>
        <v>0</v>
      </c>
      <c r="J66" s="540">
        <f>'Prior Year Progam'!N20</f>
        <v>0</v>
      </c>
      <c r="K66" s="540">
        <f>IF(Demand_1=NG_Demand,"n/a",'Prior Year Progam'!P20)</f>
        <v>0</v>
      </c>
      <c r="L66" s="540">
        <f>IF(Demand_1=NG_Demand,"n/a",'Prior Year Progam'!Q20)</f>
        <v>0</v>
      </c>
      <c r="M66" s="540">
        <f>IF(Demand_1=NG_Demand,"n/a",'Prior Year Progam'!R20)</f>
        <v>0</v>
      </c>
      <c r="N66" s="540">
        <f>IF(Demand_1=NG_Demand,"n/a",'Prior Year Progam'!S20)</f>
        <v>0</v>
      </c>
      <c r="O66" s="540">
        <f>'Prior Year Progam'!U20</f>
        <v>0</v>
      </c>
      <c r="P66" s="540">
        <f>'Prior Year Progam'!V20</f>
        <v>0</v>
      </c>
      <c r="Q66" s="540">
        <f>'Prior Year Progam'!W20</f>
        <v>0</v>
      </c>
      <c r="R66" s="540">
        <f>'Prior Year Progam'!X20</f>
        <v>0</v>
      </c>
    </row>
    <row r="67" spans="2:18" x14ac:dyDescent="0.2">
      <c r="B67" s="537" t="str">
        <f t="shared" si="8"/>
        <v>Discont'd Res Solutions</v>
      </c>
      <c r="C67" s="538">
        <f>'Prior Year Progam'!F21</f>
        <v>0</v>
      </c>
      <c r="D67" s="538">
        <f>'Prior Year Progam'!G21</f>
        <v>0</v>
      </c>
      <c r="E67" s="538">
        <f>'Prior Year Progam'!H21</f>
        <v>0</v>
      </c>
      <c r="F67" s="538">
        <f>'Prior Year Progam'!I21</f>
        <v>0</v>
      </c>
      <c r="G67" s="540">
        <f>'Prior Year Progam'!K21</f>
        <v>0</v>
      </c>
      <c r="H67" s="540">
        <f>'Prior Year Progam'!L21</f>
        <v>0</v>
      </c>
      <c r="I67" s="540">
        <f>'Prior Year Progam'!M21</f>
        <v>0</v>
      </c>
      <c r="J67" s="540">
        <f>'Prior Year Progam'!N21</f>
        <v>0</v>
      </c>
      <c r="K67" s="540">
        <f>IF(Demand_1=NG_Demand,"n/a",'Prior Year Progam'!P21)</f>
        <v>0</v>
      </c>
      <c r="L67" s="540">
        <f>IF(Demand_1=NG_Demand,"n/a",'Prior Year Progam'!Q21)</f>
        <v>0</v>
      </c>
      <c r="M67" s="540">
        <f>IF(Demand_1=NG_Demand,"n/a",'Prior Year Progam'!R21)</f>
        <v>0</v>
      </c>
      <c r="N67" s="540">
        <f>IF(Demand_1=NG_Demand,"n/a",'Prior Year Progam'!S21)</f>
        <v>0</v>
      </c>
      <c r="O67" s="540">
        <f>'Prior Year Progam'!U21</f>
        <v>0</v>
      </c>
      <c r="P67" s="540">
        <f>'Prior Year Progam'!V21</f>
        <v>0</v>
      </c>
      <c r="Q67" s="540">
        <f>'Prior Year Progam'!W21</f>
        <v>0</v>
      </c>
      <c r="R67" s="540">
        <f>'Prior Year Progam'!X21</f>
        <v>0</v>
      </c>
    </row>
    <row r="68" spans="2:18" x14ac:dyDescent="0.2">
      <c r="B68" s="537" t="str">
        <f t="shared" si="8"/>
        <v>Discont'd R ES Appliance</v>
      </c>
      <c r="C68" s="538">
        <f>'Prior Year Progam'!F22</f>
        <v>0</v>
      </c>
      <c r="D68" s="538">
        <f>'Prior Year Progam'!G22</f>
        <v>0</v>
      </c>
      <c r="E68" s="538">
        <f>'Prior Year Progam'!H22</f>
        <v>0</v>
      </c>
      <c r="F68" s="538">
        <f>'Prior Year Progam'!I22</f>
        <v>0</v>
      </c>
      <c r="G68" s="540">
        <f>'Prior Year Progam'!K22</f>
        <v>0</v>
      </c>
      <c r="H68" s="540">
        <f>'Prior Year Progam'!L22</f>
        <v>0</v>
      </c>
      <c r="I68" s="540">
        <f>'Prior Year Progam'!M22</f>
        <v>0</v>
      </c>
      <c r="J68" s="540">
        <f>'Prior Year Progam'!N22</f>
        <v>0</v>
      </c>
      <c r="K68" s="540">
        <f>IF(Demand_1=NG_Demand,"n/a",'Prior Year Progam'!P22)</f>
        <v>0</v>
      </c>
      <c r="L68" s="540">
        <f>IF(Demand_1=NG_Demand,"n/a",'Prior Year Progam'!Q22)</f>
        <v>0</v>
      </c>
      <c r="M68" s="540">
        <f>IF(Demand_1=NG_Demand,"n/a",'Prior Year Progam'!R22)</f>
        <v>0</v>
      </c>
      <c r="N68" s="540">
        <f>IF(Demand_1=NG_Demand,"n/a",'Prior Year Progam'!S22)</f>
        <v>0</v>
      </c>
      <c r="O68" s="540">
        <f>'Prior Year Progam'!U22</f>
        <v>0</v>
      </c>
      <c r="P68" s="540">
        <f>'Prior Year Progam'!V22</f>
        <v>0</v>
      </c>
      <c r="Q68" s="540">
        <f>'Prior Year Progam'!W22</f>
        <v>0</v>
      </c>
      <c r="R68" s="540">
        <f>'Prior Year Progam'!X22</f>
        <v>0</v>
      </c>
    </row>
    <row r="69" spans="2:18" x14ac:dyDescent="0.2">
      <c r="B69" s="537" t="str">
        <f t="shared" si="8"/>
        <v>Discont'd ARWX (AWIP)</v>
      </c>
      <c r="C69" s="538">
        <f>'Prior Year Progam'!F23</f>
        <v>0</v>
      </c>
      <c r="D69" s="538">
        <f>'Prior Year Progam'!G23</f>
        <v>0</v>
      </c>
      <c r="E69" s="538">
        <f>'Prior Year Progam'!H23</f>
        <v>0</v>
      </c>
      <c r="F69" s="538">
        <f>'Prior Year Progam'!I23</f>
        <v>0</v>
      </c>
      <c r="G69" s="540">
        <f>'Prior Year Progam'!K23</f>
        <v>0</v>
      </c>
      <c r="H69" s="540">
        <f>'Prior Year Progam'!L23</f>
        <v>0</v>
      </c>
      <c r="I69" s="540">
        <f>'Prior Year Progam'!M23</f>
        <v>0</v>
      </c>
      <c r="J69" s="540">
        <f>'Prior Year Progam'!N23</f>
        <v>0</v>
      </c>
      <c r="K69" s="540">
        <f>IF(Demand_1=NG_Demand,"n/a",'Prior Year Progam'!P23)</f>
        <v>0</v>
      </c>
      <c r="L69" s="540">
        <f>IF(Demand_1=NG_Demand,"n/a",'Prior Year Progam'!Q23)</f>
        <v>0</v>
      </c>
      <c r="M69" s="540">
        <f>IF(Demand_1=NG_Demand,"n/a",'Prior Year Progam'!R23)</f>
        <v>0</v>
      </c>
      <c r="N69" s="540">
        <f>IF(Demand_1=NG_Demand,"n/a",'Prior Year Progam'!S23)</f>
        <v>0</v>
      </c>
      <c r="O69" s="540">
        <f>'Prior Year Progam'!U23</f>
        <v>0</v>
      </c>
      <c r="P69" s="540">
        <f>'Prior Year Progam'!V23</f>
        <v>0</v>
      </c>
      <c r="Q69" s="540">
        <f>'Prior Year Progam'!W23</f>
        <v>0</v>
      </c>
      <c r="R69" s="540">
        <f>'Prior Year Progam'!X23</f>
        <v>0</v>
      </c>
    </row>
    <row r="70" spans="2:18" x14ac:dyDescent="0.2">
      <c r="B70" s="537" t="str">
        <f t="shared" si="8"/>
        <v>New Construction (NCP)</v>
      </c>
      <c r="C70" s="538">
        <f>'Prior Year Progam'!F24</f>
        <v>0</v>
      </c>
      <c r="D70" s="538">
        <f>'Prior Year Progam'!G24</f>
        <v>0</v>
      </c>
      <c r="E70" s="538">
        <f>'Prior Year Progam'!H24</f>
        <v>310240</v>
      </c>
      <c r="F70" s="538">
        <f>'Prior Year Progam'!I24</f>
        <v>303533</v>
      </c>
      <c r="G70" s="540">
        <f>'Prior Year Progam'!K24</f>
        <v>0</v>
      </c>
      <c r="H70" s="540">
        <f>'Prior Year Progam'!L24</f>
        <v>0</v>
      </c>
      <c r="I70" s="540">
        <f>'Prior Year Progam'!M24</f>
        <v>674219</v>
      </c>
      <c r="J70" s="540">
        <f>'Prior Year Progam'!N24</f>
        <v>410315</v>
      </c>
      <c r="K70" s="540">
        <f>IF(Demand_1=NG_Demand,"n/a",'Prior Year Progam'!P24)</f>
        <v>0</v>
      </c>
      <c r="L70" s="540">
        <f>IF(Demand_1=NG_Demand,"n/a",'Prior Year Progam'!Q24)</f>
        <v>0</v>
      </c>
      <c r="M70" s="540">
        <f>IF(Demand_1=NG_Demand,"n/a",'Prior Year Progam'!R24)</f>
        <v>140</v>
      </c>
      <c r="N70" s="540">
        <f>IF(Demand_1=NG_Demand,"n/a",'Prior Year Progam'!S24)</f>
        <v>65.959999999999994</v>
      </c>
      <c r="O70" s="540">
        <f>'Prior Year Progam'!U24</f>
        <v>0</v>
      </c>
      <c r="P70" s="540">
        <f>'Prior Year Progam'!V24</f>
        <v>0</v>
      </c>
      <c r="Q70" s="540">
        <f>'Prior Year Progam'!W24</f>
        <v>148</v>
      </c>
      <c r="R70" s="540">
        <f>'Prior Year Progam'!X24</f>
        <v>52</v>
      </c>
    </row>
    <row r="71" spans="2:18" x14ac:dyDescent="0.2">
      <c r="B71" s="537" t="str">
        <f t="shared" si="8"/>
        <v>Strat Energy Mgmt (SEMP)</v>
      </c>
      <c r="C71" s="538">
        <f>'Prior Year Progam'!F25</f>
        <v>0</v>
      </c>
      <c r="D71" s="538">
        <f>'Prior Year Progam'!G25</f>
        <v>0</v>
      </c>
      <c r="E71" s="538">
        <f>'Prior Year Progam'!H25</f>
        <v>491812</v>
      </c>
      <c r="F71" s="538">
        <f>'Prior Year Progam'!I25</f>
        <v>510180</v>
      </c>
      <c r="G71" s="540">
        <f>'Prior Year Progam'!K25</f>
        <v>0</v>
      </c>
      <c r="H71" s="540">
        <f>'Prior Year Progam'!L25</f>
        <v>0</v>
      </c>
      <c r="I71" s="540">
        <f>'Prior Year Progam'!M25</f>
        <v>4385936</v>
      </c>
      <c r="J71" s="540">
        <f>'Prior Year Progam'!N25</f>
        <v>8555881</v>
      </c>
      <c r="K71" s="540">
        <f>IF(Demand_1=NG_Demand,"n/a",'Prior Year Progam'!P25)</f>
        <v>0</v>
      </c>
      <c r="L71" s="540">
        <f>IF(Demand_1=NG_Demand,"n/a",'Prior Year Progam'!Q25)</f>
        <v>0</v>
      </c>
      <c r="M71" s="540">
        <f>IF(Demand_1=NG_Demand,"n/a",'Prior Year Progam'!R25)</f>
        <v>478</v>
      </c>
      <c r="N71" s="540">
        <f>IF(Demand_1=NG_Demand,"n/a",'Prior Year Progam'!S25)</f>
        <v>1283.5</v>
      </c>
      <c r="O71" s="540">
        <f>'Prior Year Progam'!U25</f>
        <v>0</v>
      </c>
      <c r="P71" s="540">
        <f>'Prior Year Progam'!V25</f>
        <v>0</v>
      </c>
      <c r="Q71" s="540">
        <f>'Prior Year Progam'!W25</f>
        <v>36</v>
      </c>
      <c r="R71" s="540">
        <f>'Prior Year Progam'!X25</f>
        <v>9</v>
      </c>
    </row>
    <row r="72" spans="2:18" x14ac:dyDescent="0.2">
      <c r="B72" s="537" t="str">
        <f t="shared" si="8"/>
        <v>Bring Y/Otstat (BYOT)</v>
      </c>
      <c r="C72" s="538">
        <f>'Prior Year Progam'!F26</f>
        <v>0</v>
      </c>
      <c r="D72" s="538">
        <f>'Prior Year Progam'!G26</f>
        <v>0</v>
      </c>
      <c r="E72" s="538">
        <f>'Prior Year Progam'!H26</f>
        <v>413577</v>
      </c>
      <c r="F72" s="538">
        <f>'Prior Year Progam'!I26</f>
        <v>180135</v>
      </c>
      <c r="G72" s="540">
        <f>'Prior Year Progam'!K26</f>
        <v>0</v>
      </c>
      <c r="H72" s="540">
        <f>'Prior Year Progam'!L26</f>
        <v>0</v>
      </c>
      <c r="I72" s="540">
        <f>'Prior Year Progam'!M26</f>
        <v>55984</v>
      </c>
      <c r="J72" s="540">
        <f>'Prior Year Progam'!N26</f>
        <v>0</v>
      </c>
      <c r="K72" s="540">
        <f>IF(Demand_1=NG_Demand,"n/a",'Prior Year Progam'!P26)</f>
        <v>0</v>
      </c>
      <c r="L72" s="540">
        <f>IF(Demand_1=NG_Demand,"n/a",'Prior Year Progam'!Q26)</f>
        <v>0</v>
      </c>
      <c r="M72" s="540">
        <f>IF(Demand_1=NG_Demand,"n/a",'Prior Year Progam'!R26)</f>
        <v>2165</v>
      </c>
      <c r="N72" s="540">
        <f>IF(Demand_1=NG_Demand,"n/a",'Prior Year Progam'!S26)</f>
        <v>2412.4699999999998</v>
      </c>
      <c r="O72" s="540">
        <f>'Prior Year Progam'!U26</f>
        <v>0</v>
      </c>
      <c r="P72" s="540">
        <f>'Prior Year Progam'!V26</f>
        <v>0</v>
      </c>
      <c r="Q72" s="540">
        <f>'Prior Year Progam'!W26</f>
        <v>1310</v>
      </c>
      <c r="R72" s="540">
        <f>'Prior Year Progam'!X26</f>
        <v>1217</v>
      </c>
    </row>
    <row r="73" spans="2:18" x14ac:dyDescent="0.2">
      <c r="B73" s="537" t="str">
        <f t="shared" si="8"/>
        <v>Empty</v>
      </c>
      <c r="C73" s="538">
        <f>'Prior Year Progam'!F27</f>
        <v>0</v>
      </c>
      <c r="D73" s="538">
        <f>'Prior Year Progam'!G27</f>
        <v>0</v>
      </c>
      <c r="E73" s="538">
        <f>'Prior Year Progam'!H27</f>
        <v>0</v>
      </c>
      <c r="F73" s="538">
        <f>'Prior Year Progam'!I27</f>
        <v>0</v>
      </c>
      <c r="G73" s="540">
        <f>'Prior Year Progam'!K27</f>
        <v>0</v>
      </c>
      <c r="H73" s="540">
        <f>'Prior Year Progam'!L27</f>
        <v>0</v>
      </c>
      <c r="I73" s="540">
        <f>'Prior Year Progam'!M27</f>
        <v>0</v>
      </c>
      <c r="J73" s="540">
        <f>'Prior Year Progam'!N27</f>
        <v>0</v>
      </c>
      <c r="K73" s="540">
        <f>IF(Demand_1=NG_Demand,"n/a",'Prior Year Progam'!P27)</f>
        <v>0</v>
      </c>
      <c r="L73" s="540">
        <f>IF(Demand_1=NG_Demand,"n/a",'Prior Year Progam'!Q27)</f>
        <v>0</v>
      </c>
      <c r="M73" s="540">
        <f>IF(Demand_1=NG_Demand,"n/a",'Prior Year Progam'!R27)</f>
        <v>0</v>
      </c>
      <c r="N73" s="540">
        <f>IF(Demand_1=NG_Demand,"n/a",'Prior Year Progam'!S27)</f>
        <v>0</v>
      </c>
      <c r="O73" s="540">
        <f>'Prior Year Progam'!U27</f>
        <v>0</v>
      </c>
      <c r="P73" s="540">
        <f>'Prior Year Progam'!V27</f>
        <v>0</v>
      </c>
      <c r="Q73" s="540">
        <f>'Prior Year Progam'!W27</f>
        <v>0</v>
      </c>
      <c r="R73" s="540">
        <f>'Prior Year Progam'!X27</f>
        <v>0</v>
      </c>
    </row>
    <row r="74" spans="2:18" x14ac:dyDescent="0.2">
      <c r="B74" s="537" t="str">
        <f t="shared" si="8"/>
        <v>Empty</v>
      </c>
      <c r="C74" s="538">
        <f>'Prior Year Progam'!F28</f>
        <v>0</v>
      </c>
      <c r="D74" s="538">
        <f>'Prior Year Progam'!G28</f>
        <v>0</v>
      </c>
      <c r="E74" s="538">
        <f>'Prior Year Progam'!H28</f>
        <v>0</v>
      </c>
      <c r="F74" s="538">
        <f>'Prior Year Progam'!I28</f>
        <v>0</v>
      </c>
      <c r="G74" s="540">
        <f>'Prior Year Progam'!K28</f>
        <v>0</v>
      </c>
      <c r="H74" s="540">
        <f>'Prior Year Progam'!L28</f>
        <v>0</v>
      </c>
      <c r="I74" s="540">
        <f>'Prior Year Progam'!M28</f>
        <v>0</v>
      </c>
      <c r="J74" s="540">
        <f>'Prior Year Progam'!N28</f>
        <v>0</v>
      </c>
      <c r="K74" s="540">
        <f>IF(Demand_1=NG_Demand,"n/a",'Prior Year Progam'!P28)</f>
        <v>0</v>
      </c>
      <c r="L74" s="540">
        <f>IF(Demand_1=NG_Demand,"n/a",'Prior Year Progam'!Q28)</f>
        <v>0</v>
      </c>
      <c r="M74" s="540">
        <f>IF(Demand_1=NG_Demand,"n/a",'Prior Year Progam'!R28)</f>
        <v>0</v>
      </c>
      <c r="N74" s="540">
        <f>IF(Demand_1=NG_Demand,"n/a",'Prior Year Progam'!S28)</f>
        <v>0</v>
      </c>
      <c r="O74" s="540">
        <f>'Prior Year Progam'!U28</f>
        <v>0</v>
      </c>
      <c r="P74" s="540">
        <f>'Prior Year Progam'!V28</f>
        <v>0</v>
      </c>
      <c r="Q74" s="540">
        <f>'Prior Year Progam'!W28</f>
        <v>0</v>
      </c>
      <c r="R74" s="540">
        <f>'Prior Year Progam'!X28</f>
        <v>0</v>
      </c>
    </row>
  </sheetData>
  <mergeCells count="4">
    <mergeCell ref="C53:F53"/>
    <mergeCell ref="G53:J53"/>
    <mergeCell ref="K53:N53"/>
    <mergeCell ref="O53:R5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0000"/>
  </sheetPr>
  <dimension ref="A2:J22"/>
  <sheetViews>
    <sheetView zoomScale="75" zoomScaleNormal="75" workbookViewId="0">
      <selection activeCell="J8" sqref="J8"/>
    </sheetView>
  </sheetViews>
  <sheetFormatPr defaultRowHeight="12.75" x14ac:dyDescent="0.2"/>
  <cols>
    <col min="2" max="2" width="36.85546875" bestFit="1" customWidth="1"/>
    <col min="3" max="3" width="39" bestFit="1" customWidth="1"/>
    <col min="4" max="4" width="21.85546875" bestFit="1" customWidth="1"/>
    <col min="5" max="5" width="23" bestFit="1" customWidth="1"/>
    <col min="6" max="6" width="8.140625" bestFit="1" customWidth="1"/>
    <col min="7" max="7" width="1.42578125" customWidth="1"/>
    <col min="9" max="9" width="1.5703125" customWidth="1"/>
    <col min="10" max="10" width="45.140625" customWidth="1"/>
  </cols>
  <sheetData>
    <row r="2" spans="1:10" x14ac:dyDescent="0.2">
      <c r="A2" s="535" t="s">
        <v>757</v>
      </c>
      <c r="B2" s="535" t="s">
        <v>93</v>
      </c>
      <c r="C2" s="535" t="str">
        <f>Data!B3</f>
        <v>Program Name</v>
      </c>
      <c r="D2" s="535" t="str">
        <f>Data!C3</f>
        <v>Sector</v>
      </c>
      <c r="E2" s="535" t="str">
        <f>Data!E3</f>
        <v>Channel</v>
      </c>
      <c r="F2" s="544" t="s">
        <v>781</v>
      </c>
      <c r="G2" s="120"/>
      <c r="H2" s="544" t="s">
        <v>782</v>
      </c>
      <c r="I2" s="120"/>
      <c r="J2" s="535" t="s">
        <v>93</v>
      </c>
    </row>
    <row r="3" spans="1:10" x14ac:dyDescent="0.2">
      <c r="A3" s="537">
        <f>COUNTIF($B$3:$B$22,"&lt;="&amp;B3)</f>
        <v>16</v>
      </c>
      <c r="B3" s="537" t="str">
        <f>IF(Data!B4="Empty","*Hide*",Data!B4)</f>
        <v>Load Mgt (LMP)</v>
      </c>
      <c r="C3" s="537" t="str">
        <f>VLOOKUP(SMALL($A$3:$A$22,ROW()-2),$A$3:$B$22,2,FALSE)</f>
        <v>*Hide*</v>
      </c>
      <c r="D3" s="537" t="e">
        <f>VLOOKUP($C3,Data!$B$4:$E$23,MATCH(D$2,Data!$B$3:$E$3,0),FALSE)</f>
        <v>#N/A</v>
      </c>
      <c r="E3" s="537" t="e">
        <f>VLOOKUP($C3,Data!$B$4:$E$23,MATCH(E$2,Data!$B$3:$E$3,0),FALSE)</f>
        <v>#N/A</v>
      </c>
      <c r="F3" s="545">
        <f>IF(ISERROR(D3),MAX(List!$C$5:$C$17)+2,IF(E3=List!$E$10,MAX(List!$C$5:$C$17)+1,VLOOKUP(D3,List!$B$5:$C$17,2,FALSE)))</f>
        <v>13</v>
      </c>
      <c r="G3" s="120"/>
      <c r="H3" s="545">
        <f>RANK(F3,$F$3:$F$22,-1)+COUNTIF($F$3:F3,F3)-1</f>
        <v>19</v>
      </c>
      <c r="I3" s="120"/>
      <c r="J3" s="537" t="str">
        <f ca="1">OFFSET(C$3,MATCH(SMALL(H$3:H$22,ROW()-ROW(H$3)+1),H$3:H$22,0)-1,0)</f>
        <v>Discont'd Onlne Audt(OLA)</v>
      </c>
    </row>
    <row r="4" spans="1:10" x14ac:dyDescent="0.2">
      <c r="A4" s="537">
        <f t="shared" ref="A4:A22" si="0">COUNTIF($B$3:$B$22,"&lt;="&amp;B4)</f>
        <v>4</v>
      </c>
      <c r="B4" s="537" t="str">
        <f>IF(Data!B5="Empty","*Hide*",Data!B5)</f>
        <v>Comm &amp; Industrial (CIEEP)</v>
      </c>
      <c r="C4" s="537" t="str">
        <f t="shared" ref="C4:C22" si="1">VLOOKUP(SMALL($A$3:$A$22,ROW()-2),$A$3:$B$22,2,FALSE)</f>
        <v>*Hide*</v>
      </c>
      <c r="D4" s="537" t="e">
        <f>VLOOKUP($C4,Data!$B$4:$E$23,MATCH(D$2,Data!$B$3:$E$3,0),FALSE)</f>
        <v>#N/A</v>
      </c>
      <c r="E4" s="537" t="e">
        <f>VLOOKUP($C4,Data!$B$4:$E$23,MATCH(E$2,Data!$B$3:$E$3,0),FALSE)</f>
        <v>#N/A</v>
      </c>
      <c r="F4" s="545">
        <f>IF(ISERROR(D4),MAX(List!$C$5:$C$17)+2,IF(E4=List!$E$10,MAX(List!$C$5:$C$17)+1,VLOOKUP(D4,List!$B$5:$C$17,2,FALSE)))</f>
        <v>13</v>
      </c>
      <c r="G4" s="120"/>
      <c r="H4" s="545">
        <f>RANK(F4,$F$3:$F$22,-1)+COUNTIF($F$3:F4,F4)-1</f>
        <v>20</v>
      </c>
      <c r="I4" s="120"/>
      <c r="J4" s="537" t="str">
        <f t="shared" ref="J4:J22" ca="1" si="2">OFFSET(C$3,MATCH(SMALL(H$3:H$22,ROW()-ROW(H$3)+1),H$3:H$22,0)-1,0)</f>
        <v>Discont'd R ES Appliance</v>
      </c>
    </row>
    <row r="5" spans="1:10" x14ac:dyDescent="0.2">
      <c r="A5" s="537">
        <f t="shared" si="0"/>
        <v>19</v>
      </c>
      <c r="B5" s="537" t="str">
        <f>IF(Data!B6="Empty","*Hide*",Data!B6)</f>
        <v>Small Business (SBP)</v>
      </c>
      <c r="C5" s="537" t="str">
        <f t="shared" si="1"/>
        <v>Bring Y/Otstat (BYOT)</v>
      </c>
      <c r="D5" s="537" t="str">
        <f>VLOOKUP($C5,Data!$B$4:$E$23,MATCH(D$2,Data!$B$3:$E$3,0),FALSE)</f>
        <v>Res/Small Business</v>
      </c>
      <c r="E5" s="537" t="str">
        <f>VLOOKUP($C5,Data!$B$4:$E$23,MATCH(E$2,Data!$B$3:$E$3,0),FALSE)</f>
        <v>Utility Outreach (email/direct mail)</v>
      </c>
      <c r="F5" s="545">
        <f>IF(ISERROR(D5),MAX(List!$C$5:$C$17)+2,IF(E5=List!$E$10,MAX(List!$C$5:$C$17)+1,VLOOKUP(D5,List!$B$5:$C$17,2,FALSE)))</f>
        <v>3</v>
      </c>
      <c r="G5" s="120"/>
      <c r="H5" s="545">
        <f>RANK(F5,$F$3:$F$22,-1)+COUNTIF($F$3:F5,F5)-1</f>
        <v>9</v>
      </c>
      <c r="I5" s="120"/>
      <c r="J5" s="537" t="str">
        <f t="shared" ca="1" si="2"/>
        <v>Discont'd Res Appliance</v>
      </c>
    </row>
    <row r="6" spans="1:10" x14ac:dyDescent="0.2">
      <c r="A6" s="537">
        <f t="shared" si="0"/>
        <v>13</v>
      </c>
      <c r="B6" s="537" t="str">
        <f>IF(Data!B7="Empty","*Hide*",Data!B7)</f>
        <v>Efficient Products (EPP)</v>
      </c>
      <c r="C6" s="537" t="str">
        <f t="shared" si="1"/>
        <v>Comm &amp; Industrial (CIEEP)</v>
      </c>
      <c r="D6" s="537" t="str">
        <f>VLOOKUP($C6,Data!$B$4:$E$23,MATCH(D$2,Data!$B$3:$E$3,0),FALSE)</f>
        <v>Commercial &amp; Industrial</v>
      </c>
      <c r="E6" s="537" t="str">
        <f>VLOOKUP($C6,Data!$B$4:$E$23,MATCH(E$2,Data!$B$3:$E$3,0),FALSE)</f>
        <v>Trade Ally</v>
      </c>
      <c r="F6" s="545">
        <f>IF(ISERROR(D6),MAX(List!$C$5:$C$17)+2,IF(E6=List!$E$10,MAX(List!$C$5:$C$17)+1,VLOOKUP(D6,List!$B$5:$C$17,2,FALSE)))</f>
        <v>4</v>
      </c>
      <c r="G6" s="120"/>
      <c r="H6" s="545">
        <f>RANK(F6,$F$3:$F$22,-1)+COUNTIF($F$3:F6,F6)-1</f>
        <v>12</v>
      </c>
      <c r="I6" s="120"/>
      <c r="J6" s="537" t="str">
        <f t="shared" ca="1" si="2"/>
        <v>Discont'd Res Solutions</v>
      </c>
    </row>
    <row r="7" spans="1:10" x14ac:dyDescent="0.2">
      <c r="A7" s="537">
        <f t="shared" si="0"/>
        <v>18</v>
      </c>
      <c r="B7" s="537" t="str">
        <f>IF(Data!B8="Empty","*Hide*",Data!B8)</f>
        <v>Res Energy Imprv (REIP)</v>
      </c>
      <c r="C7" s="537" t="str">
        <f t="shared" si="1"/>
        <v>Discont'd ARWX (AWIP)</v>
      </c>
      <c r="D7" s="537" t="str">
        <f>VLOOKUP($C7,Data!$B$4:$E$23,MATCH(D$2,Data!$B$3:$E$3,0),FALSE)</f>
        <v>Residential</v>
      </c>
      <c r="E7" s="537" t="str">
        <f>VLOOKUP($C7,Data!$B$4:$E$23,MATCH(E$2,Data!$B$3:$E$3,0),FALSE)</f>
        <v>Statewide Administrator</v>
      </c>
      <c r="F7" s="545">
        <f>IF(ISERROR(D7),MAX(List!$C$5:$C$17)+2,IF(E7=List!$E$10,MAX(List!$C$5:$C$17)+1,VLOOKUP(D7,List!$B$5:$C$17,2,FALSE)))</f>
        <v>12</v>
      </c>
      <c r="G7" s="120"/>
      <c r="H7" s="545">
        <f>RANK(F7,$F$3:$F$22,-1)+COUNTIF($F$3:F7,F7)-1</f>
        <v>17</v>
      </c>
      <c r="I7" s="120"/>
      <c r="J7" s="537" t="str">
        <f t="shared" ca="1" si="2"/>
        <v>Efficient Products (EPP)</v>
      </c>
    </row>
    <row r="8" spans="1:10" x14ac:dyDescent="0.2">
      <c r="A8" s="537">
        <f t="shared" si="0"/>
        <v>14</v>
      </c>
      <c r="B8" s="537" t="str">
        <f>IF(Data!B9="Empty","*Hide*",Data!B9)</f>
        <v>Home Weatherization (HWP)</v>
      </c>
      <c r="C8" s="537" t="str">
        <f t="shared" si="1"/>
        <v>Discont'd Comm Solutions</v>
      </c>
      <c r="D8" s="537" t="str">
        <f>VLOOKUP($C8,Data!$B$4:$E$23,MATCH(D$2,Data!$B$3:$E$3,0),FALSE)</f>
        <v>Commercial &amp; Industrial</v>
      </c>
      <c r="E8" s="537" t="str">
        <f>VLOOKUP($C8,Data!$B$4:$E$23,MATCH(E$2,Data!$B$3:$E$3,0),FALSE)</f>
        <v>Trade Ally</v>
      </c>
      <c r="F8" s="545">
        <f>IF(ISERROR(D8),MAX(List!$C$5:$C$17)+2,IF(E8=List!$E$10,MAX(List!$C$5:$C$17)+1,VLOOKUP(D8,List!$B$5:$C$17,2,FALSE)))</f>
        <v>4</v>
      </c>
      <c r="G8" s="120"/>
      <c r="H8" s="545">
        <f>RANK(F8,$F$3:$F$22,-1)+COUNTIF($F$3:F8,F8)-1</f>
        <v>13</v>
      </c>
      <c r="I8" s="120"/>
      <c r="J8" s="537" t="str">
        <f t="shared" ca="1" si="2"/>
        <v>Home Weatherization (HWP)</v>
      </c>
    </row>
    <row r="9" spans="1:10" x14ac:dyDescent="0.2">
      <c r="A9" s="537">
        <f t="shared" si="0"/>
        <v>7</v>
      </c>
      <c r="B9" s="537" t="str">
        <f>IF(Data!B10="Empty","*Hide*",Data!B10)</f>
        <v>Discont'd EE AR (EEA)</v>
      </c>
      <c r="C9" s="537" t="str">
        <f t="shared" si="1"/>
        <v>Discont'd EE AR (EEA)</v>
      </c>
      <c r="D9" s="537" t="str">
        <f>VLOOKUP($C9,Data!$B$4:$E$23,MATCH(D$2,Data!$B$3:$E$3,0),FALSE)</f>
        <v>All Classes</v>
      </c>
      <c r="E9" s="537" t="str">
        <f>VLOOKUP($C9,Data!$B$4:$E$23,MATCH(E$2,Data!$B$3:$E$3,0),FALSE)</f>
        <v>Statewide Administrator</v>
      </c>
      <c r="F9" s="545">
        <f>IF(ISERROR(D9),MAX(List!$C$5:$C$17)+2,IF(E9=List!$E$10,MAX(List!$C$5:$C$17)+1,VLOOKUP(D9,List!$B$5:$C$17,2,FALSE)))</f>
        <v>12</v>
      </c>
      <c r="G9" s="120"/>
      <c r="H9" s="545">
        <f>RANK(F9,$F$3:$F$22,-1)+COUNTIF($F$3:F9,F9)-1</f>
        <v>18</v>
      </c>
      <c r="I9" s="120"/>
      <c r="J9" s="537" t="str">
        <f t="shared" ca="1" si="2"/>
        <v>Income Qualified (IQW)</v>
      </c>
    </row>
    <row r="10" spans="1:10" x14ac:dyDescent="0.2">
      <c r="A10" s="537">
        <f t="shared" si="0"/>
        <v>9</v>
      </c>
      <c r="B10" s="537" t="str">
        <f>IF(Data!B11="Empty","*Hide*",Data!B11)</f>
        <v>Discont'd Onlne Audt(OLA)</v>
      </c>
      <c r="C10" s="537" t="str">
        <f t="shared" si="1"/>
        <v>Discont'd Ele Veh (EVE)</v>
      </c>
      <c r="D10" s="537" t="str">
        <f>VLOOKUP($C10,Data!$B$4:$E$23,MATCH(D$2,Data!$B$3:$E$3,0),FALSE)</f>
        <v>Res/Small Business</v>
      </c>
      <c r="E10" s="537" t="str">
        <f>VLOOKUP($C10,Data!$B$4:$E$23,MATCH(E$2,Data!$B$3:$E$3,0),FALSE)</f>
        <v>Utility Outreach (email/direct mail)</v>
      </c>
      <c r="F10" s="545">
        <f>IF(ISERROR(D10),MAX(List!$C$5:$C$17)+2,IF(E10=List!$E$10,MAX(List!$C$5:$C$17)+1,VLOOKUP(D10,List!$B$5:$C$17,2,FALSE)))</f>
        <v>3</v>
      </c>
      <c r="G10" s="120"/>
      <c r="H10" s="545">
        <f>RANK(F10,$F$3:$F$22,-1)+COUNTIF($F$3:F10,F10)-1</f>
        <v>10</v>
      </c>
      <c r="I10" s="120"/>
      <c r="J10" s="537" t="str">
        <f t="shared" ca="1" si="2"/>
        <v>Res Energy Imprv (REIP)</v>
      </c>
    </row>
    <row r="11" spans="1:10" x14ac:dyDescent="0.2">
      <c r="A11" s="537">
        <f t="shared" si="0"/>
        <v>15</v>
      </c>
      <c r="B11" s="537" t="str">
        <f>IF(Data!B12="Empty","*Hide*",Data!B12)</f>
        <v>Income Qualified (IQW)</v>
      </c>
      <c r="C11" s="537" t="str">
        <f t="shared" si="1"/>
        <v>Discont'd Onlne Audt(OLA)</v>
      </c>
      <c r="D11" s="537" t="str">
        <f>VLOOKUP($C11,Data!$B$4:$E$23,MATCH(D$2,Data!$B$3:$E$3,0),FALSE)</f>
        <v>Residential</v>
      </c>
      <c r="E11" s="537" t="str">
        <f>VLOOKUP($C11,Data!$B$4:$E$23,MATCH(E$2,Data!$B$3:$E$3,0),FALSE)</f>
        <v>Website</v>
      </c>
      <c r="F11" s="545">
        <f>IF(ISERROR(D11),MAX(List!$C$5:$C$17)+2,IF(E11=List!$E$10,MAX(List!$C$5:$C$17)+1,VLOOKUP(D11,List!$B$5:$C$17,2,FALSE)))</f>
        <v>1</v>
      </c>
      <c r="G11" s="120"/>
      <c r="H11" s="545">
        <f>RANK(F11,$F$3:$F$22,-1)+COUNTIF($F$3:F11,F11)-1</f>
        <v>1</v>
      </c>
      <c r="I11" s="120"/>
      <c r="J11" s="537" t="str">
        <f t="shared" ca="1" si="2"/>
        <v>Bring Y/Otstat (BYOT)</v>
      </c>
    </row>
    <row r="12" spans="1:10" x14ac:dyDescent="0.2">
      <c r="A12" s="537">
        <f t="shared" si="0"/>
        <v>8</v>
      </c>
      <c r="B12" s="537" t="str">
        <f>IF(Data!B13="Empty","*Hide*",Data!B13)</f>
        <v>Discont'd Ele Veh (EVE)</v>
      </c>
      <c r="C12" s="537" t="str">
        <f t="shared" si="1"/>
        <v>Discont'd R ES Appliance</v>
      </c>
      <c r="D12" s="537" t="str">
        <f>VLOOKUP($C12,Data!$B$4:$E$23,MATCH(D$2,Data!$B$3:$E$3,0),FALSE)</f>
        <v>Residential</v>
      </c>
      <c r="E12" s="537" t="str">
        <f>VLOOKUP($C12,Data!$B$4:$E$23,MATCH(E$2,Data!$B$3:$E$3,0),FALSE)</f>
        <v>Retail Outlets</v>
      </c>
      <c r="F12" s="545">
        <f>IF(ISERROR(D12),MAX(List!$C$5:$C$17)+2,IF(E12=List!$E$10,MAX(List!$C$5:$C$17)+1,VLOOKUP(D12,List!$B$5:$C$17,2,FALSE)))</f>
        <v>1</v>
      </c>
      <c r="G12" s="120"/>
      <c r="H12" s="545">
        <f>RANK(F12,$F$3:$F$22,-1)+COUNTIF($F$3:F12,F12)-1</f>
        <v>2</v>
      </c>
      <c r="I12" s="120"/>
      <c r="J12" s="537" t="str">
        <f t="shared" ca="1" si="2"/>
        <v>Discont'd Ele Veh (EVE)</v>
      </c>
    </row>
    <row r="13" spans="1:10" x14ac:dyDescent="0.2">
      <c r="A13" s="537">
        <f t="shared" si="0"/>
        <v>6</v>
      </c>
      <c r="B13" s="537" t="str">
        <f>IF(Data!B14="Empty","*Hide*",Data!B14)</f>
        <v>Discont'd Comm Solutions</v>
      </c>
      <c r="C13" s="537" t="str">
        <f t="shared" si="1"/>
        <v>Discont'd Res Appliance</v>
      </c>
      <c r="D13" s="537" t="str">
        <f>VLOOKUP($C13,Data!$B$4:$E$23,MATCH(D$2,Data!$B$3:$E$3,0),FALSE)</f>
        <v>Residential</v>
      </c>
      <c r="E13" s="537" t="str">
        <f>VLOOKUP($C13,Data!$B$4:$E$23,MATCH(E$2,Data!$B$3:$E$3,0),FALSE)</f>
        <v>Coupon Redemption</v>
      </c>
      <c r="F13" s="545">
        <f>IF(ISERROR(D13),MAX(List!$C$5:$C$17)+2,IF(E13=List!$E$10,MAX(List!$C$5:$C$17)+1,VLOOKUP(D13,List!$B$5:$C$17,2,FALSE)))</f>
        <v>1</v>
      </c>
      <c r="G13" s="120"/>
      <c r="H13" s="545">
        <f>RANK(F13,$F$3:$F$22,-1)+COUNTIF($F$3:F13,F13)-1</f>
        <v>3</v>
      </c>
      <c r="I13" s="120"/>
      <c r="J13" s="537" t="str">
        <f t="shared" ca="1" si="2"/>
        <v>Strat Energy Mgmt (SEMP)</v>
      </c>
    </row>
    <row r="14" spans="1:10" x14ac:dyDescent="0.2">
      <c r="A14" s="537">
        <f t="shared" si="0"/>
        <v>11</v>
      </c>
      <c r="B14" s="537" t="str">
        <f>IF(Data!B15="Empty","*Hide*",Data!B15)</f>
        <v>Discont'd Res Appliance</v>
      </c>
      <c r="C14" s="537" t="str">
        <f t="shared" si="1"/>
        <v>Discont'd Res Solutions</v>
      </c>
      <c r="D14" s="537" t="str">
        <f>VLOOKUP($C14,Data!$B$4:$E$23,MATCH(D$2,Data!$B$3:$E$3,0),FALSE)</f>
        <v>Residential</v>
      </c>
      <c r="E14" s="537" t="str">
        <f>VLOOKUP($C14,Data!$B$4:$E$23,MATCH(E$2,Data!$B$3:$E$3,0),FALSE)</f>
        <v>Trade Ally</v>
      </c>
      <c r="F14" s="545">
        <f>IF(ISERROR(D14),MAX(List!$C$5:$C$17)+2,IF(E14=List!$E$10,MAX(List!$C$5:$C$17)+1,VLOOKUP(D14,List!$B$5:$C$17,2,FALSE)))</f>
        <v>1</v>
      </c>
      <c r="G14" s="120"/>
      <c r="H14" s="545">
        <f>RANK(F14,$F$3:$F$22,-1)+COUNTIF($F$3:F14,F14)-1</f>
        <v>4</v>
      </c>
      <c r="I14" s="120"/>
      <c r="J14" s="537" t="str">
        <f t="shared" ca="1" si="2"/>
        <v>Comm &amp; Industrial (CIEEP)</v>
      </c>
    </row>
    <row r="15" spans="1:10" x14ac:dyDescent="0.2">
      <c r="A15" s="537">
        <f t="shared" si="0"/>
        <v>12</v>
      </c>
      <c r="B15" s="537" t="str">
        <f>IF(Data!B16="Empty","*Hide*",Data!B16)</f>
        <v>Discont'd Res Solutions</v>
      </c>
      <c r="C15" s="537" t="str">
        <f t="shared" si="1"/>
        <v>Efficient Products (EPP)</v>
      </c>
      <c r="D15" s="537" t="str">
        <f>VLOOKUP($C15,Data!$B$4:$E$23,MATCH(D$2,Data!$B$3:$E$3,0),FALSE)</f>
        <v>Residential</v>
      </c>
      <c r="E15" s="537" t="str">
        <f>VLOOKUP($C15,Data!$B$4:$E$23,MATCH(E$2,Data!$B$3:$E$3,0),FALSE)</f>
        <v>Retail Outlets</v>
      </c>
      <c r="F15" s="545">
        <f>IF(ISERROR(D15),MAX(List!$C$5:$C$17)+2,IF(E15=List!$E$10,MAX(List!$C$5:$C$17)+1,VLOOKUP(D15,List!$B$5:$C$17,2,FALSE)))</f>
        <v>1</v>
      </c>
      <c r="G15" s="120"/>
      <c r="H15" s="545">
        <f>RANK(F15,$F$3:$F$22,-1)+COUNTIF($F$3:F15,F15)-1</f>
        <v>5</v>
      </c>
      <c r="I15" s="120"/>
      <c r="J15" s="537" t="str">
        <f t="shared" ca="1" si="2"/>
        <v>Discont'd Comm Solutions</v>
      </c>
    </row>
    <row r="16" spans="1:10" x14ac:dyDescent="0.2">
      <c r="A16" s="537">
        <f t="shared" si="0"/>
        <v>10</v>
      </c>
      <c r="B16" s="537" t="str">
        <f>IF(Data!B17="Empty","*Hide*",Data!B17)</f>
        <v>Discont'd R ES Appliance</v>
      </c>
      <c r="C16" s="537" t="str">
        <f t="shared" si="1"/>
        <v>Home Weatherization (HWP)</v>
      </c>
      <c r="D16" s="537" t="str">
        <f>VLOOKUP($C16,Data!$B$4:$E$23,MATCH(D$2,Data!$B$3:$E$3,0),FALSE)</f>
        <v>Residential</v>
      </c>
      <c r="E16" s="537" t="str">
        <f>VLOOKUP($C16,Data!$B$4:$E$23,MATCH(E$2,Data!$B$3:$E$3,0),FALSE)</f>
        <v>Trade Ally</v>
      </c>
      <c r="F16" s="545">
        <f>IF(ISERROR(D16),MAX(List!$C$5:$C$17)+2,IF(E16=List!$E$10,MAX(List!$C$5:$C$17)+1,VLOOKUP(D16,List!$B$5:$C$17,2,FALSE)))</f>
        <v>1</v>
      </c>
      <c r="G16" s="120"/>
      <c r="H16" s="545">
        <f>RANK(F16,$F$3:$F$22,-1)+COUNTIF($F$3:F16,F16)-1</f>
        <v>6</v>
      </c>
      <c r="I16" s="120"/>
      <c r="J16" s="537" t="str">
        <f t="shared" ca="1" si="2"/>
        <v>Load Mgt (LMP)</v>
      </c>
    </row>
    <row r="17" spans="1:10" x14ac:dyDescent="0.2">
      <c r="A17" s="537">
        <f t="shared" si="0"/>
        <v>5</v>
      </c>
      <c r="B17" s="537" t="str">
        <f>IF(Data!B18="Empty","*Hide*",Data!B18)</f>
        <v>Discont'd ARWX (AWIP)</v>
      </c>
      <c r="C17" s="537" t="str">
        <f t="shared" si="1"/>
        <v>Income Qualified (IQW)</v>
      </c>
      <c r="D17" s="537" t="str">
        <f>VLOOKUP($C17,Data!$B$4:$E$23,MATCH(D$2,Data!$B$3:$E$3,0),FALSE)</f>
        <v>Residential</v>
      </c>
      <c r="E17" s="537" t="str">
        <f>VLOOKUP($C17,Data!$B$4:$E$23,MATCH(E$2,Data!$B$3:$E$3,0),FALSE)</f>
        <v>Trade Ally</v>
      </c>
      <c r="F17" s="545">
        <f>IF(ISERROR(D17),MAX(List!$C$5:$C$17)+2,IF(E17=List!$E$10,MAX(List!$C$5:$C$17)+1,VLOOKUP(D17,List!$B$5:$C$17,2,FALSE)))</f>
        <v>1</v>
      </c>
      <c r="G17" s="120"/>
      <c r="H17" s="545">
        <f>RANK(F17,$F$3:$F$22,-1)+COUNTIF($F$3:F17,F17)-1</f>
        <v>7</v>
      </c>
      <c r="I17" s="120"/>
      <c r="J17" s="537" t="str">
        <f t="shared" ca="1" si="2"/>
        <v>New Construction (NCP)</v>
      </c>
    </row>
    <row r="18" spans="1:10" x14ac:dyDescent="0.2">
      <c r="A18" s="537">
        <f t="shared" si="0"/>
        <v>17</v>
      </c>
      <c r="B18" s="537" t="str">
        <f>IF(Data!B19="Empty","*Hide*",Data!B19)</f>
        <v>New Construction (NCP)</v>
      </c>
      <c r="C18" s="537" t="str">
        <f t="shared" si="1"/>
        <v>Load Mgt (LMP)</v>
      </c>
      <c r="D18" s="537" t="str">
        <f>VLOOKUP($C18,Data!$B$4:$E$23,MATCH(D$2,Data!$B$3:$E$3,0),FALSE)</f>
        <v>Commercial &amp; Industrial</v>
      </c>
      <c r="E18" s="537" t="str">
        <f>VLOOKUP($C18,Data!$B$4:$E$23,MATCH(E$2,Data!$B$3:$E$3,0),FALSE)</f>
        <v>Utility Outreach (email/direct mail)</v>
      </c>
      <c r="F18" s="545">
        <f>IF(ISERROR(D18),MAX(List!$C$5:$C$17)+2,IF(E18=List!$E$10,MAX(List!$C$5:$C$17)+1,VLOOKUP(D18,List!$B$5:$C$17,2,FALSE)))</f>
        <v>4</v>
      </c>
      <c r="G18" s="120"/>
      <c r="H18" s="545">
        <f>RANK(F18,$F$3:$F$22,-1)+COUNTIF($F$3:F18,F18)-1</f>
        <v>14</v>
      </c>
      <c r="I18" s="120"/>
      <c r="J18" s="537" t="str">
        <f t="shared" ca="1" si="2"/>
        <v>Small Business (SBP)</v>
      </c>
    </row>
    <row r="19" spans="1:10" x14ac:dyDescent="0.2">
      <c r="A19" s="537">
        <f t="shared" si="0"/>
        <v>20</v>
      </c>
      <c r="B19" s="537" t="str">
        <f>IF(Data!B20="Empty","*Hide*",Data!B20)</f>
        <v>Strat Energy Mgmt (SEMP)</v>
      </c>
      <c r="C19" s="537" t="str">
        <f t="shared" si="1"/>
        <v>New Construction (NCP)</v>
      </c>
      <c r="D19" s="537" t="str">
        <f>VLOOKUP($C19,Data!$B$4:$E$23,MATCH(D$2,Data!$B$3:$E$3,0),FALSE)</f>
        <v>Res/C&amp;I</v>
      </c>
      <c r="E19" s="537" t="str">
        <f>VLOOKUP($C19,Data!$B$4:$E$23,MATCH(E$2,Data!$B$3:$E$3,0),FALSE)</f>
        <v>Trade Ally</v>
      </c>
      <c r="F19" s="545">
        <f>IF(ISERROR(D19),MAX(List!$C$5:$C$17)+2,IF(E19=List!$E$10,MAX(List!$C$5:$C$17)+1,VLOOKUP(D19,List!$B$5:$C$17,2,FALSE)))</f>
        <v>5</v>
      </c>
      <c r="G19" s="120"/>
      <c r="H19" s="545">
        <f>RANK(F19,$F$3:$F$22,-1)+COUNTIF($F$3:F19,F19)-1</f>
        <v>15</v>
      </c>
      <c r="I19" s="120"/>
      <c r="J19" s="537" t="str">
        <f t="shared" ca="1" si="2"/>
        <v>Discont'd ARWX (AWIP)</v>
      </c>
    </row>
    <row r="20" spans="1:10" x14ac:dyDescent="0.2">
      <c r="A20" s="537">
        <f t="shared" si="0"/>
        <v>3</v>
      </c>
      <c r="B20" s="537" t="str">
        <f>IF(Data!B21="Empty","*Hide*",Data!B21)</f>
        <v>Bring Y/Otstat (BYOT)</v>
      </c>
      <c r="C20" s="537" t="str">
        <f t="shared" si="1"/>
        <v>Res Energy Imprv (REIP)</v>
      </c>
      <c r="D20" s="537" t="str">
        <f>VLOOKUP($C20,Data!$B$4:$E$23,MATCH(D$2,Data!$B$3:$E$3,0),FALSE)</f>
        <v>Residential</v>
      </c>
      <c r="E20" s="537" t="str">
        <f>VLOOKUP($C20,Data!$B$4:$E$23,MATCH(E$2,Data!$B$3:$E$3,0),FALSE)</f>
        <v>Trade Ally</v>
      </c>
      <c r="F20" s="545">
        <f>IF(ISERROR(D20),MAX(List!$C$5:$C$17)+2,IF(E20=List!$E$10,MAX(List!$C$5:$C$17)+1,VLOOKUP(D20,List!$B$5:$C$17,2,FALSE)))</f>
        <v>1</v>
      </c>
      <c r="G20" s="120"/>
      <c r="H20" s="545">
        <f>RANK(F20,$F$3:$F$22,-1)+COUNTIF($F$3:F20,F20)-1</f>
        <v>8</v>
      </c>
      <c r="I20" s="120"/>
      <c r="J20" s="537" t="str">
        <f t="shared" ca="1" si="2"/>
        <v>Discont'd EE AR (EEA)</v>
      </c>
    </row>
    <row r="21" spans="1:10" x14ac:dyDescent="0.2">
      <c r="A21" s="537">
        <f t="shared" si="0"/>
        <v>2</v>
      </c>
      <c r="B21" s="537" t="str">
        <f>IF(Data!B22="Empty","*Hide*",Data!B22)</f>
        <v>*Hide*</v>
      </c>
      <c r="C21" s="537" t="str">
        <f t="shared" si="1"/>
        <v>Small Business (SBP)</v>
      </c>
      <c r="D21" s="537" t="str">
        <f>VLOOKUP($C21,Data!$B$4:$E$23,MATCH(D$2,Data!$B$3:$E$3,0),FALSE)</f>
        <v>Small Business/C&amp;I</v>
      </c>
      <c r="E21" s="537" t="str">
        <f>VLOOKUP($C21,Data!$B$4:$E$23,MATCH(E$2,Data!$B$3:$E$3,0),FALSE)</f>
        <v>Trade Ally</v>
      </c>
      <c r="F21" s="545">
        <f>IF(ISERROR(D21),MAX(List!$C$5:$C$17)+2,IF(E21=List!$E$10,MAX(List!$C$5:$C$17)+1,VLOOKUP(D21,List!$B$5:$C$17,2,FALSE)))</f>
        <v>6</v>
      </c>
      <c r="G21" s="120"/>
      <c r="H21" s="545">
        <f>RANK(F21,$F$3:$F$22,-1)+COUNTIF($F$3:F21,F21)-1</f>
        <v>16</v>
      </c>
      <c r="I21" s="120"/>
      <c r="J21" s="537" t="str">
        <f t="shared" ca="1" si="2"/>
        <v>*Hide*</v>
      </c>
    </row>
    <row r="22" spans="1:10" x14ac:dyDescent="0.2">
      <c r="A22" s="537">
        <f t="shared" si="0"/>
        <v>2</v>
      </c>
      <c r="B22" s="537" t="str">
        <f>IF(Data!B23="Empty","*Hide*",Data!B23)</f>
        <v>*Hide*</v>
      </c>
      <c r="C22" s="537" t="str">
        <f t="shared" si="1"/>
        <v>Strat Energy Mgmt (SEMP)</v>
      </c>
      <c r="D22" s="537" t="str">
        <f>VLOOKUP($C22,Data!$B$4:$E$23,MATCH(D$2,Data!$B$3:$E$3,0),FALSE)</f>
        <v>Res/Small Business</v>
      </c>
      <c r="E22" s="537" t="str">
        <f>VLOOKUP($C22,Data!$B$4:$E$23,MATCH(E$2,Data!$B$3:$E$3,0),FALSE)</f>
        <v>Utility Outreach (email/direct mail)</v>
      </c>
      <c r="F22" s="545">
        <f>IF(ISERROR(D22),MAX(List!$C$5:$C$17)+2,IF(E22=List!$E$10,MAX(List!$C$5:$C$17)+1,VLOOKUP(D22,List!$B$5:$C$17,2,FALSE)))</f>
        <v>3</v>
      </c>
      <c r="G22" s="120"/>
      <c r="H22" s="545">
        <f>RANK(F22,$F$3:$F$22,-1)+COUNTIF($F$3:F22,F22)-1</f>
        <v>11</v>
      </c>
      <c r="I22" s="120"/>
      <c r="J22" s="537" t="str">
        <f t="shared" ca="1" si="2"/>
        <v>*Hide*</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0000"/>
  </sheetPr>
  <dimension ref="B1:O126"/>
  <sheetViews>
    <sheetView topLeftCell="A36" zoomScale="75" zoomScaleNormal="75" workbookViewId="0">
      <selection activeCell="B14" sqref="B14"/>
    </sheetView>
  </sheetViews>
  <sheetFormatPr defaultRowHeight="12.75" x14ac:dyDescent="0.2"/>
  <cols>
    <col min="1" max="1" width="5" customWidth="1"/>
    <col min="2" max="2" width="35.85546875" customWidth="1"/>
    <col min="3" max="3" width="21.85546875" bestFit="1" customWidth="1"/>
    <col min="4" max="4" width="26.85546875" bestFit="1" customWidth="1"/>
    <col min="5" max="5" width="13.42578125" customWidth="1"/>
    <col min="6" max="6" width="12.5703125" bestFit="1" customWidth="1"/>
    <col min="7" max="7" width="15.85546875" bestFit="1" customWidth="1"/>
    <col min="8" max="8" width="12.140625" bestFit="1" customWidth="1"/>
    <col min="9" max="9" width="12" customWidth="1"/>
    <col min="11" max="11" width="11.5703125" bestFit="1" customWidth="1"/>
    <col min="12" max="12" width="14" customWidth="1"/>
    <col min="13" max="13" width="13" customWidth="1"/>
    <col min="14" max="14" width="13.85546875" bestFit="1" customWidth="1"/>
    <col min="15" max="15" width="21.85546875" bestFit="1" customWidth="1"/>
    <col min="16" max="16" width="12.140625" bestFit="1" customWidth="1"/>
    <col min="17" max="17" width="12.85546875" bestFit="1" customWidth="1"/>
    <col min="18" max="18" width="12" bestFit="1" customWidth="1"/>
    <col min="22" max="22" width="10.42578125" bestFit="1" customWidth="1"/>
    <col min="23" max="23" width="11.5703125" bestFit="1" customWidth="1"/>
  </cols>
  <sheetData>
    <row r="1" spans="2:12" x14ac:dyDescent="0.2">
      <c r="B1" s="268"/>
    </row>
    <row r="2" spans="2:12" x14ac:dyDescent="0.2">
      <c r="B2" s="90" t="s">
        <v>783</v>
      </c>
    </row>
    <row r="3" spans="2:12" x14ac:dyDescent="0.2">
      <c r="B3" s="535" t="s">
        <v>569</v>
      </c>
      <c r="C3" s="535" t="s">
        <v>784</v>
      </c>
      <c r="D3" s="535" t="s">
        <v>31</v>
      </c>
      <c r="E3" s="535" t="s">
        <v>39</v>
      </c>
      <c r="F3" s="535" t="s">
        <v>40</v>
      </c>
      <c r="G3" s="535" t="s">
        <v>785</v>
      </c>
      <c r="H3" s="535" t="s">
        <v>776</v>
      </c>
      <c r="I3" s="535" t="s">
        <v>786</v>
      </c>
      <c r="J3" s="379" t="s">
        <v>787</v>
      </c>
      <c r="K3" s="379" t="s">
        <v>788</v>
      </c>
      <c r="L3" s="379" t="s">
        <v>789</v>
      </c>
    </row>
    <row r="4" spans="2:12" x14ac:dyDescent="0.2">
      <c r="B4" s="540">
        <f>IF(Demand_1=NG_Demand,"n/a",'Evaluated Savings'!D26/1000)</f>
        <v>17.476779999999994</v>
      </c>
      <c r="C4" s="540">
        <f>IF(Demand_1=NG_Demand,'Evaluated Savings'!E26,'Evaluated Savings'!E26/1000)</f>
        <v>44577.760000000002</v>
      </c>
      <c r="D4" s="546">
        <f>'Actual Expenses'!J91</f>
        <v>13219430.800000001</v>
      </c>
      <c r="E4" s="546">
        <f>LCFC!J33</f>
        <v>0</v>
      </c>
      <c r="F4" s="546">
        <f>Incentives!D21</f>
        <v>973447.71299999999</v>
      </c>
      <c r="G4" s="546">
        <f>'Cost-Benefits'!I27*1000</f>
        <v>9734477.129999999</v>
      </c>
      <c r="H4" s="547">
        <f>'Cost-Benefits'!J27</f>
        <v>1.6820050651604246</v>
      </c>
      <c r="I4" s="547">
        <f>'Other CB Test'!I26</f>
        <v>1.56</v>
      </c>
      <c r="J4" s="380">
        <f>Incentives!D14</f>
        <v>1.2E-2</v>
      </c>
      <c r="K4" s="380">
        <f>Incentives!F13</f>
        <v>1.6002324828889147E-2</v>
      </c>
      <c r="L4" s="380">
        <f>Incentives!D17</f>
        <v>1.33</v>
      </c>
    </row>
    <row r="7" spans="2:12" x14ac:dyDescent="0.2">
      <c r="B7" s="90" t="s">
        <v>790</v>
      </c>
    </row>
    <row r="8" spans="2:12" x14ac:dyDescent="0.2">
      <c r="B8" s="535" t="s">
        <v>93</v>
      </c>
      <c r="C8" s="535" t="s">
        <v>768</v>
      </c>
      <c r="D8" s="535" t="s">
        <v>769</v>
      </c>
      <c r="E8" s="544" t="s">
        <v>542</v>
      </c>
      <c r="F8" s="544" t="s">
        <v>543</v>
      </c>
    </row>
    <row r="9" spans="2:12" x14ac:dyDescent="0.2">
      <c r="B9" s="537" t="str">
        <f ca="1">Order!J3</f>
        <v>Discont'd Onlne Audt(OLA)</v>
      </c>
      <c r="C9" s="548" t="str">
        <f ca="1">IF(ISERROR(VLOOKUP(B9,Data!$B$4:$N$23,2,FALSE)),"-",VLOOKUP(B9,Data!$B$4:$N$23,2,FALSE))</f>
        <v>Residential</v>
      </c>
      <c r="D9" s="549" t="str">
        <f ca="1">IF(ISERROR(VLOOKUP(B9,Data!$B$4:$N$23,3,FALSE)),"-",VLOOKUP(B9,Data!$B$4:$N$23,3,FALSE))</f>
        <v>Behavior/Education</v>
      </c>
      <c r="E9" s="546">
        <f ca="1">IF(ISERROR(VLOOKUP(B9,Data!$B$4:$N$23,10,FALSE)),"-",VLOOKUP(B9,Data!$B$4:$N$23,10,FALSE))</f>
        <v>0</v>
      </c>
      <c r="F9" s="546">
        <f ca="1">IF(ISERROR(VLOOKUP(B9,Data!$B$29:$N$48,10,FALSE)),"-",VLOOKUP(B9,Data!$B$29:$N$48,10,FALSE))</f>
        <v>0</v>
      </c>
    </row>
    <row r="10" spans="2:12" x14ac:dyDescent="0.2">
      <c r="B10" s="537" t="str">
        <f ca="1">Order!J4</f>
        <v>Discont'd R ES Appliance</v>
      </c>
      <c r="C10" s="548" t="str">
        <f ca="1">IF(ISERROR(VLOOKUP(B10,Data!$B$4:$N$23,2,FALSE)),"-",VLOOKUP(B10,Data!$B$4:$N$23,2,FALSE))</f>
        <v>Residential</v>
      </c>
      <c r="D10" s="549" t="str">
        <f ca="1">IF(ISERROR(VLOOKUP(B10,Data!$B$4:$N$23,3,FALSE)),"-",VLOOKUP(B10,Data!$B$4:$N$23,3,FALSE))</f>
        <v>Consumer Product Rebate</v>
      </c>
      <c r="E10" s="546">
        <f ca="1">IF(ISERROR(VLOOKUP(B10,Data!$B$4:$N$23,10,FALSE)),"-",VLOOKUP(B10,Data!$B$4:$N$23,10,FALSE))</f>
        <v>0</v>
      </c>
      <c r="F10" s="546">
        <f ca="1">IF(ISERROR(VLOOKUP(B10,Data!$B$29:$N$48,10,FALSE)),"-",VLOOKUP(B10,Data!$B$29:$N$48,10,FALSE))</f>
        <v>0</v>
      </c>
    </row>
    <row r="11" spans="2:12" x14ac:dyDescent="0.2">
      <c r="B11" s="537" t="str">
        <f ca="1">Order!J5</f>
        <v>Discont'd Res Appliance</v>
      </c>
      <c r="C11" s="548" t="str">
        <f ca="1">IF(ISERROR(VLOOKUP(B11,Data!$B$4:$N$23,2,FALSE)),"-",VLOOKUP(B11,Data!$B$4:$N$23,2,FALSE))</f>
        <v>Residential</v>
      </c>
      <c r="D11" s="549" t="str">
        <f ca="1">IF(ISERROR(VLOOKUP(B11,Data!$B$4:$N$23,3,FALSE)),"-",VLOOKUP(B11,Data!$B$4:$N$23,3,FALSE))</f>
        <v>Consumer Product Rebate</v>
      </c>
      <c r="E11" s="546">
        <f ca="1">IF(ISERROR(VLOOKUP(B11,Data!$B$4:$N$23,10,FALSE)),"-",VLOOKUP(B11,Data!$B$4:$N$23,10,FALSE))</f>
        <v>0</v>
      </c>
      <c r="F11" s="546">
        <f ca="1">IF(ISERROR(VLOOKUP(B11,Data!$B$29:$N$48,10,FALSE)),"-",VLOOKUP(B11,Data!$B$29:$N$48,10,FALSE))</f>
        <v>0</v>
      </c>
    </row>
    <row r="12" spans="2:12" x14ac:dyDescent="0.2">
      <c r="B12" s="537" t="str">
        <f ca="1">Order!J6</f>
        <v>Discont'd Res Solutions</v>
      </c>
      <c r="C12" s="548" t="str">
        <f ca="1">IF(ISERROR(VLOOKUP(B12,Data!$B$4:$N$23,2,FALSE)),"-",VLOOKUP(B12,Data!$B$4:$N$23,2,FALSE))</f>
        <v>Residential</v>
      </c>
      <c r="D12" s="549" t="str">
        <f ca="1">IF(ISERROR(VLOOKUP(B12,Data!$B$4:$N$23,3,FALSE)),"-",VLOOKUP(B12,Data!$B$4:$N$23,3,FALSE))</f>
        <v>Prescriptive/Standard Offer</v>
      </c>
      <c r="E12" s="546">
        <f ca="1">IF(ISERROR(VLOOKUP(B12,Data!$B$4:$N$23,10,FALSE)),"-",VLOOKUP(B12,Data!$B$4:$N$23,10,FALSE))</f>
        <v>0</v>
      </c>
      <c r="F12" s="546">
        <f ca="1">IF(ISERROR(VLOOKUP(B12,Data!$B$29:$N$48,10,FALSE)),"-",VLOOKUP(B12,Data!$B$29:$N$48,10,FALSE))</f>
        <v>0</v>
      </c>
    </row>
    <row r="13" spans="2:12" x14ac:dyDescent="0.2">
      <c r="B13" s="537" t="str">
        <f ca="1">Order!J7</f>
        <v>Efficient Products (EPP)</v>
      </c>
      <c r="C13" s="548" t="str">
        <f ca="1">IF(ISERROR(VLOOKUP(B13,Data!$B$4:$N$23,2,FALSE)),"-",VLOOKUP(B13,Data!$B$4:$N$23,2,FALSE))</f>
        <v>Residential</v>
      </c>
      <c r="D13" s="549" t="str">
        <f ca="1">IF(ISERROR(VLOOKUP(B13,Data!$B$4:$N$23,3,FALSE)),"-",VLOOKUP(B13,Data!$B$4:$N$23,3,FALSE))</f>
        <v>Consumer Product Rebate</v>
      </c>
      <c r="E13" s="546">
        <f ca="1">IF(ISERROR(VLOOKUP(B13,Data!$B$4:$N$23,10,FALSE)),"-",VLOOKUP(B13,Data!$B$4:$N$23,10,FALSE))</f>
        <v>720823</v>
      </c>
      <c r="F13" s="546">
        <f ca="1">IF(ISERROR(VLOOKUP(B13,Data!$B$29:$N$48,10,FALSE)),"-",VLOOKUP(B13,Data!$B$29:$N$48,10,FALSE))</f>
        <v>675653.44</v>
      </c>
    </row>
    <row r="14" spans="2:12" x14ac:dyDescent="0.2">
      <c r="B14" s="537" t="str">
        <f ca="1">Order!J8</f>
        <v>Home Weatherization (HWP)</v>
      </c>
      <c r="C14" s="548" t="str">
        <f ca="1">IF(ISERROR(VLOOKUP(B14,Data!$B$4:$N$23,2,FALSE)),"-",VLOOKUP(B14,Data!$B$4:$N$23,2,FALSE))</f>
        <v>Residential</v>
      </c>
      <c r="D14" s="549" t="str">
        <f ca="1">IF(ISERROR(VLOOKUP(B14,Data!$B$4:$N$23,3,FALSE)),"-",VLOOKUP(B14,Data!$B$4:$N$23,3,FALSE))</f>
        <v>Whole Home</v>
      </c>
      <c r="E14" s="546">
        <f ca="1">IF(ISERROR(VLOOKUP(B14,Data!$B$4:$N$23,10,FALSE)),"-",VLOOKUP(B14,Data!$B$4:$N$23,10,FALSE))</f>
        <v>2361354</v>
      </c>
      <c r="F14" s="546">
        <f ca="1">IF(ISERROR(VLOOKUP(B14,Data!$B$29:$N$48,10,FALSE)),"-",VLOOKUP(B14,Data!$B$29:$N$48,10,FALSE))</f>
        <v>2066144.0100000002</v>
      </c>
    </row>
    <row r="15" spans="2:12" x14ac:dyDescent="0.2">
      <c r="B15" s="537" t="str">
        <f ca="1">Order!J9</f>
        <v>Income Qualified (IQW)</v>
      </c>
      <c r="C15" s="548" t="str">
        <f ca="1">IF(ISERROR(VLOOKUP(B15,Data!$B$4:$N$23,2,FALSE)),"-",VLOOKUP(B15,Data!$B$4:$N$23,2,FALSE))</f>
        <v>Residential</v>
      </c>
      <c r="D15" s="549" t="str">
        <f ca="1">IF(ISERROR(VLOOKUP(B15,Data!$B$4:$N$23,3,FALSE)),"-",VLOOKUP(B15,Data!$B$4:$N$23,3,FALSE))</f>
        <v>Whole Home</v>
      </c>
      <c r="E15" s="546">
        <f ca="1">IF(ISERROR(VLOOKUP(B15,Data!$B$4:$N$23,10,FALSE)),"-",VLOOKUP(B15,Data!$B$4:$N$23,10,FALSE))</f>
        <v>1098112</v>
      </c>
      <c r="F15" s="546">
        <f ca="1">IF(ISERROR(VLOOKUP(B15,Data!$B$29:$N$48,10,FALSE)),"-",VLOOKUP(B15,Data!$B$29:$N$48,10,FALSE))</f>
        <v>1111588.78</v>
      </c>
    </row>
    <row r="16" spans="2:12" x14ac:dyDescent="0.2">
      <c r="B16" s="537" t="str">
        <f ca="1">Order!J10</f>
        <v>Res Energy Imprv (REIP)</v>
      </c>
      <c r="C16" s="548" t="str">
        <f ca="1">IF(ISERROR(VLOOKUP(B16,Data!$B$4:$N$23,2,FALSE)),"-",VLOOKUP(B16,Data!$B$4:$N$23,2,FALSE))</f>
        <v>Residential</v>
      </c>
      <c r="D16" s="549" t="str">
        <f ca="1">IF(ISERROR(VLOOKUP(B16,Data!$B$4:$N$23,3,FALSE)),"-",VLOOKUP(B16,Data!$B$4:$N$23,3,FALSE))</f>
        <v>Prescriptive/Standard Offer</v>
      </c>
      <c r="E16" s="546">
        <f ca="1">IF(ISERROR(VLOOKUP(B16,Data!$B$4:$N$23,10,FALSE)),"-",VLOOKUP(B16,Data!$B$4:$N$23,10,FALSE))</f>
        <v>2864054</v>
      </c>
      <c r="F16" s="546">
        <f ca="1">IF(ISERROR(VLOOKUP(B16,Data!$B$29:$N$48,10,FALSE)),"-",VLOOKUP(B16,Data!$B$29:$N$48,10,FALSE))</f>
        <v>2841826.0799999996</v>
      </c>
    </row>
    <row r="17" spans="2:6" x14ac:dyDescent="0.2">
      <c r="B17" s="537" t="str">
        <f ca="1">Order!J11</f>
        <v>Bring Y/Otstat (BYOT)</v>
      </c>
      <c r="C17" s="548" t="str">
        <f ca="1">IF(ISERROR(VLOOKUP(B17,Data!$B$4:$N$23,2,FALSE)),"-",VLOOKUP(B17,Data!$B$4:$N$23,2,FALSE))</f>
        <v>Res/Small Business</v>
      </c>
      <c r="D17" s="549" t="str">
        <f ca="1">IF(ISERROR(VLOOKUP(B17,Data!$B$4:$N$23,3,FALSE)),"-",VLOOKUP(B17,Data!$B$4:$N$23,3,FALSE))</f>
        <v>Demand Response</v>
      </c>
      <c r="E17" s="546">
        <f ca="1">IF(ISERROR(VLOOKUP(B17,Data!$B$4:$N$23,10,FALSE)),"-",VLOOKUP(B17,Data!$B$4:$N$23,10,FALSE))</f>
        <v>481079</v>
      </c>
      <c r="F17" s="546">
        <f ca="1">IF(ISERROR(VLOOKUP(B17,Data!$B$29:$N$48,10,FALSE)),"-",VLOOKUP(B17,Data!$B$29:$N$48,10,FALSE))</f>
        <v>188987.53</v>
      </c>
    </row>
    <row r="18" spans="2:6" x14ac:dyDescent="0.2">
      <c r="B18" s="537" t="str">
        <f ca="1">Order!J12</f>
        <v>Discont'd Ele Veh (EVE)</v>
      </c>
      <c r="C18" s="548" t="str">
        <f ca="1">IF(ISERROR(VLOOKUP(B18,Data!$B$4:$N$23,2,FALSE)),"-",VLOOKUP(B18,Data!$B$4:$N$23,2,FALSE))</f>
        <v>Res/Small Business</v>
      </c>
      <c r="D18" s="549" t="str">
        <f ca="1">IF(ISERROR(VLOOKUP(B18,Data!$B$4:$N$23,3,FALSE)),"-",VLOOKUP(B18,Data!$B$4:$N$23,3,FALSE))</f>
        <v>Measure/Technology Focus</v>
      </c>
      <c r="E18" s="546">
        <f ca="1">IF(ISERROR(VLOOKUP(B18,Data!$B$4:$N$23,10,FALSE)),"-",VLOOKUP(B18,Data!$B$4:$N$23,10,FALSE))</f>
        <v>0</v>
      </c>
      <c r="F18" s="546">
        <f ca="1">IF(ISERROR(VLOOKUP(B18,Data!$B$29:$N$48,10,FALSE)),"-",VLOOKUP(B18,Data!$B$29:$N$48,10,FALSE))</f>
        <v>15.399999999999999</v>
      </c>
    </row>
    <row r="19" spans="2:6" x14ac:dyDescent="0.2">
      <c r="B19" s="537" t="str">
        <f ca="1">Order!J13</f>
        <v>Strat Energy Mgmt (SEMP)</v>
      </c>
      <c r="C19" s="548" t="str">
        <f ca="1">IF(ISERROR(VLOOKUP(B19,Data!$B$4:$N$23,2,FALSE)),"-",VLOOKUP(B19,Data!$B$4:$N$23,2,FALSE))</f>
        <v>Res/Small Business</v>
      </c>
      <c r="D19" s="549" t="str">
        <f ca="1">IF(ISERROR(VLOOKUP(B19,Data!$B$4:$N$23,3,FALSE)),"-",VLOOKUP(B19,Data!$B$4:$N$23,3,FALSE))</f>
        <v>Behavior/Education</v>
      </c>
      <c r="E19" s="546">
        <f ca="1">IF(ISERROR(VLOOKUP(B19,Data!$B$4:$N$23,10,FALSE)),"-",VLOOKUP(B19,Data!$B$4:$N$23,10,FALSE))</f>
        <v>559109</v>
      </c>
      <c r="F19" s="546">
        <f ca="1">IF(ISERROR(VLOOKUP(B19,Data!$B$29:$N$48,10,FALSE)),"-",VLOOKUP(B19,Data!$B$29:$N$48,10,FALSE))</f>
        <v>574855.58000000007</v>
      </c>
    </row>
    <row r="20" spans="2:6" x14ac:dyDescent="0.2">
      <c r="B20" s="537" t="str">
        <f ca="1">Order!J14</f>
        <v>Comm &amp; Industrial (CIEEP)</v>
      </c>
      <c r="C20" s="548" t="str">
        <f ca="1">IF(ISERROR(VLOOKUP(B20,Data!$B$4:$N$23,2,FALSE)),"-",VLOOKUP(B20,Data!$B$4:$N$23,2,FALSE))</f>
        <v>Commercial &amp; Industrial</v>
      </c>
      <c r="D20" s="549" t="str">
        <f ca="1">IF(ISERROR(VLOOKUP(B20,Data!$B$4:$N$23,3,FALSE)),"-",VLOOKUP(B20,Data!$B$4:$N$23,3,FALSE))</f>
        <v>Other</v>
      </c>
      <c r="E20" s="546">
        <f ca="1">IF(ISERROR(VLOOKUP(B20,Data!$B$4:$N$23,10,FALSE)),"-",VLOOKUP(B20,Data!$B$4:$N$23,10,FALSE))</f>
        <v>3084080</v>
      </c>
      <c r="F20" s="546">
        <f ca="1">IF(ISERROR(VLOOKUP(B20,Data!$B$29:$N$48,10,FALSE)),"-",VLOOKUP(B20,Data!$B$29:$N$48,10,FALSE))</f>
        <v>2928754.98</v>
      </c>
    </row>
    <row r="21" spans="2:6" x14ac:dyDescent="0.2">
      <c r="B21" s="537" t="str">
        <f ca="1">Order!J15</f>
        <v>Discont'd Comm Solutions</v>
      </c>
      <c r="C21" s="548" t="str">
        <f ca="1">IF(ISERROR(VLOOKUP(B21,Data!$B$4:$N$23,2,FALSE)),"-",VLOOKUP(B21,Data!$B$4:$N$23,2,FALSE))</f>
        <v>Commercial &amp; Industrial</v>
      </c>
      <c r="D21" s="549" t="str">
        <f ca="1">IF(ISERROR(VLOOKUP(B21,Data!$B$4:$N$23,3,FALSE)),"-",VLOOKUP(B21,Data!$B$4:$N$23,3,FALSE))</f>
        <v>Other</v>
      </c>
      <c r="E21" s="546">
        <f ca="1">IF(ISERROR(VLOOKUP(B21,Data!$B$4:$N$23,10,FALSE)),"-",VLOOKUP(B21,Data!$B$4:$N$23,10,FALSE))</f>
        <v>0</v>
      </c>
      <c r="F21" s="546">
        <f ca="1">IF(ISERROR(VLOOKUP(B21,Data!$B$29:$N$48,10,FALSE)),"-",VLOOKUP(B21,Data!$B$29:$N$48,10,FALSE))</f>
        <v>0</v>
      </c>
    </row>
    <row r="22" spans="2:6" x14ac:dyDescent="0.2">
      <c r="B22" s="537" t="str">
        <f ca="1">Order!J16</f>
        <v>Load Mgt (LMP)</v>
      </c>
      <c r="C22" s="548" t="str">
        <f ca="1">IF(ISERROR(VLOOKUP(B22,Data!$B$4:$N$23,2,FALSE)),"-",VLOOKUP(B22,Data!$B$4:$N$23,2,FALSE))</f>
        <v>Commercial &amp; Industrial</v>
      </c>
      <c r="D22" s="549" t="str">
        <f ca="1">IF(ISERROR(VLOOKUP(B22,Data!$B$4:$N$23,3,FALSE)),"-",VLOOKUP(B22,Data!$B$4:$N$23,3,FALSE))</f>
        <v>Demand Response</v>
      </c>
      <c r="E22" s="546">
        <f ca="1">IF(ISERROR(VLOOKUP(B22,Data!$B$4:$N$23,10,FALSE)),"-",VLOOKUP(B22,Data!$B$4:$N$23,10,FALSE))</f>
        <v>1007610</v>
      </c>
      <c r="F22" s="546">
        <f ca="1">IF(ISERROR(VLOOKUP(B22,Data!$B$29:$N$48,10,FALSE)),"-",VLOOKUP(B22,Data!$B$29:$N$48,10,FALSE))</f>
        <v>786371.33000000007</v>
      </c>
    </row>
    <row r="23" spans="2:6" x14ac:dyDescent="0.2">
      <c r="B23" s="537" t="str">
        <f ca="1">Order!J17</f>
        <v>New Construction (NCP)</v>
      </c>
      <c r="C23" s="548" t="str">
        <f ca="1">IF(ISERROR(VLOOKUP(B23,Data!$B$4:$N$23,2,FALSE)),"-",VLOOKUP(B23,Data!$B$4:$N$23,2,FALSE))</f>
        <v>Res/C&amp;I</v>
      </c>
      <c r="D23" s="549" t="str">
        <f ca="1">IF(ISERROR(VLOOKUP(B23,Data!$B$4:$N$23,3,FALSE)),"-",VLOOKUP(B23,Data!$B$4:$N$23,3,FALSE))</f>
        <v>Prescriptive/Standard Offer</v>
      </c>
      <c r="E23" s="546">
        <f ca="1">IF(ISERROR(VLOOKUP(B23,Data!$B$4:$N$23,10,FALSE)),"-",VLOOKUP(B23,Data!$B$4:$N$23,10,FALSE))</f>
        <v>415993</v>
      </c>
      <c r="F23" s="546">
        <f ca="1">IF(ISERROR(VLOOKUP(B23,Data!$B$29:$N$48,10,FALSE)),"-",VLOOKUP(B23,Data!$B$29:$N$48,10,FALSE))</f>
        <v>410760.84</v>
      </c>
    </row>
    <row r="24" spans="2:6" x14ac:dyDescent="0.2">
      <c r="B24" s="537" t="str">
        <f ca="1">Order!J18</f>
        <v>Small Business (SBP)</v>
      </c>
      <c r="C24" s="548" t="str">
        <f ca="1">IF(ISERROR(VLOOKUP(B24,Data!$B$4:$N$23,2,FALSE)),"-",VLOOKUP(B24,Data!$B$4:$N$23,2,FALSE))</f>
        <v>Small Business/C&amp;I</v>
      </c>
      <c r="D24" s="549" t="str">
        <f ca="1">IF(ISERROR(VLOOKUP(B24,Data!$B$4:$N$23,3,FALSE)),"-",VLOOKUP(B24,Data!$B$4:$N$23,3,FALSE))</f>
        <v>Prescriptive/Standard Offer</v>
      </c>
      <c r="E24" s="546">
        <f ca="1">IF(ISERROR(VLOOKUP(B24,Data!$B$4:$N$23,10,FALSE)),"-",VLOOKUP(B24,Data!$B$4:$N$23,10,FALSE))</f>
        <v>1596350</v>
      </c>
      <c r="F24" s="546">
        <f ca="1">IF(ISERROR(VLOOKUP(B24,Data!$B$29:$N$48,10,FALSE)),"-",VLOOKUP(B24,Data!$B$29:$N$48,10,FALSE))</f>
        <v>1545628.96</v>
      </c>
    </row>
    <row r="25" spans="2:6" x14ac:dyDescent="0.2">
      <c r="B25" s="537" t="str">
        <f ca="1">Order!J19</f>
        <v>Discont'd ARWX (AWIP)</v>
      </c>
      <c r="C25" s="548" t="str">
        <f ca="1">IF(ISERROR(VLOOKUP(B25,Data!$B$4:$N$23,2,FALSE)),"-",VLOOKUP(B25,Data!$B$4:$N$23,2,FALSE))</f>
        <v>Residential</v>
      </c>
      <c r="D25" s="549" t="str">
        <f ca="1">IF(ISERROR(VLOOKUP(B25,Data!$B$4:$N$23,3,FALSE)),"-",VLOOKUP(B25,Data!$B$4:$N$23,3,FALSE))</f>
        <v>Whole Home</v>
      </c>
      <c r="E25" s="546">
        <f ca="1">IF(ISERROR(VLOOKUP(B25,Data!$B$4:$N$23,10,FALSE)),"-",VLOOKUP(B25,Data!$B$4:$N$23,10,FALSE))</f>
        <v>0</v>
      </c>
      <c r="F25" s="546">
        <f ca="1">IF(ISERROR(VLOOKUP(B25,Data!$B$29:$N$48,10,FALSE)),"-",VLOOKUP(B25,Data!$B$29:$N$48,10,FALSE))</f>
        <v>0</v>
      </c>
    </row>
    <row r="26" spans="2:6" x14ac:dyDescent="0.2">
      <c r="B26" s="537" t="str">
        <f ca="1">Order!J20</f>
        <v>Discont'd EE AR (EEA)</v>
      </c>
      <c r="C26" s="548" t="str">
        <f ca="1">IF(ISERROR(VLOOKUP(B26,Data!$B$4:$N$23,2,FALSE)),"-",VLOOKUP(B26,Data!$B$4:$N$23,2,FALSE))</f>
        <v>All Classes</v>
      </c>
      <c r="D26" s="549" t="str">
        <f ca="1">IF(ISERROR(VLOOKUP(B26,Data!$B$4:$N$23,3,FALSE)),"-",VLOOKUP(B26,Data!$B$4:$N$23,3,FALSE))</f>
        <v>Behavior/Education</v>
      </c>
      <c r="E26" s="546">
        <f ca="1">IF(ISERROR(VLOOKUP(B26,Data!$B$4:$N$23,10,FALSE)),"-",VLOOKUP(B26,Data!$B$4:$N$23,10,FALSE))</f>
        <v>0</v>
      </c>
      <c r="F26" s="546">
        <f ca="1">IF(ISERROR(VLOOKUP(B26,Data!$B$29:$N$48,10,FALSE)),"-",VLOOKUP(B26,Data!$B$29:$N$48,10,FALSE))</f>
        <v>0</v>
      </c>
    </row>
    <row r="27" spans="2:6" x14ac:dyDescent="0.2">
      <c r="B27" s="537" t="str">
        <f ca="1">Order!J21</f>
        <v>*Hide*</v>
      </c>
      <c r="C27" s="548" t="str">
        <f ca="1">IF(ISERROR(VLOOKUP(B27,Data!$B$4:$N$23,2,FALSE)),"-",VLOOKUP(B27,Data!$B$4:$N$23,2,FALSE))</f>
        <v>-</v>
      </c>
      <c r="D27" s="549" t="str">
        <f ca="1">IF(ISERROR(VLOOKUP(B27,Data!$B$4:$N$23,3,FALSE)),"-",VLOOKUP(B27,Data!$B$4:$N$23,3,FALSE))</f>
        <v>-</v>
      </c>
      <c r="E27" s="546" t="str">
        <f ca="1">IF(ISERROR(VLOOKUP(B27,Data!$B$4:$N$23,10,FALSE)),"-",VLOOKUP(B27,Data!$B$4:$N$23,10,FALSE))</f>
        <v>-</v>
      </c>
      <c r="F27" s="546" t="str">
        <f ca="1">IF(ISERROR(VLOOKUP(B27,Data!$B$29:$N$48,10,FALSE)),"-",VLOOKUP(B27,Data!$B$29:$N$48,10,FALSE))</f>
        <v>-</v>
      </c>
    </row>
    <row r="28" spans="2:6" x14ac:dyDescent="0.2">
      <c r="B28" s="537" t="str">
        <f ca="1">Order!J22</f>
        <v>*Hide*</v>
      </c>
      <c r="C28" s="548" t="str">
        <f ca="1">IF(ISERROR(VLOOKUP(B28,Data!$B$4:$N$23,2,FALSE)),"-",VLOOKUP(B28,Data!$B$4:$N$23,2,FALSE))</f>
        <v>-</v>
      </c>
      <c r="D28" s="549" t="str">
        <f ca="1">IF(ISERROR(VLOOKUP(B28,Data!$B$4:$N$23,3,FALSE)),"-",VLOOKUP(B28,Data!$B$4:$N$23,3,FALSE))</f>
        <v>-</v>
      </c>
      <c r="E28" s="546" t="str">
        <f ca="1">IF(ISERROR(VLOOKUP(B28,Data!$B$4:$N$23,10,FALSE)),"-",VLOOKUP(B28,Data!$B$4:$N$23,10,FALSE))</f>
        <v>-</v>
      </c>
      <c r="F28" s="546" t="str">
        <f ca="1">IF(ISERROR(VLOOKUP(B28,Data!$B$29:$N$48,10,FALSE)),"-",VLOOKUP(B28,Data!$B$29:$N$48,10,FALSE))</f>
        <v>-</v>
      </c>
    </row>
    <row r="29" spans="2:6" x14ac:dyDescent="0.2">
      <c r="B29" s="538" t="str">
        <f>Data!B24</f>
        <v>Regulatory</v>
      </c>
      <c r="C29" s="548" t="str">
        <f>Data!C24</f>
        <v>-</v>
      </c>
      <c r="D29" s="549" t="str">
        <f>Data!D24</f>
        <v>-</v>
      </c>
      <c r="E29" s="546">
        <f>Data!K24</f>
        <v>117000</v>
      </c>
      <c r="F29" s="546">
        <f>Data!K49</f>
        <v>88843.87</v>
      </c>
    </row>
    <row r="32" spans="2:6" x14ac:dyDescent="0.2">
      <c r="B32" s="90" t="s">
        <v>791</v>
      </c>
    </row>
    <row r="33" spans="2:8" x14ac:dyDescent="0.2">
      <c r="B33" s="535" t="s">
        <v>769</v>
      </c>
      <c r="C33" s="544" t="s">
        <v>542</v>
      </c>
      <c r="D33" s="544" t="s">
        <v>543</v>
      </c>
    </row>
    <row r="34" spans="2:8" x14ac:dyDescent="0.2">
      <c r="B34" s="537" t="str">
        <f>Data!F3</f>
        <v>Planning / Design</v>
      </c>
      <c r="C34" s="546">
        <f>Data!F25</f>
        <v>177948</v>
      </c>
      <c r="D34" s="546">
        <f>Data!F50</f>
        <v>17506.55</v>
      </c>
    </row>
    <row r="35" spans="2:8" x14ac:dyDescent="0.2">
      <c r="B35" s="537" t="str">
        <f>Data!G3</f>
        <v>Marketing &amp; Delivery</v>
      </c>
      <c r="C35" s="546">
        <f>Data!G25</f>
        <v>4477733</v>
      </c>
      <c r="D35" s="546">
        <f>Data!G50</f>
        <v>4737437.0599999996</v>
      </c>
    </row>
    <row r="36" spans="2:8" x14ac:dyDescent="0.2">
      <c r="B36" s="537" t="str">
        <f>Data!H3</f>
        <v>Incentives / Direct Install Costs</v>
      </c>
      <c r="C36" s="546">
        <f>Data!H25</f>
        <v>7840876</v>
      </c>
      <c r="D36" s="546">
        <f>Data!H50</f>
        <v>7456409.4400000004</v>
      </c>
    </row>
    <row r="37" spans="2:8" x14ac:dyDescent="0.2">
      <c r="B37" s="537" t="str">
        <f>Data!I3</f>
        <v>EM&amp;V</v>
      </c>
      <c r="C37" s="546">
        <f>Data!I25</f>
        <v>371243</v>
      </c>
      <c r="D37" s="546">
        <f>Data!I50</f>
        <v>484690.9</v>
      </c>
    </row>
    <row r="38" spans="2:8" x14ac:dyDescent="0.2">
      <c r="B38" s="537" t="str">
        <f>Data!J3</f>
        <v>Administration</v>
      </c>
      <c r="C38" s="546">
        <f>Data!J25</f>
        <v>1320764</v>
      </c>
      <c r="D38" s="546">
        <f>Data!J50</f>
        <v>434542.98</v>
      </c>
    </row>
    <row r="39" spans="2:8" x14ac:dyDescent="0.2">
      <c r="B39" s="537" t="str">
        <f>Budgets!H26</f>
        <v>Regulatory</v>
      </c>
      <c r="C39" s="546">
        <f>Data!K24</f>
        <v>117000</v>
      </c>
      <c r="D39" s="546">
        <f>Data!K49</f>
        <v>88843.87</v>
      </c>
    </row>
    <row r="42" spans="2:8" x14ac:dyDescent="0.2">
      <c r="B42" s="90" t="s">
        <v>792</v>
      </c>
    </row>
    <row r="43" spans="2:8" x14ac:dyDescent="0.2">
      <c r="B43" s="535" t="s">
        <v>793</v>
      </c>
      <c r="C43" s="535" t="s">
        <v>557</v>
      </c>
      <c r="D43" s="535" t="s">
        <v>794</v>
      </c>
      <c r="E43" s="535" t="s">
        <v>795</v>
      </c>
      <c r="F43" s="535" t="s">
        <v>796</v>
      </c>
      <c r="G43" s="535" t="s">
        <v>544</v>
      </c>
      <c r="H43" s="535" t="s">
        <v>545</v>
      </c>
    </row>
    <row r="44" spans="2:8" x14ac:dyDescent="0.2">
      <c r="B44" s="545">
        <f t="shared" ref="B44:B46" si="0">B45-1</f>
        <v>2021</v>
      </c>
      <c r="C44" s="546">
        <f>VLOOKUP($B44,'Prior Year Portfolio'!$C$10:$J$13,2,FALSE)</f>
        <v>468113289</v>
      </c>
      <c r="D44" s="540">
        <f>VLOOKUP($B44,'Prior Year Portfolio'!$C$10:$J$13,3,FALSE)</f>
        <v>3522775.1430000002</v>
      </c>
      <c r="E44" s="546">
        <f>VLOOKUP($B44,'Prior Year Portfolio'!$C$10:$J$13,5,FALSE)</f>
        <v>11526136.380000001</v>
      </c>
      <c r="F44" s="546">
        <f>VLOOKUP($B44,'Prior Year Portfolio'!$C$10:$J$13,6,FALSE)</f>
        <v>9930288.5100000016</v>
      </c>
      <c r="G44" s="540">
        <f>VLOOKUP($B44,'Prior Year Portfolio'!$C$10:$J$13,7,FALSE)</f>
        <v>34505.559000000001</v>
      </c>
      <c r="H44" s="540">
        <f>VLOOKUP($B44,'Prior Year Portfolio'!$C$10:$J$13,8,FALSE)</f>
        <v>37339.31</v>
      </c>
    </row>
    <row r="45" spans="2:8" x14ac:dyDescent="0.2">
      <c r="B45" s="545">
        <f t="shared" si="0"/>
        <v>2022</v>
      </c>
      <c r="C45" s="546">
        <f>VLOOKUP($B45,'Prior Year Portfolio'!$C$10:$J$13,2,FALSE)</f>
        <v>396826431</v>
      </c>
      <c r="D45" s="540">
        <f>VLOOKUP($B45,'Prior Year Portfolio'!$C$10:$J$13,3,FALSE)</f>
        <v>3680403.3879999998</v>
      </c>
      <c r="E45" s="546">
        <f>VLOOKUP($B45,'Prior Year Portfolio'!$C$10:$J$13,5,FALSE)</f>
        <v>11667200</v>
      </c>
      <c r="F45" s="546">
        <f>VLOOKUP($B45,'Prior Year Portfolio'!$C$10:$J$13,6,FALSE)</f>
        <v>10157434.340000002</v>
      </c>
      <c r="G45" s="540">
        <f>VLOOKUP($B45,'Prior Year Portfolio'!$C$10:$J$13,7,FALSE)</f>
        <v>34505.559000000001</v>
      </c>
      <c r="H45" s="540">
        <f>VLOOKUP($B45,'Prior Year Portfolio'!$C$10:$J$13,8,FALSE)</f>
        <v>38163.632644999998</v>
      </c>
    </row>
    <row r="46" spans="2:8" x14ac:dyDescent="0.2">
      <c r="B46" s="545">
        <f t="shared" si="0"/>
        <v>2023</v>
      </c>
      <c r="C46" s="546">
        <f>VLOOKUP($B46,'Prior Year Portfolio'!$C$10:$J$13,2,FALSE)</f>
        <v>323835316</v>
      </c>
      <c r="D46" s="540">
        <f>VLOOKUP($B46,'Prior Year Portfolio'!$C$10:$J$13,3,FALSE)</f>
        <v>3548497</v>
      </c>
      <c r="E46" s="546">
        <f>VLOOKUP($B46,'Prior Year Portfolio'!$C$10:$J$13,5,FALSE)</f>
        <v>11667200</v>
      </c>
      <c r="F46" s="546">
        <f>VLOOKUP($B46,'Prior Year Portfolio'!$C$10:$J$13,6,FALSE)</f>
        <v>10221097</v>
      </c>
      <c r="G46" s="540">
        <f>VLOOKUP($B46,'Prior Year Portfolio'!$C$10:$J$13,7,FALSE)</f>
        <v>34506</v>
      </c>
      <c r="H46" s="540">
        <f>VLOOKUP($B46,'Prior Year Portfolio'!$C$10:$J$13,8,FALSE)</f>
        <v>38666.748</v>
      </c>
    </row>
    <row r="47" spans="2:8" x14ac:dyDescent="0.2">
      <c r="B47" s="545">
        <f>B48-1</f>
        <v>2024</v>
      </c>
      <c r="C47" s="546">
        <f>VLOOKUP($B47,'Prior Year Portfolio'!$C$10:$J$13,2,FALSE)</f>
        <v>368846477</v>
      </c>
      <c r="D47" s="540">
        <f>VLOOKUP($B47,'Prior Year Portfolio'!$C$10:$J$13,3,FALSE)</f>
        <v>3521026</v>
      </c>
      <c r="E47" s="546">
        <f>VLOOKUP($B47,'Prior Year Portfolio'!$C$10:$J$13,5,FALSE)</f>
        <v>13903310</v>
      </c>
      <c r="F47" s="546">
        <f>VLOOKUP($B47,'Prior Year Portfolio'!$C$10:$J$13,6,FALSE)</f>
        <v>12175436</v>
      </c>
      <c r="G47" s="540">
        <f>VLOOKUP($B47,'Prior Year Portfolio'!$C$10:$J$13,7,FALSE)</f>
        <v>37654</v>
      </c>
      <c r="H47" s="540">
        <f>VLOOKUP($B47,'Prior Year Portfolio'!$C$10:$J$13,8,FALSE)</f>
        <v>41069</v>
      </c>
    </row>
    <row r="48" spans="2:8" x14ac:dyDescent="0.2">
      <c r="B48" s="545">
        <f>Prg_Year</f>
        <v>2025</v>
      </c>
      <c r="C48" s="546">
        <f>'Utility Information'!F8</f>
        <v>356715526</v>
      </c>
      <c r="D48" s="540">
        <f>'Utility Information'!F11</f>
        <v>3496150</v>
      </c>
      <c r="E48" s="546">
        <f>Budgets!I27</f>
        <v>14305564</v>
      </c>
      <c r="F48" s="546">
        <f>'Actual Expenses'!J91</f>
        <v>13219430.800000001</v>
      </c>
      <c r="G48" s="540">
        <f>'Savings &amp; Participants'!E26/1000</f>
        <v>38312.14</v>
      </c>
      <c r="H48" s="540">
        <f>'Evaluated Savings'!E26/1000</f>
        <v>44577.760000000002</v>
      </c>
    </row>
    <row r="49" spans="2:15" x14ac:dyDescent="0.2">
      <c r="C49" s="183"/>
      <c r="D49" s="183"/>
    </row>
    <row r="50" spans="2:15" x14ac:dyDescent="0.2">
      <c r="C50" s="183"/>
      <c r="D50" s="183"/>
    </row>
    <row r="51" spans="2:15" x14ac:dyDescent="0.2">
      <c r="C51" s="183"/>
      <c r="D51" s="183"/>
    </row>
    <row r="52" spans="2:15" x14ac:dyDescent="0.2">
      <c r="C52" s="183"/>
      <c r="D52" s="183"/>
    </row>
    <row r="53" spans="2:15" x14ac:dyDescent="0.2">
      <c r="C53" s="183"/>
      <c r="D53" s="183"/>
    </row>
    <row r="54" spans="2:15" x14ac:dyDescent="0.2">
      <c r="C54" s="183"/>
      <c r="D54" s="183"/>
    </row>
    <row r="55" spans="2:15" x14ac:dyDescent="0.2">
      <c r="C55" s="183"/>
      <c r="D55" s="183"/>
    </row>
    <row r="56" spans="2:15" x14ac:dyDescent="0.2">
      <c r="B56" s="90" t="s">
        <v>797</v>
      </c>
    </row>
    <row r="57" spans="2:15" x14ac:dyDescent="0.2">
      <c r="B57" s="535" t="s">
        <v>93</v>
      </c>
      <c r="C57" s="544" t="s">
        <v>94</v>
      </c>
      <c r="D57" s="544" t="s">
        <v>542</v>
      </c>
      <c r="E57" s="544" t="s">
        <v>543</v>
      </c>
      <c r="F57" s="544" t="s">
        <v>544</v>
      </c>
      <c r="G57" s="544" t="s">
        <v>545</v>
      </c>
      <c r="H57" s="544" t="s">
        <v>544</v>
      </c>
      <c r="I57" s="544" t="s">
        <v>543</v>
      </c>
      <c r="J57" s="544" t="s">
        <v>442</v>
      </c>
      <c r="K57" s="544" t="s">
        <v>213</v>
      </c>
      <c r="L57" s="544" t="s">
        <v>798</v>
      </c>
      <c r="N57" s="489" t="s">
        <v>782</v>
      </c>
    </row>
    <row r="58" spans="2:15" x14ac:dyDescent="0.2">
      <c r="B58" s="537" t="str">
        <f ca="1">Order!J3</f>
        <v>Discont'd Onlne Audt(OLA)</v>
      </c>
      <c r="C58" s="537" t="str">
        <f ca="1">IF(ISERROR(VLOOKUP(B58,Data!$B$4:$N$23,2,FALSE)),"-",VLOOKUP(B58,Data!$B$4:$N$23,2,FALSE))</f>
        <v>Residential</v>
      </c>
      <c r="D58" s="546">
        <f ca="1">IF(ISERROR(VLOOKUP(B58,Data!$B$4:$N$23,10,FALSE)),"-",VLOOKUP(B58,Data!$B$4:$N$23,10,FALSE))</f>
        <v>0</v>
      </c>
      <c r="E58" s="546">
        <f ca="1">IF(ISERROR(VLOOKUP(B58,Data!$B$29:$T$48,10,FALSE)),"-",VLOOKUP(B58,Data!$B$29:$T$48,10,FALSE))</f>
        <v>0</v>
      </c>
      <c r="F58" s="540">
        <f ca="1">IF(ISERROR(VLOOKUP(B58,Data!$B$4:$N$23,12,FALSE)),"-",VLOOKUP(B58,Data!$B$4:$N$23,12,FALSE))</f>
        <v>0</v>
      </c>
      <c r="G58" s="540">
        <f ca="1">IF(ISERROR(VLOOKUP(B58,Data!$B$29:$T$48,12,FALSE)),"-",VLOOKUP(B58,Data!$B$29:$T$48,12,FALSE))</f>
        <v>0</v>
      </c>
      <c r="H58" s="540" t="str">
        <f ca="1">IF(ISERROR(VLOOKUP(B58,Data!$B$4:$N$23,13,FALSE)),"-",VLOOKUP(B58,Data!$B$4:$N$23,13,FALSE))</f>
        <v>N/A</v>
      </c>
      <c r="I58" s="540">
        <f ca="1">IF(ISERROR(VLOOKUP(B58,Data!$B$29:$T$48,13,FALSE)),"-",VLOOKUP(B58,Data!$B$29:$T$48,13,FALSE))</f>
        <v>0</v>
      </c>
      <c r="J58" s="547" t="str">
        <f ca="1">IF(ISERROR(VLOOKUP(B58,Data!$B$29:$T$48,18,FALSE)),"-",VLOOKUP(B58,Data!$B$29:$T$48,18,FALSE))</f>
        <v>n/a</v>
      </c>
      <c r="K58" s="546">
        <f ca="1">IF(ISERROR(VLOOKUP(B58,Data!$B$29:$T$48,15,FALSE)),"-",VLOOKUP(B58,Data!$B$29:$T$48,15,FALSE))</f>
        <v>0</v>
      </c>
      <c r="L58" s="550">
        <f ca="1">IF(ISERROR(VLOOKUP(B58,Data!$B$29:$T$48,16,FALSE)),"-",VLOOKUP(B58,Data!$B$29:$T$48,16,FALSE))</f>
        <v>0</v>
      </c>
      <c r="M58" s="183">
        <f ca="1">IF(E58="-",0,E58)</f>
        <v>0</v>
      </c>
      <c r="N58" s="244">
        <f ca="1">COUNT($M$58:$M$77)-(RANK(M58,$M$58:$M$77)+COUNTIF($M58:M$58,M58)-1)+1</f>
        <v>9</v>
      </c>
      <c r="O58" t="str">
        <f ca="1">OFFSET(B$58,MATCH(LARGE(N$58:N$77,ROW()-ROW(N$58)+1),N$58:N$77,0)-1,0)</f>
        <v>Comm &amp; Industrial (CIEEP)</v>
      </c>
    </row>
    <row r="59" spans="2:15" x14ac:dyDescent="0.2">
      <c r="B59" s="537" t="str">
        <f ca="1">Order!J4</f>
        <v>Discont'd R ES Appliance</v>
      </c>
      <c r="C59" s="537" t="str">
        <f ca="1">IF(ISERROR(VLOOKUP(B59,Data!$B$4:$N$23,2,FALSE)),"-",VLOOKUP(B59,Data!$B$4:$N$23,2,FALSE))</f>
        <v>Residential</v>
      </c>
      <c r="D59" s="546">
        <f ca="1">IF(ISERROR(VLOOKUP(B59,Data!$B$4:$N$23,10,FALSE)),"-",VLOOKUP(B59,Data!$B$4:$N$23,10,FALSE))</f>
        <v>0</v>
      </c>
      <c r="E59" s="546">
        <f ca="1">IF(ISERROR(VLOOKUP(B59,Data!$B$29:$T$48,10,FALSE)),"-",VLOOKUP(B59,Data!$B$29:$T$48,10,FALSE))</f>
        <v>0</v>
      </c>
      <c r="F59" s="540">
        <f ca="1">IF(ISERROR(VLOOKUP(B59,Data!$B$4:$N$23,12,FALSE)),"-",VLOOKUP(B59,Data!$B$4:$N$23,12,FALSE))</f>
        <v>0</v>
      </c>
      <c r="G59" s="540">
        <f ca="1">IF(ISERROR(VLOOKUP(B59,Data!$B$29:$T$48,12,FALSE)),"-",VLOOKUP(B59,Data!$B$29:$T$48,12,FALSE))</f>
        <v>0</v>
      </c>
      <c r="H59" s="540" t="str">
        <f ca="1">IF(ISERROR(VLOOKUP(B59,Data!$B$4:$N$23,13,FALSE)),"-",VLOOKUP(B59,Data!$B$4:$N$23,13,FALSE))</f>
        <v>N/A</v>
      </c>
      <c r="I59" s="540">
        <f ca="1">IF(ISERROR(VLOOKUP(B59,Data!$B$29:$T$48,13,FALSE)),"-",VLOOKUP(B59,Data!$B$29:$T$48,13,FALSE))</f>
        <v>0</v>
      </c>
      <c r="J59" s="547" t="str">
        <f ca="1">IF(ISERROR(VLOOKUP(B59,Data!$B$29:$T$48,18,FALSE)),"-",VLOOKUP(B59,Data!$B$29:$T$48,18,FALSE))</f>
        <v>n/a</v>
      </c>
      <c r="K59" s="546">
        <f ca="1">IF(ISERROR(VLOOKUP(B59,Data!$B$29:$T$48,15,FALSE)),"-",VLOOKUP(B59,Data!$B$29:$T$48,15,FALSE))</f>
        <v>0</v>
      </c>
      <c r="L59" s="546">
        <f ca="1">IF(ISERROR(VLOOKUP(B59,Data!$B$29:$T$48,16,FALSE)),"-",VLOOKUP(B59,Data!$B$29:$T$48,16,FALSE))</f>
        <v>0</v>
      </c>
      <c r="M59" s="183">
        <f t="shared" ref="M59:M77" ca="1" si="1">IF(E59="-",0,E59)</f>
        <v>0</v>
      </c>
      <c r="N59" s="244">
        <f ca="1">COUNT($M$58:$M$77)-(RANK(M59,$M$58:$M$77)+COUNTIF($M$58:M59,M59)-1)+1</f>
        <v>8</v>
      </c>
      <c r="O59" t="str">
        <f t="shared" ref="O59:O77" ca="1" si="2">OFFSET(B$58,MATCH(LARGE(N$58:N$77,ROW()-ROW(N$58)+1),N$58:N$77,0)-1,0)</f>
        <v>Res Energy Imprv (REIP)</v>
      </c>
    </row>
    <row r="60" spans="2:15" x14ac:dyDescent="0.2">
      <c r="B60" s="537" t="str">
        <f ca="1">Order!J5</f>
        <v>Discont'd Res Appliance</v>
      </c>
      <c r="C60" s="537" t="str">
        <f ca="1">IF(ISERROR(VLOOKUP(B60,Data!$B$4:$N$23,2,FALSE)),"-",VLOOKUP(B60,Data!$B$4:$N$23,2,FALSE))</f>
        <v>Residential</v>
      </c>
      <c r="D60" s="546">
        <f ca="1">IF(ISERROR(VLOOKUP(B60,Data!$B$4:$N$23,10,FALSE)),"-",VLOOKUP(B60,Data!$B$4:$N$23,10,FALSE))</f>
        <v>0</v>
      </c>
      <c r="E60" s="546">
        <f ca="1">IF(ISERROR(VLOOKUP(B60,Data!$B$29:$T$48,10,FALSE)),"-",VLOOKUP(B60,Data!$B$29:$T$48,10,FALSE))</f>
        <v>0</v>
      </c>
      <c r="F60" s="540">
        <f ca="1">IF(ISERROR(VLOOKUP(B60,Data!$B$4:$N$23,12,FALSE)),"-",VLOOKUP(B60,Data!$B$4:$N$23,12,FALSE))</f>
        <v>0</v>
      </c>
      <c r="G60" s="540">
        <f ca="1">IF(ISERROR(VLOOKUP(B60,Data!$B$29:$T$48,12,FALSE)),"-",VLOOKUP(B60,Data!$B$29:$T$48,12,FALSE))</f>
        <v>0</v>
      </c>
      <c r="H60" s="540" t="str">
        <f ca="1">IF(ISERROR(VLOOKUP(B60,Data!$B$4:$N$23,13,FALSE)),"-",VLOOKUP(B60,Data!$B$4:$N$23,13,FALSE))</f>
        <v>N/A</v>
      </c>
      <c r="I60" s="540">
        <f ca="1">IF(ISERROR(VLOOKUP(B60,Data!$B$29:$T$48,13,FALSE)),"-",VLOOKUP(B60,Data!$B$29:$T$48,13,FALSE))</f>
        <v>0</v>
      </c>
      <c r="J60" s="547" t="str">
        <f ca="1">IF(ISERROR(VLOOKUP(B60,Data!$B$29:$T$48,18,FALSE)),"-",VLOOKUP(B60,Data!$B$29:$T$48,18,FALSE))</f>
        <v>n/a</v>
      </c>
      <c r="K60" s="546">
        <f ca="1">IF(ISERROR(VLOOKUP(B60,Data!$B$29:$T$48,15,FALSE)),"-",VLOOKUP(B60,Data!$B$29:$T$48,15,FALSE))</f>
        <v>0</v>
      </c>
      <c r="L60" s="546">
        <f ca="1">IF(ISERROR(VLOOKUP(B60,Data!$B$29:$T$48,16,FALSE)),"-",VLOOKUP(B60,Data!$B$29:$T$48,16,FALSE))</f>
        <v>0</v>
      </c>
      <c r="M60" s="183">
        <f t="shared" ca="1" si="1"/>
        <v>0</v>
      </c>
      <c r="N60" s="244">
        <f ca="1">COUNT($M$58:$M$77)-(RANK(M60,$M$58:$M$77)+COUNTIF($M$58:M60,M60)-1)+1</f>
        <v>7</v>
      </c>
      <c r="O60" t="str">
        <f t="shared" ca="1" si="2"/>
        <v>Home Weatherization (HWP)</v>
      </c>
    </row>
    <row r="61" spans="2:15" x14ac:dyDescent="0.2">
      <c r="B61" s="537" t="str">
        <f ca="1">Order!J6</f>
        <v>Discont'd Res Solutions</v>
      </c>
      <c r="C61" s="537" t="str">
        <f ca="1">IF(ISERROR(VLOOKUP(B61,Data!$B$4:$N$23,2,FALSE)),"-",VLOOKUP(B61,Data!$B$4:$N$23,2,FALSE))</f>
        <v>Residential</v>
      </c>
      <c r="D61" s="546"/>
      <c r="E61" s="546">
        <f ca="1">IF(ISERROR(VLOOKUP(B61,Data!$B$29:$T$48,10,FALSE)),"-",VLOOKUP(B61,Data!$B$29:$T$48,10,FALSE))</f>
        <v>0</v>
      </c>
      <c r="F61" s="540">
        <f ca="1">IF(ISERROR(VLOOKUP(B61,Data!$B$4:$N$23,12,FALSE)),"-",VLOOKUP(B61,Data!$B$4:$N$23,12,FALSE))</f>
        <v>0</v>
      </c>
      <c r="G61" s="540">
        <f ca="1">IF(ISERROR(VLOOKUP(B61,Data!$B$29:$T$48,12,FALSE)),"-",VLOOKUP(B61,Data!$B$29:$T$48,12,FALSE))</f>
        <v>0</v>
      </c>
      <c r="H61" s="540" t="str">
        <f ca="1">IF(ISERROR(VLOOKUP(B61,Data!$B$4:$N$23,13,FALSE)),"-",VLOOKUP(B61,Data!$B$4:$N$23,13,FALSE))</f>
        <v>N/A</v>
      </c>
      <c r="I61" s="540">
        <f ca="1">IF(ISERROR(VLOOKUP(B61,Data!$B$29:$T$48,13,FALSE)),"-",VLOOKUP(B61,Data!$B$29:$T$48,13,FALSE))</f>
        <v>0</v>
      </c>
      <c r="J61" s="547" t="str">
        <f ca="1">IF(ISERROR(VLOOKUP(B61,Data!$B$29:$T$48,18,FALSE)),"-",VLOOKUP(B61,Data!$B$29:$T$48,18,FALSE))</f>
        <v>n/a</v>
      </c>
      <c r="K61" s="546">
        <f ca="1">IF(ISERROR(VLOOKUP(B61,Data!$B$29:$T$48,15,FALSE)),"-",VLOOKUP(B61,Data!$B$29:$T$48,15,FALSE))</f>
        <v>0</v>
      </c>
      <c r="L61" s="546">
        <f ca="1">IF(ISERROR(VLOOKUP(B61,Data!$B$29:$T$48,16,FALSE)),"-",VLOOKUP(B61,Data!$B$29:$T$48,16,FALSE))</f>
        <v>0</v>
      </c>
      <c r="M61" s="183">
        <f t="shared" ca="1" si="1"/>
        <v>0</v>
      </c>
      <c r="N61" s="244">
        <f ca="1">COUNT($M$58:$M$77)-(RANK(M61,$M$58:$M$77)+COUNTIF($M$58:M61,M61)-1)+1</f>
        <v>6</v>
      </c>
      <c r="O61" t="str">
        <f t="shared" ca="1" si="2"/>
        <v>Small Business (SBP)</v>
      </c>
    </row>
    <row r="62" spans="2:15" x14ac:dyDescent="0.2">
      <c r="B62" s="537" t="str">
        <f ca="1">Order!J7</f>
        <v>Efficient Products (EPP)</v>
      </c>
      <c r="C62" s="537" t="str">
        <f ca="1">IF(ISERROR(VLOOKUP(B62,Data!$B$4:$N$23,2,FALSE)),"-",VLOOKUP(B62,Data!$B$4:$N$23,2,FALSE))</f>
        <v>Residential</v>
      </c>
      <c r="D62" s="546">
        <f ca="1">IF(ISERROR(VLOOKUP(B62,Data!$B$4:$N$23,10,FALSE)),"-",VLOOKUP(B62,Data!$B$4:$N$23,10,FALSE))</f>
        <v>720823</v>
      </c>
      <c r="E62" s="546">
        <f ca="1">IF(ISERROR(VLOOKUP(B62,Data!$B$29:$T$48,10,FALSE)),"-",VLOOKUP(B62,Data!$B$29:$T$48,10,FALSE))</f>
        <v>675653.44</v>
      </c>
      <c r="F62" s="540">
        <f ca="1">IF(ISERROR(VLOOKUP(B62,Data!$B$4:$N$23,12,FALSE)),"-",VLOOKUP(B62,Data!$B$4:$N$23,12,FALSE))</f>
        <v>1294116</v>
      </c>
      <c r="G62" s="540">
        <f ca="1">IF(ISERROR(VLOOKUP(B62,Data!$B$29:$T$48,12,FALSE)),"-",VLOOKUP(B62,Data!$B$29:$T$48,12,FALSE))</f>
        <v>3792328</v>
      </c>
      <c r="H62" s="540">
        <f ca="1">IF(ISERROR(VLOOKUP(B62,Data!$B$4:$N$23,13,FALSE)),"-",VLOOKUP(B62,Data!$B$4:$N$23,13,FALSE))</f>
        <v>14665</v>
      </c>
      <c r="I62" s="540">
        <f ca="1">IF(ISERROR(VLOOKUP(B62,Data!$B$29:$T$48,13,FALSE)),"-",VLOOKUP(B62,Data!$B$29:$T$48,13,FALSE))</f>
        <v>129782</v>
      </c>
      <c r="J62" s="547">
        <f ca="1">IF(ISERROR(VLOOKUP(B62,Data!$B$29:$T$48,18,FALSE)),"-",VLOOKUP(B62,Data!$B$29:$T$48,18,FALSE))</f>
        <v>2.3500366504939088</v>
      </c>
      <c r="K62" s="546">
        <f ca="1">IF(ISERROR(VLOOKUP(B62,Data!$B$29:$T$48,15,FALSE)),"-",VLOOKUP(B62,Data!$B$29:$T$48,15,FALSE))</f>
        <v>1002.715</v>
      </c>
      <c r="L62" s="546">
        <f ca="1">IF(ISERROR(VLOOKUP(B62,Data!$B$29:$T$48,16,FALSE)),"-",VLOOKUP(B62,Data!$B$29:$T$48,16,FALSE))</f>
        <v>2356.4169999999999</v>
      </c>
      <c r="M62" s="183">
        <f t="shared" ca="1" si="1"/>
        <v>675653.44</v>
      </c>
      <c r="N62" s="244">
        <f ca="1">COUNT($M$58:$M$77)-(RANK(M62,$M$58:$M$77)+COUNTIF($M$58:M62,M62)-1)+1</f>
        <v>14</v>
      </c>
      <c r="O62" t="str">
        <f t="shared" ca="1" si="2"/>
        <v>Income Qualified (IQW)</v>
      </c>
    </row>
    <row r="63" spans="2:15" x14ac:dyDescent="0.2">
      <c r="B63" s="537" t="str">
        <f ca="1">Order!J8</f>
        <v>Home Weatherization (HWP)</v>
      </c>
      <c r="C63" s="537" t="str">
        <f ca="1">IF(ISERROR(VLOOKUP(B63,Data!$B$4:$N$23,2,FALSE)),"-",VLOOKUP(B63,Data!$B$4:$N$23,2,FALSE))</f>
        <v>Residential</v>
      </c>
      <c r="D63" s="546">
        <f ca="1">IF(ISERROR(VLOOKUP(B63,Data!$B$4:$N$23,10,FALSE)),"-",VLOOKUP(B63,Data!$B$4:$N$23,10,FALSE))</f>
        <v>2361354</v>
      </c>
      <c r="E63" s="546">
        <f ca="1">IF(ISERROR(VLOOKUP(B63,Data!$B$29:$T$48,10,FALSE)),"-",VLOOKUP(B63,Data!$B$29:$T$48,10,FALSE))</f>
        <v>2066144.0100000002</v>
      </c>
      <c r="F63" s="540">
        <f ca="1">IF(ISERROR(VLOOKUP(B63,Data!$B$4:$N$23,12,FALSE)),"-",VLOOKUP(B63,Data!$B$4:$N$23,12,FALSE))</f>
        <v>6645777</v>
      </c>
      <c r="G63" s="540">
        <f ca="1">IF(ISERROR(VLOOKUP(B63,Data!$B$29:$T$48,12,FALSE)),"-",VLOOKUP(B63,Data!$B$29:$T$48,12,FALSE))</f>
        <v>3106874</v>
      </c>
      <c r="H63" s="540">
        <f ca="1">IF(ISERROR(VLOOKUP(B63,Data!$B$4:$N$23,13,FALSE)),"-",VLOOKUP(B63,Data!$B$4:$N$23,13,FALSE))</f>
        <v>2200</v>
      </c>
      <c r="I63" s="540">
        <f ca="1">IF(ISERROR(VLOOKUP(B63,Data!$B$29:$T$48,13,FALSE)),"-",VLOOKUP(B63,Data!$B$29:$T$48,13,FALSE))</f>
        <v>1180</v>
      </c>
      <c r="J63" s="547">
        <f ca="1">IF(ISERROR(VLOOKUP(B63,Data!$B$29:$T$48,18,FALSE)),"-",VLOOKUP(B63,Data!$B$29:$T$48,18,FALSE))</f>
        <v>2.3475272800708851</v>
      </c>
      <c r="K63" s="546">
        <f ca="1">IF(ISERROR(VLOOKUP(B63,Data!$B$29:$T$48,15,FALSE)),"-",VLOOKUP(B63,Data!$B$29:$T$48,15,FALSE))</f>
        <v>2069.826</v>
      </c>
      <c r="L63" s="546">
        <f ca="1">IF(ISERROR(VLOOKUP(B63,Data!$B$29:$T$48,16,FALSE)),"-",VLOOKUP(B63,Data!$B$29:$T$48,16,FALSE))</f>
        <v>4858.973</v>
      </c>
      <c r="M63" s="183">
        <f t="shared" ca="1" si="1"/>
        <v>2066144.0100000002</v>
      </c>
      <c r="N63" s="244">
        <f ca="1">COUNT($M$58:$M$77)-(RANK(M63,$M$58:$M$77)+COUNTIF($M$58:M63,M63)-1)+1</f>
        <v>18</v>
      </c>
      <c r="O63" t="str">
        <f t="shared" ca="1" si="2"/>
        <v>Load Mgt (LMP)</v>
      </c>
    </row>
    <row r="64" spans="2:15" x14ac:dyDescent="0.2">
      <c r="B64" s="537" t="str">
        <f ca="1">Order!J9</f>
        <v>Income Qualified (IQW)</v>
      </c>
      <c r="C64" s="537" t="str">
        <f ca="1">IF(ISERROR(VLOOKUP(B64,Data!$B$4:$N$23,2,FALSE)),"-",VLOOKUP(B64,Data!$B$4:$N$23,2,FALSE))</f>
        <v>Residential</v>
      </c>
      <c r="D64" s="546">
        <f ca="1">IF(ISERROR(VLOOKUP(B64,Data!$B$4:$N$23,10,FALSE)),"-",VLOOKUP(B64,Data!$B$4:$N$23,10,FALSE))</f>
        <v>1098112</v>
      </c>
      <c r="E64" s="546">
        <f ca="1">IF(ISERROR(VLOOKUP(B64,Data!$B$29:$T$48,10,FALSE)),"-",VLOOKUP(B64,Data!$B$29:$T$48,10,FALSE))</f>
        <v>1111588.78</v>
      </c>
      <c r="F64" s="540">
        <f ca="1">IF(ISERROR(VLOOKUP(B64,Data!$B$4:$N$23,12,FALSE)),"-",VLOOKUP(B64,Data!$B$4:$N$23,12,FALSE))</f>
        <v>1535745</v>
      </c>
      <c r="G64" s="540">
        <f ca="1">IF(ISERROR(VLOOKUP(B64,Data!$B$29:$T$48,12,FALSE)),"-",VLOOKUP(B64,Data!$B$29:$T$48,12,FALSE))</f>
        <v>1700442</v>
      </c>
      <c r="H64" s="540">
        <f ca="1">IF(ISERROR(VLOOKUP(B64,Data!$B$4:$N$23,13,FALSE)),"-",VLOOKUP(B64,Data!$B$4:$N$23,13,FALSE))</f>
        <v>250</v>
      </c>
      <c r="I64" s="540">
        <f ca="1">IF(ISERROR(VLOOKUP(B64,Data!$B$29:$T$48,13,FALSE)),"-",VLOOKUP(B64,Data!$B$29:$T$48,13,FALSE))</f>
        <v>695</v>
      </c>
      <c r="J64" s="547">
        <f ca="1">IF(ISERROR(VLOOKUP(B64,Data!$B$29:$T$48,18,FALSE)),"-",VLOOKUP(B64,Data!$B$29:$T$48,18,FALSE))</f>
        <v>2.2192883677681672</v>
      </c>
      <c r="K64" s="546">
        <f ca="1">IF(ISERROR(VLOOKUP(B64,Data!$B$29:$T$48,15,FALSE)),"-",VLOOKUP(B64,Data!$B$29:$T$48,15,FALSE))</f>
        <v>1110.9390000000001</v>
      </c>
      <c r="L64" s="546">
        <f ca="1">IF(ISERROR(VLOOKUP(B64,Data!$B$29:$T$48,16,FALSE)),"-",VLOOKUP(B64,Data!$B$29:$T$48,16,FALSE))</f>
        <v>2465.4940000000001</v>
      </c>
      <c r="M64" s="183">
        <f t="shared" ca="1" si="1"/>
        <v>1111588.78</v>
      </c>
      <c r="N64" s="244">
        <f ca="1">COUNT($M$58:$M$77)-(RANK(M64,$M$58:$M$77)+COUNTIF($M$58:M64,M64)-1)+1</f>
        <v>16</v>
      </c>
      <c r="O64" t="str">
        <f t="shared" ca="1" si="2"/>
        <v>Efficient Products (EPP)</v>
      </c>
    </row>
    <row r="65" spans="2:15" x14ac:dyDescent="0.2">
      <c r="B65" s="537" t="str">
        <f ca="1">Order!J10</f>
        <v>Res Energy Imprv (REIP)</v>
      </c>
      <c r="C65" s="537" t="str">
        <f ca="1">IF(ISERROR(VLOOKUP(B65,Data!$B$4:$N$23,2,FALSE)),"-",VLOOKUP(B65,Data!$B$4:$N$23,2,FALSE))</f>
        <v>Residential</v>
      </c>
      <c r="D65" s="546">
        <f ca="1">IF(ISERROR(VLOOKUP(B65,Data!$B$4:$N$23,10,FALSE)),"-",VLOOKUP(B65,Data!$B$4:$N$23,10,FALSE))</f>
        <v>2864054</v>
      </c>
      <c r="E65" s="546">
        <f ca="1">IF(ISERROR(VLOOKUP(B65,Data!$B$29:$T$48,10,FALSE)),"-",VLOOKUP(B65,Data!$B$29:$T$48,10,FALSE))</f>
        <v>2841826.0799999996</v>
      </c>
      <c r="F65" s="540">
        <f ca="1">IF(ISERROR(VLOOKUP(B65,Data!$B$4:$N$23,12,FALSE)),"-",VLOOKUP(B65,Data!$B$4:$N$23,12,FALSE))</f>
        <v>5602155</v>
      </c>
      <c r="G65" s="540">
        <f ca="1">IF(ISERROR(VLOOKUP(B65,Data!$B$29:$T$48,12,FALSE)),"-",VLOOKUP(B65,Data!$B$29:$T$48,12,FALSE))</f>
        <v>7788226</v>
      </c>
      <c r="H65" s="540">
        <f ca="1">IF(ISERROR(VLOOKUP(B65,Data!$B$4:$N$23,13,FALSE)),"-",VLOOKUP(B65,Data!$B$4:$N$23,13,FALSE))</f>
        <v>7033</v>
      </c>
      <c r="I65" s="540">
        <f ca="1">IF(ISERROR(VLOOKUP(B65,Data!$B$29:$T$48,13,FALSE)),"-",VLOOKUP(B65,Data!$B$29:$T$48,13,FALSE))</f>
        <v>6238</v>
      </c>
      <c r="J65" s="547">
        <f ca="1">IF(ISERROR(VLOOKUP(B65,Data!$B$29:$T$48,18,FALSE)),"-",VLOOKUP(B65,Data!$B$29:$T$48,18,FALSE))</f>
        <v>1.5476369882192293</v>
      </c>
      <c r="K65" s="546">
        <f ca="1">IF(ISERROR(VLOOKUP(B65,Data!$B$29:$T$48,15,FALSE)),"-",VLOOKUP(B65,Data!$B$29:$T$48,15,FALSE))</f>
        <v>2982.0630000000001</v>
      </c>
      <c r="L65" s="546">
        <f ca="1">IF(ISERROR(VLOOKUP(B65,Data!$B$29:$T$48,16,FALSE)),"-",VLOOKUP(B65,Data!$B$29:$T$48,16,FALSE))</f>
        <v>4615.1509999999998</v>
      </c>
      <c r="M65" s="183">
        <f t="shared" ca="1" si="1"/>
        <v>2841826.0799999996</v>
      </c>
      <c r="N65" s="244">
        <f ca="1">COUNT($M$58:$M$77)-(RANK(M65,$M$58:$M$77)+COUNTIF($M$58:M65,M65)-1)+1</f>
        <v>19</v>
      </c>
      <c r="O65" t="str">
        <f t="shared" ca="1" si="2"/>
        <v>Strat Energy Mgmt (SEMP)</v>
      </c>
    </row>
    <row r="66" spans="2:15" x14ac:dyDescent="0.2">
      <c r="B66" s="537" t="str">
        <f ca="1">Order!J11</f>
        <v>Bring Y/Otstat (BYOT)</v>
      </c>
      <c r="C66" s="537" t="str">
        <f ca="1">IF(ISERROR(VLOOKUP(B66,Data!$B$4:$N$23,2,FALSE)),"-",VLOOKUP(B66,Data!$B$4:$N$23,2,FALSE))</f>
        <v>Res/Small Business</v>
      </c>
      <c r="D66" s="546">
        <f ca="1">IF(ISERROR(VLOOKUP(B66,Data!$B$4:$N$23,10,FALSE)),"-",VLOOKUP(B66,Data!$B$4:$N$23,10,FALSE))</f>
        <v>481079</v>
      </c>
      <c r="E66" s="546">
        <f ca="1">IF(ISERROR(VLOOKUP(B66,Data!$B$29:$T$48,10,FALSE)),"-",VLOOKUP(B66,Data!$B$29:$T$48,10,FALSE))</f>
        <v>188987.53</v>
      </c>
      <c r="F66" s="540">
        <f ca="1">IF(ISERROR(VLOOKUP(B66,Data!$B$4:$N$23,12,FALSE)),"-",VLOOKUP(B66,Data!$B$4:$N$23,12,FALSE))</f>
        <v>61638</v>
      </c>
      <c r="G66" s="540">
        <f ca="1">IF(ISERROR(VLOOKUP(B66,Data!$B$29:$T$48,12,FALSE)),"-",VLOOKUP(B66,Data!$B$29:$T$48,12,FALSE))</f>
        <v>16677</v>
      </c>
      <c r="H66" s="540">
        <f ca="1">IF(ISERROR(VLOOKUP(B66,Data!$B$4:$N$23,13,FALSE)),"-",VLOOKUP(B66,Data!$B$4:$N$23,13,FALSE))</f>
        <v>1338</v>
      </c>
      <c r="I66" s="540">
        <f ca="1">IF(ISERROR(VLOOKUP(B66,Data!$B$29:$T$48,13,FALSE)),"-",VLOOKUP(B66,Data!$B$29:$T$48,13,FALSE))</f>
        <v>2177</v>
      </c>
      <c r="J66" s="547">
        <f ca="1">IF(ISERROR(VLOOKUP(B66,Data!$B$29:$T$48,18,FALSE)),"-",VLOOKUP(B66,Data!$B$29:$T$48,18,FALSE))</f>
        <v>3.0621107003595482</v>
      </c>
      <c r="K66" s="546">
        <f ca="1">IF(ISERROR(VLOOKUP(B66,Data!$B$29:$T$48,15,FALSE)),"-",VLOOKUP(B66,Data!$B$29:$T$48,15,FALSE))</f>
        <v>78.988</v>
      </c>
      <c r="L66" s="546">
        <f ca="1">IF(ISERROR(VLOOKUP(B66,Data!$B$29:$T$48,16,FALSE)),"-",VLOOKUP(B66,Data!$B$29:$T$48,16,FALSE))</f>
        <v>241.87</v>
      </c>
      <c r="M66" s="183">
        <f t="shared" ca="1" si="1"/>
        <v>188987.53</v>
      </c>
      <c r="N66" s="244">
        <f ca="1">COUNT($M$58:$M$77)-(RANK(M66,$M$58:$M$77)+COUNTIF($M$58:M66,M66)-1)+1</f>
        <v>11</v>
      </c>
      <c r="O66" t="str">
        <f t="shared" ca="1" si="2"/>
        <v>New Construction (NCP)</v>
      </c>
    </row>
    <row r="67" spans="2:15" x14ac:dyDescent="0.2">
      <c r="B67" s="537" t="str">
        <f ca="1">Order!J12</f>
        <v>Discont'd Ele Veh (EVE)</v>
      </c>
      <c r="C67" s="537" t="str">
        <f ca="1">IF(ISERROR(VLOOKUP(B67,Data!$B$4:$N$23,2,FALSE)),"-",VLOOKUP(B67,Data!$B$4:$N$23,2,FALSE))</f>
        <v>Res/Small Business</v>
      </c>
      <c r="D67" s="546">
        <f ca="1">IF(ISERROR(VLOOKUP(B67,Data!$B$4:$N$23,10,FALSE)),"-",VLOOKUP(B67,Data!$B$4:$N$23,10,FALSE))</f>
        <v>0</v>
      </c>
      <c r="E67" s="546">
        <f ca="1">IF(ISERROR(VLOOKUP(B67,Data!$B$29:$T$48,10,FALSE)),"-",VLOOKUP(B67,Data!$B$29:$T$48,10,FALSE))</f>
        <v>15.399999999999999</v>
      </c>
      <c r="F67" s="540">
        <f ca="1">IF(ISERROR(VLOOKUP(B67,Data!$B$4:$N$23,12,FALSE)),"-",VLOOKUP(B67,Data!$B$4:$N$23,12,FALSE))</f>
        <v>0</v>
      </c>
      <c r="G67" s="540">
        <f ca="1">IF(ISERROR(VLOOKUP(B67,Data!$B$29:$T$48,12,FALSE)),"-",VLOOKUP(B67,Data!$B$29:$T$48,12,FALSE))</f>
        <v>0</v>
      </c>
      <c r="H67" s="540" t="str">
        <f ca="1">IF(ISERROR(VLOOKUP(B67,Data!$B$4:$N$23,13,FALSE)),"-",VLOOKUP(B67,Data!$B$4:$N$23,13,FALSE))</f>
        <v>N/A</v>
      </c>
      <c r="I67" s="540">
        <f ca="1">IF(ISERROR(VLOOKUP(B67,Data!$B$29:$T$48,13,FALSE)),"-",VLOOKUP(B67,Data!$B$29:$T$48,13,FALSE))</f>
        <v>0</v>
      </c>
      <c r="J67" s="547" t="str">
        <f ca="1">IF(ISERROR(VLOOKUP(B67,Data!$B$29:$T$48,18,FALSE)),"-",VLOOKUP(B67,Data!$B$29:$T$48,18,FALSE))</f>
        <v>n/a</v>
      </c>
      <c r="K67" s="546">
        <f ca="1">IF(ISERROR(VLOOKUP(B67,Data!$B$29:$T$48,15,FALSE)),"-",VLOOKUP(B67,Data!$B$29:$T$48,15,FALSE))</f>
        <v>0</v>
      </c>
      <c r="L67" s="546">
        <f ca="1">IF(ISERROR(VLOOKUP(B67,Data!$B$29:$T$48,16,FALSE)),"-",VLOOKUP(B67,Data!$B$29:$T$48,16,FALSE))</f>
        <v>0</v>
      </c>
      <c r="M67" s="183">
        <f t="shared" ca="1" si="1"/>
        <v>15.399999999999999</v>
      </c>
      <c r="N67" s="244">
        <f ca="1">COUNT($M$58:$M$77)-(RANK(M67,$M$58:$M$77)+COUNTIF($M$58:M67,M67)-1)+1</f>
        <v>10</v>
      </c>
      <c r="O67" t="str">
        <f t="shared" ca="1" si="2"/>
        <v>Bring Y/Otstat (BYOT)</v>
      </c>
    </row>
    <row r="68" spans="2:15" x14ac:dyDescent="0.2">
      <c r="B68" s="537" t="str">
        <f ca="1">Order!J13</f>
        <v>Strat Energy Mgmt (SEMP)</v>
      </c>
      <c r="C68" s="537" t="str">
        <f ca="1">IF(ISERROR(VLOOKUP(B68,Data!$B$4:$N$23,2,FALSE)),"-",VLOOKUP(B68,Data!$B$4:$N$23,2,FALSE))</f>
        <v>Res/Small Business</v>
      </c>
      <c r="D68" s="546">
        <f ca="1">IF(ISERROR(VLOOKUP(B68,Data!$B$4:$N$23,10,FALSE)),"-",VLOOKUP(B68,Data!$B$4:$N$23,10,FALSE))</f>
        <v>559109</v>
      </c>
      <c r="E68" s="546">
        <f ca="1">IF(ISERROR(VLOOKUP(B68,Data!$B$29:$T$48,10,FALSE)),"-",VLOOKUP(B68,Data!$B$29:$T$48,10,FALSE))</f>
        <v>574855.58000000007</v>
      </c>
      <c r="F68" s="540">
        <f ca="1">IF(ISERROR(VLOOKUP(B68,Data!$B$4:$N$23,12,FALSE)),"-",VLOOKUP(B68,Data!$B$4:$N$23,12,FALSE))</f>
        <v>5850291</v>
      </c>
      <c r="G68" s="540">
        <f ca="1">IF(ISERROR(VLOOKUP(B68,Data!$B$29:$T$48,12,FALSE)),"-",VLOOKUP(B68,Data!$B$29:$T$48,12,FALSE))</f>
        <v>14670946</v>
      </c>
      <c r="H68" s="540">
        <f ca="1">IF(ISERROR(VLOOKUP(B68,Data!$B$4:$N$23,13,FALSE)),"-",VLOOKUP(B68,Data!$B$4:$N$23,13,FALSE))</f>
        <v>51</v>
      </c>
      <c r="I68" s="540">
        <f ca="1">IF(ISERROR(VLOOKUP(B68,Data!$B$29:$T$48,13,FALSE)),"-",VLOOKUP(B68,Data!$B$29:$T$48,13,FALSE))</f>
        <v>17</v>
      </c>
      <c r="J68" s="547">
        <f ca="1">IF(ISERROR(VLOOKUP(B68,Data!$B$29:$T$48,18,FALSE)),"-",VLOOKUP(B68,Data!$B$29:$T$48,18,FALSE))</f>
        <v>1.1796029572836801</v>
      </c>
      <c r="K68" s="546">
        <f ca="1">IF(ISERROR(VLOOKUP(B68,Data!$B$29:$T$48,15,FALSE)),"-",VLOOKUP(B68,Data!$B$29:$T$48,15,FALSE))</f>
        <v>365.2</v>
      </c>
      <c r="L68" s="546">
        <f ca="1">IF(ISERROR(VLOOKUP(B68,Data!$B$29:$T$48,16,FALSE)),"-",VLOOKUP(B68,Data!$B$29:$T$48,16,FALSE))</f>
        <v>430.791</v>
      </c>
      <c r="M68" s="183">
        <f t="shared" ca="1" si="1"/>
        <v>574855.58000000007</v>
      </c>
      <c r="N68" s="244">
        <f ca="1">COUNT($M$58:$M$77)-(RANK(M68,$M$58:$M$77)+COUNTIF($M$58:M68,M68)-1)+1</f>
        <v>13</v>
      </c>
      <c r="O68" t="str">
        <f t="shared" ca="1" si="2"/>
        <v>Discont'd Ele Veh (EVE)</v>
      </c>
    </row>
    <row r="69" spans="2:15" x14ac:dyDescent="0.2">
      <c r="B69" s="537" t="str">
        <f ca="1">Order!J14</f>
        <v>Comm &amp; Industrial (CIEEP)</v>
      </c>
      <c r="C69" s="537" t="str">
        <f ca="1">IF(ISERROR(VLOOKUP(B69,Data!$B$4:$N$23,2,FALSE)),"-",VLOOKUP(B69,Data!$B$4:$N$23,2,FALSE))</f>
        <v>Commercial &amp; Industrial</v>
      </c>
      <c r="D69" s="546">
        <f ca="1">IF(ISERROR(VLOOKUP(B69,Data!$B$4:$N$23,10,FALSE)),"-",VLOOKUP(B69,Data!$B$4:$N$23,10,FALSE))</f>
        <v>3084080</v>
      </c>
      <c r="E69" s="546">
        <f ca="1">IF(ISERROR(VLOOKUP(B69,Data!$B$29:$T$48,10,FALSE)),"-",VLOOKUP(B69,Data!$B$29:$T$48,10,FALSE))</f>
        <v>2928754.98</v>
      </c>
      <c r="F69" s="540">
        <f ca="1">IF(ISERROR(VLOOKUP(B69,Data!$B$4:$N$23,12,FALSE)),"-",VLOOKUP(B69,Data!$B$4:$N$23,12,FALSE))</f>
        <v>10534008</v>
      </c>
      <c r="G69" s="540">
        <f ca="1">IF(ISERROR(VLOOKUP(B69,Data!$B$29:$T$48,12,FALSE)),"-",VLOOKUP(B69,Data!$B$29:$T$48,12,FALSE))</f>
        <v>8691274</v>
      </c>
      <c r="H69" s="540">
        <f ca="1">IF(ISERROR(VLOOKUP(B69,Data!$B$4:$N$23,13,FALSE)),"-",VLOOKUP(B69,Data!$B$4:$N$23,13,FALSE))</f>
        <v>436</v>
      </c>
      <c r="I69" s="540">
        <f ca="1">IF(ISERROR(VLOOKUP(B69,Data!$B$29:$T$48,13,FALSE)),"-",VLOOKUP(B69,Data!$B$29:$T$48,13,FALSE))</f>
        <v>462</v>
      </c>
      <c r="J69" s="547">
        <f ca="1">IF(ISERROR(VLOOKUP(B69,Data!$B$29:$T$48,18,FALSE)),"-",VLOOKUP(B69,Data!$B$29:$T$48,18,FALSE))</f>
        <v>1.2722414464455671</v>
      </c>
      <c r="K69" s="546">
        <f ca="1">IF(ISERROR(VLOOKUP(B69,Data!$B$29:$T$48,15,FALSE)),"-",VLOOKUP(B69,Data!$B$29:$T$48,15,FALSE))</f>
        <v>4399.2529999999997</v>
      </c>
      <c r="L69" s="546">
        <f ca="1">IF(ISERROR(VLOOKUP(B69,Data!$B$29:$T$48,16,FALSE)),"-",VLOOKUP(B69,Data!$B$29:$T$48,16,FALSE))</f>
        <v>5596.9120000000003</v>
      </c>
      <c r="M69" s="183">
        <f t="shared" ca="1" si="1"/>
        <v>2928754.98</v>
      </c>
      <c r="N69" s="244">
        <f ca="1">COUNT($M$58:$M$77)-(RANK(M69,$M$58:$M$77)+COUNTIF($M$58:M69,M69)-1)+1</f>
        <v>20</v>
      </c>
      <c r="O69" t="str">
        <f t="shared" ca="1" si="2"/>
        <v>Discont'd Onlne Audt(OLA)</v>
      </c>
    </row>
    <row r="70" spans="2:15" x14ac:dyDescent="0.2">
      <c r="B70" s="537" t="str">
        <f ca="1">Order!J15</f>
        <v>Discont'd Comm Solutions</v>
      </c>
      <c r="C70" s="537" t="str">
        <f ca="1">IF(ISERROR(VLOOKUP(B70,Data!$B$4:$N$23,2,FALSE)),"-",VLOOKUP(B70,Data!$B$4:$N$23,2,FALSE))</f>
        <v>Commercial &amp; Industrial</v>
      </c>
      <c r="D70" s="546">
        <f ca="1">IF(ISERROR(VLOOKUP(B70,Data!$B$4:$N$23,10,FALSE)),"-",VLOOKUP(B70,Data!$B$4:$N$23,10,FALSE))</f>
        <v>0</v>
      </c>
      <c r="E70" s="546">
        <f ca="1">IF(ISERROR(VLOOKUP(B70,Data!$B$29:$T$48,10,FALSE)),"-",VLOOKUP(B70,Data!$B$29:$T$48,10,FALSE))</f>
        <v>0</v>
      </c>
      <c r="F70" s="540">
        <f ca="1">IF(ISERROR(VLOOKUP(B70,Data!$B$4:$N$23,12,FALSE)),"-",VLOOKUP(B70,Data!$B$4:$N$23,12,FALSE))</f>
        <v>0</v>
      </c>
      <c r="G70" s="540">
        <f ca="1">IF(ISERROR(VLOOKUP(B70,Data!$B$29:$T$48,12,FALSE)),"-",VLOOKUP(B70,Data!$B$29:$T$48,12,FALSE))</f>
        <v>0</v>
      </c>
      <c r="H70" s="540" t="str">
        <f ca="1">IF(ISERROR(VLOOKUP(B70,Data!$B$4:$N$23,13,FALSE)),"-",VLOOKUP(B70,Data!$B$4:$N$23,13,FALSE))</f>
        <v>N/A</v>
      </c>
      <c r="I70" s="540">
        <f ca="1">IF(ISERROR(VLOOKUP(B70,Data!$B$29:$T$48,13,FALSE)),"-",VLOOKUP(B70,Data!$B$29:$T$48,13,FALSE))</f>
        <v>0</v>
      </c>
      <c r="J70" s="547" t="str">
        <f ca="1">IF(ISERROR(VLOOKUP(B70,Data!$B$29:$T$48,18,FALSE)),"-",VLOOKUP(B70,Data!$B$29:$T$48,18,FALSE))</f>
        <v>n/a</v>
      </c>
      <c r="K70" s="546">
        <f ca="1">IF(ISERROR(VLOOKUP(B70,Data!$B$29:$T$48,15,FALSE)),"-",VLOOKUP(B70,Data!$B$29:$T$48,15,FALSE))</f>
        <v>0</v>
      </c>
      <c r="L70" s="546">
        <f ca="1">IF(ISERROR(VLOOKUP(B70,Data!$B$29:$T$48,16,FALSE)),"-",VLOOKUP(B70,Data!$B$29:$T$48,16,FALSE))</f>
        <v>0</v>
      </c>
      <c r="M70" s="183">
        <f t="shared" ca="1" si="1"/>
        <v>0</v>
      </c>
      <c r="N70" s="244">
        <f ca="1">COUNT($M$58:$M$77)-(RANK(M70,$M$58:$M$77)+COUNTIF($M$58:M70,M70)-1)+1</f>
        <v>5</v>
      </c>
      <c r="O70" t="str">
        <f t="shared" ca="1" si="2"/>
        <v>Discont'd R ES Appliance</v>
      </c>
    </row>
    <row r="71" spans="2:15" x14ac:dyDescent="0.2">
      <c r="B71" s="537" t="str">
        <f ca="1">Order!J16</f>
        <v>Load Mgt (LMP)</v>
      </c>
      <c r="C71" s="537" t="str">
        <f ca="1">IF(ISERROR(VLOOKUP(B71,Data!$B$4:$N$23,2,FALSE)),"-",VLOOKUP(B71,Data!$B$4:$N$23,2,FALSE))</f>
        <v>Commercial &amp; Industrial</v>
      </c>
      <c r="D71" s="546">
        <f ca="1">IF(ISERROR(VLOOKUP(B71,Data!$B$4:$N$23,10,FALSE)),"-",VLOOKUP(B71,Data!$B$4:$N$23,10,FALSE))</f>
        <v>1007610</v>
      </c>
      <c r="E71" s="546">
        <f ca="1">IF(ISERROR(VLOOKUP(B71,Data!$B$29:$T$48,10,FALSE)),"-",VLOOKUP(B71,Data!$B$29:$T$48,10,FALSE))</f>
        <v>786371.33000000007</v>
      </c>
      <c r="F71" s="540">
        <f ca="1">IF(ISERROR(VLOOKUP(B71,Data!$B$4:$N$23,12,FALSE)),"-",VLOOKUP(B71,Data!$B$4:$N$23,12,FALSE))</f>
        <v>0</v>
      </c>
      <c r="G71" s="540">
        <f ca="1">IF(ISERROR(VLOOKUP(B71,Data!$B$29:$T$48,12,FALSE)),"-",VLOOKUP(B71,Data!$B$29:$T$48,12,FALSE))</f>
        <v>166783</v>
      </c>
      <c r="H71" s="540">
        <f ca="1">IF(ISERROR(VLOOKUP(B71,Data!$B$4:$N$23,13,FALSE)),"-",VLOOKUP(B71,Data!$B$4:$N$23,13,FALSE))</f>
        <v>50</v>
      </c>
      <c r="I71" s="540">
        <f ca="1">IF(ISERROR(VLOOKUP(B71,Data!$B$29:$T$48,13,FALSE)),"-",VLOOKUP(B71,Data!$B$29:$T$48,13,FALSE))</f>
        <v>19</v>
      </c>
      <c r="J71" s="547">
        <f ca="1">IF(ISERROR(VLOOKUP(B71,Data!$B$29:$T$48,18,FALSE)),"-",VLOOKUP(B71,Data!$B$29:$T$48,18,FALSE))</f>
        <v>1.6850900864066289</v>
      </c>
      <c r="K71" s="546">
        <f ca="1">IF(ISERROR(VLOOKUP(B71,Data!$B$29:$T$48,15,FALSE)),"-",VLOOKUP(B71,Data!$B$29:$T$48,15,FALSE))</f>
        <v>366.87</v>
      </c>
      <c r="L71" s="546">
        <f ca="1">IF(ISERROR(VLOOKUP(B71,Data!$B$29:$T$48,16,FALSE)),"-",VLOOKUP(B71,Data!$B$29:$T$48,16,FALSE))</f>
        <v>618.20899999999995</v>
      </c>
      <c r="M71" s="183">
        <f t="shared" ca="1" si="1"/>
        <v>786371.33000000007</v>
      </c>
      <c r="N71" s="244">
        <f ca="1">COUNT($M$58:$M$77)-(RANK(M71,$M$58:$M$77)+COUNTIF($M$58:M71,M71)-1)+1</f>
        <v>15</v>
      </c>
      <c r="O71" t="str">
        <f t="shared" ca="1" si="2"/>
        <v>Discont'd Res Appliance</v>
      </c>
    </row>
    <row r="72" spans="2:15" x14ac:dyDescent="0.2">
      <c r="B72" s="537" t="str">
        <f ca="1">Order!J17</f>
        <v>New Construction (NCP)</v>
      </c>
      <c r="C72" s="537" t="str">
        <f ca="1">IF(ISERROR(VLOOKUP(B72,Data!$B$4:$N$23,2,FALSE)),"-",VLOOKUP(B72,Data!$B$4:$N$23,2,FALSE))</f>
        <v>Res/C&amp;I</v>
      </c>
      <c r="D72" s="546">
        <f ca="1">IF(ISERROR(VLOOKUP(B72,Data!$B$4:$N$23,10,FALSE)),"-",VLOOKUP(B72,Data!$B$4:$N$23,10,FALSE))</f>
        <v>415993</v>
      </c>
      <c r="E72" s="546">
        <f ca="1">IF(ISERROR(VLOOKUP(B72,Data!$B$29:$T$48,10,FALSE)),"-",VLOOKUP(B72,Data!$B$29:$T$48,10,FALSE))</f>
        <v>410760.84</v>
      </c>
      <c r="F72" s="540">
        <f ca="1">IF(ISERROR(VLOOKUP(B72,Data!$B$4:$N$23,12,FALSE)),"-",VLOOKUP(B72,Data!$B$4:$N$23,12,FALSE))</f>
        <v>727832</v>
      </c>
      <c r="G72" s="540">
        <f ca="1">IF(ISERROR(VLOOKUP(B72,Data!$B$29:$T$48,12,FALSE)),"-",VLOOKUP(B72,Data!$B$29:$T$48,12,FALSE))</f>
        <v>482893</v>
      </c>
      <c r="H72" s="540">
        <f ca="1">IF(ISERROR(VLOOKUP(B72,Data!$B$4:$N$23,13,FALSE)),"-",VLOOKUP(B72,Data!$B$4:$N$23,13,FALSE))</f>
        <v>160</v>
      </c>
      <c r="I72" s="540">
        <f ca="1">IF(ISERROR(VLOOKUP(B72,Data!$B$29:$T$48,13,FALSE)),"-",VLOOKUP(B72,Data!$B$29:$T$48,13,FALSE))</f>
        <v>48</v>
      </c>
      <c r="J72" s="547">
        <f ca="1">IF(ISERROR(VLOOKUP(B72,Data!$B$29:$T$48,18,FALSE)),"-",VLOOKUP(B72,Data!$B$29:$T$48,18,FALSE))</f>
        <v>1.0696477892518721</v>
      </c>
      <c r="K72" s="546">
        <f ca="1">IF(ISERROR(VLOOKUP(B72,Data!$B$29:$T$48,15,FALSE)),"-",VLOOKUP(B72,Data!$B$29:$T$48,15,FALSE))</f>
        <v>300.87099999999998</v>
      </c>
      <c r="L72" s="546">
        <f ca="1">IF(ISERROR(VLOOKUP(B72,Data!$B$29:$T$48,16,FALSE)),"-",VLOOKUP(B72,Data!$B$29:$T$48,16,FALSE))</f>
        <v>321.82600000000002</v>
      </c>
      <c r="M72" s="183">
        <f t="shared" ca="1" si="1"/>
        <v>410760.84</v>
      </c>
      <c r="N72" s="244">
        <f ca="1">COUNT($M$58:$M$77)-(RANK(M72,$M$58:$M$77)+COUNTIF($M$58:M72,M72)-1)+1</f>
        <v>12</v>
      </c>
      <c r="O72" t="str">
        <f t="shared" ca="1" si="2"/>
        <v>Discont'd Res Solutions</v>
      </c>
    </row>
    <row r="73" spans="2:15" x14ac:dyDescent="0.2">
      <c r="B73" s="537" t="str">
        <f ca="1">Order!J18</f>
        <v>Small Business (SBP)</v>
      </c>
      <c r="C73" s="537" t="str">
        <f ca="1">IF(ISERROR(VLOOKUP(B73,Data!$B$4:$N$23,2,FALSE)),"-",VLOOKUP(B73,Data!$B$4:$N$23,2,FALSE))</f>
        <v>Small Business/C&amp;I</v>
      </c>
      <c r="D73" s="546">
        <f ca="1">IF(ISERROR(VLOOKUP(B73,Data!$B$4:$N$23,10,FALSE)),"-",VLOOKUP(B73,Data!$B$4:$N$23,10,FALSE))</f>
        <v>1596350</v>
      </c>
      <c r="E73" s="546">
        <f ca="1">IF(ISERROR(VLOOKUP(B73,Data!$B$29:$T$48,10,FALSE)),"-",VLOOKUP(B73,Data!$B$29:$T$48,10,FALSE))</f>
        <v>1545628.96</v>
      </c>
      <c r="F73" s="540">
        <f ca="1">IF(ISERROR(VLOOKUP(B73,Data!$B$4:$N$23,12,FALSE)),"-",VLOOKUP(B73,Data!$B$4:$N$23,12,FALSE))</f>
        <v>6060578</v>
      </c>
      <c r="G73" s="540">
        <f ca="1">IF(ISERROR(VLOOKUP(B73,Data!$B$29:$T$48,12,FALSE)),"-",VLOOKUP(B73,Data!$B$29:$T$48,12,FALSE))</f>
        <v>4161317</v>
      </c>
      <c r="H73" s="540">
        <f ca="1">IF(ISERROR(VLOOKUP(B73,Data!$B$4:$N$23,13,FALSE)),"-",VLOOKUP(B73,Data!$B$4:$N$23,13,FALSE))</f>
        <v>668</v>
      </c>
      <c r="I73" s="540">
        <f ca="1">IF(ISERROR(VLOOKUP(B73,Data!$B$29:$T$48,13,FALSE)),"-",VLOOKUP(B73,Data!$B$29:$T$48,13,FALSE))</f>
        <v>645</v>
      </c>
      <c r="J73" s="547">
        <f ca="1">IF(ISERROR(VLOOKUP(B73,Data!$B$29:$T$48,18,FALSE)),"-",VLOOKUP(B73,Data!$B$29:$T$48,18,FALSE))</f>
        <v>1.6595268983228013</v>
      </c>
      <c r="K73" s="546">
        <f ca="1">IF(ISERROR(VLOOKUP(B73,Data!$B$29:$T$48,15,FALSE)),"-",VLOOKUP(B73,Data!$B$29:$T$48,15,FALSE))</f>
        <v>1507.752</v>
      </c>
      <c r="L73" s="546">
        <f ca="1">IF(ISERROR(VLOOKUP(B73,Data!$B$29:$T$48,16,FALSE)),"-",VLOOKUP(B73,Data!$B$29:$T$48,16,FALSE))</f>
        <v>2502.1550000000002</v>
      </c>
      <c r="M73" s="183">
        <f t="shared" ca="1" si="1"/>
        <v>1545628.96</v>
      </c>
      <c r="N73" s="244">
        <f ca="1">COUNT($M$58:$M$77)-(RANK(M73,$M$58:$M$77)+COUNTIF($M$58:M73,M73)-1)+1</f>
        <v>17</v>
      </c>
      <c r="O73" t="str">
        <f t="shared" ca="1" si="2"/>
        <v>Discont'd Comm Solutions</v>
      </c>
    </row>
    <row r="74" spans="2:15" x14ac:dyDescent="0.2">
      <c r="B74" s="537" t="str">
        <f ca="1">Order!J19</f>
        <v>Discont'd ARWX (AWIP)</v>
      </c>
      <c r="C74" s="537" t="str">
        <f ca="1">IF(ISERROR(VLOOKUP(B74,Data!$B$4:$N$23,2,FALSE)),"-",VLOOKUP(B74,Data!$B$4:$N$23,2,FALSE))</f>
        <v>Residential</v>
      </c>
      <c r="D74" s="546">
        <f ca="1">IF(ISERROR(VLOOKUP(B74,Data!$B$4:$N$23,10,FALSE)),"-",VLOOKUP(B74,Data!$B$4:$N$23,10,FALSE))</f>
        <v>0</v>
      </c>
      <c r="E74" s="546">
        <f ca="1">IF(ISERROR(VLOOKUP(B74,Data!$B$29:$T$48,10,FALSE)),"-",VLOOKUP(B74,Data!$B$29:$T$48,10,FALSE))</f>
        <v>0</v>
      </c>
      <c r="F74" s="540">
        <f ca="1">IF(ISERROR(VLOOKUP(B74,Data!$B$4:$N$23,12,FALSE)),"-",VLOOKUP(B74,Data!$B$4:$N$23,12,FALSE))</f>
        <v>0</v>
      </c>
      <c r="G74" s="540">
        <f ca="1">IF(ISERROR(VLOOKUP(B74,Data!$B$29:$T$48,12,FALSE)),"-",VLOOKUP(B74,Data!$B$29:$T$48,12,FALSE))</f>
        <v>0</v>
      </c>
      <c r="H74" s="540" t="str">
        <f ca="1">IF(ISERROR(VLOOKUP(B74,Data!$B$4:$N$23,13,FALSE)),"-",VLOOKUP(B74,Data!$B$4:$N$23,13,FALSE))</f>
        <v>N/A</v>
      </c>
      <c r="I74" s="540">
        <f ca="1">IF(ISERROR(VLOOKUP(B74,Data!$B$29:$T$48,13,FALSE)),"-",VLOOKUP(B74,Data!$B$29:$T$48,13,FALSE))</f>
        <v>0</v>
      </c>
      <c r="J74" s="547" t="str">
        <f ca="1">IF(ISERROR(VLOOKUP(B74,Data!$B$29:$T$48,18,FALSE)),"-",VLOOKUP(B74,Data!$B$29:$T$48,18,FALSE))</f>
        <v>n/a</v>
      </c>
      <c r="K74" s="546">
        <f ca="1">IF(ISERROR(VLOOKUP(B74,Data!$B$29:$T$48,15,FALSE)),"-",VLOOKUP(B74,Data!$B$29:$T$48,15,FALSE))</f>
        <v>0</v>
      </c>
      <c r="L74" s="546">
        <f ca="1">IF(ISERROR(VLOOKUP(B74,Data!$B$29:$T$48,16,FALSE)),"-",VLOOKUP(B74,Data!$B$29:$T$48,16,FALSE))</f>
        <v>0</v>
      </c>
      <c r="M74" s="183">
        <f t="shared" ca="1" si="1"/>
        <v>0</v>
      </c>
      <c r="N74" s="244">
        <f ca="1">COUNT($M$58:$M$77)-(RANK(M74,$M$58:$M$77)+COUNTIF($M$58:M74,M74)-1)+1</f>
        <v>4</v>
      </c>
      <c r="O74" t="str">
        <f t="shared" ca="1" si="2"/>
        <v>Discont'd ARWX (AWIP)</v>
      </c>
    </row>
    <row r="75" spans="2:15" x14ac:dyDescent="0.2">
      <c r="B75" s="537" t="str">
        <f ca="1">Order!J20</f>
        <v>Discont'd EE AR (EEA)</v>
      </c>
      <c r="C75" s="537" t="str">
        <f ca="1">IF(ISERROR(VLOOKUP(B75,Data!$B$4:$N$23,2,FALSE)),"-",VLOOKUP(B75,Data!$B$4:$N$23,2,FALSE))</f>
        <v>All Classes</v>
      </c>
      <c r="D75" s="546">
        <f ca="1">IF(ISERROR(VLOOKUP(B75,Data!$B$4:$N$23,10,FALSE)),"-",VLOOKUP(B75,Data!$B$4:$N$23,10,FALSE))</f>
        <v>0</v>
      </c>
      <c r="E75" s="546">
        <f ca="1">IF(ISERROR(VLOOKUP(B75,Data!$B$29:$T$48,10,FALSE)),"-",VLOOKUP(B75,Data!$B$29:$T$48,10,FALSE))</f>
        <v>0</v>
      </c>
      <c r="F75" s="540">
        <f ca="1">IF(ISERROR(VLOOKUP(B75,Data!$B$4:$N$23,12,FALSE)),"-",VLOOKUP(B75,Data!$B$4:$N$23,12,FALSE))</f>
        <v>0</v>
      </c>
      <c r="G75" s="540">
        <f ca="1">IF(ISERROR(VLOOKUP(B75,Data!$B$29:$T$48,12,FALSE)),"-",VLOOKUP(B75,Data!$B$29:$T$48,12,FALSE))</f>
        <v>0</v>
      </c>
      <c r="H75" s="540" t="str">
        <f ca="1">IF(ISERROR(VLOOKUP(B75,Data!$B$4:$N$23,13,FALSE)),"-",VLOOKUP(B75,Data!$B$4:$N$23,13,FALSE))</f>
        <v>N/A</v>
      </c>
      <c r="I75" s="540">
        <f ca="1">IF(ISERROR(VLOOKUP(B75,Data!$B$29:$T$48,13,FALSE)),"-",VLOOKUP(B75,Data!$B$29:$T$48,13,FALSE))</f>
        <v>0</v>
      </c>
      <c r="J75" s="547" t="str">
        <f ca="1">IF(ISERROR(VLOOKUP(B75,Data!$B$29:$T$48,18,FALSE)),"-",VLOOKUP(B75,Data!$B$29:$T$48,18,FALSE))</f>
        <v>n/a</v>
      </c>
      <c r="K75" s="546">
        <f ca="1">IF(ISERROR(VLOOKUP(B75,Data!$B$29:$T$48,15,FALSE)),"-",VLOOKUP(B75,Data!$B$29:$T$48,15,FALSE))</f>
        <v>0</v>
      </c>
      <c r="L75" s="546">
        <f ca="1">IF(ISERROR(VLOOKUP(B75,Data!$B$29:$T$48,16,FALSE)),"-",VLOOKUP(B75,Data!$B$29:$T$48,16,FALSE))</f>
        <v>0</v>
      </c>
      <c r="M75" s="183">
        <f t="shared" ca="1" si="1"/>
        <v>0</v>
      </c>
      <c r="N75" s="244">
        <f ca="1">COUNT($M$58:$M$77)-(RANK(M75,$M$58:$M$77)+COUNTIF($M$58:M75,M75)-1)+1</f>
        <v>3</v>
      </c>
      <c r="O75" t="str">
        <f t="shared" ca="1" si="2"/>
        <v>Discont'd EE AR (EEA)</v>
      </c>
    </row>
    <row r="76" spans="2:15" x14ac:dyDescent="0.2">
      <c r="B76" s="537" t="str">
        <f ca="1">Order!J21</f>
        <v>*Hide*</v>
      </c>
      <c r="C76" s="537" t="str">
        <f ca="1">IF(ISERROR(VLOOKUP(B76,Data!$B$4:$N$23,2,FALSE)),"-",VLOOKUP(B76,Data!$B$4:$N$23,2,FALSE))</f>
        <v>-</v>
      </c>
      <c r="D76" s="546" t="str">
        <f ca="1">IF(ISERROR(VLOOKUP(B76,Data!$B$4:$N$23,10,FALSE)),"-",VLOOKUP(B76,Data!$B$4:$N$23,10,FALSE))</f>
        <v>-</v>
      </c>
      <c r="E76" s="546" t="str">
        <f ca="1">IF(ISERROR(VLOOKUP(B76,Data!$B$29:$T$48,10,FALSE)),"-",VLOOKUP(B76,Data!$B$29:$T$48,10,FALSE))</f>
        <v>-</v>
      </c>
      <c r="F76" s="540" t="str">
        <f ca="1">IF(ISERROR(VLOOKUP(B76,Data!$B$4:$N$23,12,FALSE)),"-",VLOOKUP(B76,Data!$B$4:$N$23,12,FALSE))</f>
        <v>-</v>
      </c>
      <c r="G76" s="540" t="str">
        <f ca="1">IF(ISERROR(VLOOKUP(B76,Data!$B$29:$T$48,12,FALSE)),"-",VLOOKUP(B76,Data!$B$29:$T$48,12,FALSE))</f>
        <v>-</v>
      </c>
      <c r="H76" s="540" t="str">
        <f ca="1">IF(ISERROR(VLOOKUP(B76,Data!$B$4:$N$23,13,FALSE)),"-",VLOOKUP(B76,Data!$B$4:$N$23,13,FALSE))</f>
        <v>-</v>
      </c>
      <c r="I76" s="540" t="str">
        <f ca="1">IF(ISERROR(VLOOKUP(B76,Data!$B$29:$T$48,13,FALSE)),"-",VLOOKUP(B76,Data!$B$29:$T$48,13,FALSE))</f>
        <v>-</v>
      </c>
      <c r="J76" s="547" t="str">
        <f ca="1">IF(ISERROR(VLOOKUP(B76,Data!$B$29:$T$48,18,FALSE)),"-",VLOOKUP(B76,Data!$B$29:$T$48,18,FALSE))</f>
        <v>-</v>
      </c>
      <c r="K76" s="546" t="str">
        <f ca="1">IF(ISERROR(VLOOKUP(B76,Data!$B$29:$T$48,15,FALSE)),"-",VLOOKUP(B76,Data!$B$29:$T$48,15,FALSE))</f>
        <v>-</v>
      </c>
      <c r="L76" s="546" t="str">
        <f ca="1">IF(ISERROR(VLOOKUP(B76,Data!$B$29:$T$48,16,FALSE)),"-",VLOOKUP(B76,Data!$B$29:$T$48,16,FALSE))</f>
        <v>-</v>
      </c>
      <c r="M76" s="183">
        <f t="shared" ca="1" si="1"/>
        <v>0</v>
      </c>
      <c r="N76" s="244">
        <f ca="1">COUNT($M$58:$M$77)-(RANK(M76,$M$58:$M$77)+COUNTIF($M$58:M76,M76)-1)+1</f>
        <v>2</v>
      </c>
      <c r="O76" t="str">
        <f t="shared" ca="1" si="2"/>
        <v>*Hide*</v>
      </c>
    </row>
    <row r="77" spans="2:15" x14ac:dyDescent="0.2">
      <c r="B77" s="537" t="str">
        <f ca="1">Order!J22</f>
        <v>*Hide*</v>
      </c>
      <c r="C77" s="537" t="str">
        <f ca="1">IF(ISERROR(VLOOKUP(B77,Data!$B$4:$N$23,2,FALSE)),"-",VLOOKUP(B77,Data!$B$4:$N$23,2,FALSE))</f>
        <v>-</v>
      </c>
      <c r="D77" s="546" t="str">
        <f ca="1">IF(ISERROR(VLOOKUP(B77,Data!$B$4:$N$23,10,FALSE)),"-",VLOOKUP(B77,Data!$B$4:$N$23,10,FALSE))</f>
        <v>-</v>
      </c>
      <c r="E77" s="546" t="str">
        <f ca="1">IF(ISERROR(VLOOKUP(B77,Data!$B$29:$T$48,10,FALSE)),"-",VLOOKUP(B77,Data!$B$29:$T$48,10,FALSE))</f>
        <v>-</v>
      </c>
      <c r="F77" s="540" t="str">
        <f ca="1">IF(ISERROR(VLOOKUP(B77,Data!$B$4:$N$23,12,FALSE)),"-",VLOOKUP(B77,Data!$B$4:$N$23,12,FALSE))</f>
        <v>-</v>
      </c>
      <c r="G77" s="540" t="str">
        <f ca="1">IF(ISERROR(VLOOKUP(B77,Data!$B$29:$T$48,12,FALSE)),"-",VLOOKUP(B77,Data!$B$29:$T$48,12,FALSE))</f>
        <v>-</v>
      </c>
      <c r="H77" s="540" t="str">
        <f ca="1">IF(ISERROR(VLOOKUP(B77,Data!$B$4:$N$23,13,FALSE)),"-",VLOOKUP(B77,Data!$B$4:$N$23,13,FALSE))</f>
        <v>-</v>
      </c>
      <c r="I77" s="540" t="str">
        <f ca="1">IF(ISERROR(VLOOKUP(B77,Data!$B$29:$T$48,13,FALSE)),"-",VLOOKUP(B77,Data!$B$29:$T$48,13,FALSE))</f>
        <v>-</v>
      </c>
      <c r="J77" s="547" t="str">
        <f ca="1">IF(ISERROR(VLOOKUP(B77,Data!$B$29:$T$48,18,FALSE)),"-",VLOOKUP(B77,Data!$B$29:$T$48,18,FALSE))</f>
        <v>-</v>
      </c>
      <c r="K77" s="546" t="str">
        <f ca="1">IF(ISERROR(VLOOKUP(B77,Data!$B$29:$T$48,15,FALSE)),"-",VLOOKUP(B77,Data!$B$29:$T$48,15,FALSE))</f>
        <v>-</v>
      </c>
      <c r="L77" s="546" t="str">
        <f ca="1">IF(ISERROR(VLOOKUP(B77,Data!$B$29:$T$48,16,FALSE)),"-",VLOOKUP(B77,Data!$B$29:$T$48,16,FALSE))</f>
        <v>-</v>
      </c>
      <c r="M77" s="183">
        <f t="shared" ca="1" si="1"/>
        <v>0</v>
      </c>
      <c r="N77" s="244">
        <f ca="1">COUNT($M$58:$M$77)-(RANK(M77,$M$58:$M$77)+COUNTIF($M$58:M77,M77)-1)+1</f>
        <v>1</v>
      </c>
      <c r="O77" t="str">
        <f t="shared" ca="1" si="2"/>
        <v>*Hide*</v>
      </c>
    </row>
    <row r="80" spans="2:15" x14ac:dyDescent="0.2">
      <c r="D80" s="90" t="s">
        <v>799</v>
      </c>
    </row>
    <row r="81" spans="2:15" x14ac:dyDescent="0.2">
      <c r="C81" s="489" t="s">
        <v>782</v>
      </c>
      <c r="D81" s="544" t="s">
        <v>542</v>
      </c>
      <c r="E81" s="544" t="s">
        <v>543</v>
      </c>
      <c r="F81" s="544" t="s">
        <v>544</v>
      </c>
      <c r="G81" s="544" t="s">
        <v>545</v>
      </c>
      <c r="H81" s="544" t="s">
        <v>544</v>
      </c>
      <c r="I81" s="544" t="s">
        <v>543</v>
      </c>
      <c r="J81" s="544" t="s">
        <v>213</v>
      </c>
      <c r="K81" s="544" t="s">
        <v>798</v>
      </c>
      <c r="L81" s="544" t="s">
        <v>800</v>
      </c>
      <c r="M81" s="544" t="s">
        <v>442</v>
      </c>
      <c r="O81" s="134" t="s">
        <v>757</v>
      </c>
    </row>
    <row r="82" spans="2:15" x14ac:dyDescent="0.2">
      <c r="B82" t="str">
        <f>List!B7</f>
        <v>Residential</v>
      </c>
      <c r="C82" s="244">
        <f ca="1">COUNT($D$82:$D$91)-(RANK(D82,$D$82:$D$91)+COUNTIF($D$82:D82,D82)-1)+1</f>
        <v>10</v>
      </c>
      <c r="D82" s="546">
        <f ca="1">SUMIF($C$58:$C$77,$B82,D$58:D$77)</f>
        <v>7044343</v>
      </c>
      <c r="E82" s="546">
        <f ca="1">SUMIF($C$58:$C$77,$B82,E$58:E$77)</f>
        <v>6695212.3100000005</v>
      </c>
      <c r="F82" s="540">
        <f ca="1">SUMIF($C$58:$C$77,$B82,F$58:F$77)</f>
        <v>15077793</v>
      </c>
      <c r="G82" s="540">
        <f t="shared" ref="G82:I91" ca="1" si="3">SUMIF($C$58:$C$77,$B82,G$58:G$77)</f>
        <v>16387870</v>
      </c>
      <c r="H82" s="540">
        <f t="shared" ca="1" si="3"/>
        <v>24148</v>
      </c>
      <c r="I82" s="540">
        <f t="shared" ca="1" si="3"/>
        <v>137895</v>
      </c>
      <c r="J82" s="546">
        <f t="shared" ref="J82:K91" ca="1" si="4">SUMIF($C$58:$C$77,$B82,K$58:K$77)</f>
        <v>7165.5430000000006</v>
      </c>
      <c r="K82" s="546">
        <f t="shared" ca="1" si="4"/>
        <v>14296.035</v>
      </c>
      <c r="L82" s="546">
        <f ca="1">K82-J82</f>
        <v>7130.4919999999993</v>
      </c>
      <c r="M82" s="547">
        <f ca="1">IF(ISERROR(K82/J82),"n/a",K82/J82)</f>
        <v>1.9951083958326674</v>
      </c>
      <c r="O82" t="str">
        <f ca="1">OFFSET(B$82,MATCH(LARGE(C$82:C$91,ROW()-ROW(C$82)+1),C$82:C$91,0)-1,0)</f>
        <v>Residential</v>
      </c>
    </row>
    <row r="83" spans="2:15" x14ac:dyDescent="0.2">
      <c r="B83" t="str">
        <f>List!B8</f>
        <v>Small Business</v>
      </c>
      <c r="C83" s="244">
        <f ca="1">COUNT($D$82:$D$91)-(RANK(D83,$D$82:$D$91)+COUNTIF($D$82:D83,D83)-1)+1</f>
        <v>5</v>
      </c>
      <c r="D83" s="546">
        <f t="shared" ref="D83:F91" ca="1" si="5">SUMIF($C$58:$C$77,$B83,D$58:D$77)</f>
        <v>0</v>
      </c>
      <c r="E83" s="546">
        <f t="shared" ca="1" si="5"/>
        <v>0</v>
      </c>
      <c r="F83" s="540">
        <f t="shared" ca="1" si="5"/>
        <v>0</v>
      </c>
      <c r="G83" s="540">
        <f t="shared" ca="1" si="3"/>
        <v>0</v>
      </c>
      <c r="H83" s="540">
        <f t="shared" ca="1" si="3"/>
        <v>0</v>
      </c>
      <c r="I83" s="540">
        <f t="shared" ca="1" si="3"/>
        <v>0</v>
      </c>
      <c r="J83" s="546">
        <f t="shared" ca="1" si="4"/>
        <v>0</v>
      </c>
      <c r="K83" s="546">
        <f t="shared" ca="1" si="4"/>
        <v>0</v>
      </c>
      <c r="L83" s="546">
        <f t="shared" ref="L83:L91" ca="1" si="6">K83-J83</f>
        <v>0</v>
      </c>
      <c r="M83" s="547" t="str">
        <f t="shared" ref="M83:M91" ca="1" si="7">IF(ISERROR(K83/J83),"n/a",K83/J83)</f>
        <v>n/a</v>
      </c>
      <c r="O83" t="str">
        <f t="shared" ref="O83:O91" ca="1" si="8">OFFSET(B$82,MATCH(LARGE(C$82:C$91,ROW()-ROW(C$82)+1),C$82:C$91,0)-1,0)</f>
        <v>Commercial &amp; Industrial</v>
      </c>
    </row>
    <row r="84" spans="2:15" x14ac:dyDescent="0.2">
      <c r="B84" t="str">
        <f>List!B9</f>
        <v>Commercial &amp; Industrial</v>
      </c>
      <c r="C84" s="244">
        <f ca="1">COUNT($D$82:$D$91)-(RANK(D84,$D$82:$D$91)+COUNTIF($D$82:D84,D84)-1)+1</f>
        <v>9</v>
      </c>
      <c r="D84" s="546">
        <f t="shared" ca="1" si="5"/>
        <v>4091690</v>
      </c>
      <c r="E84" s="546">
        <f t="shared" ca="1" si="5"/>
        <v>3715126.31</v>
      </c>
      <c r="F84" s="540">
        <f t="shared" ca="1" si="5"/>
        <v>10534008</v>
      </c>
      <c r="G84" s="540">
        <f t="shared" ca="1" si="3"/>
        <v>8858057</v>
      </c>
      <c r="H84" s="540">
        <f t="shared" ca="1" si="3"/>
        <v>486</v>
      </c>
      <c r="I84" s="540">
        <f t="shared" ca="1" si="3"/>
        <v>481</v>
      </c>
      <c r="J84" s="546">
        <f t="shared" ca="1" si="4"/>
        <v>4766.1229999999996</v>
      </c>
      <c r="K84" s="546">
        <f t="shared" ca="1" si="4"/>
        <v>6215.1210000000001</v>
      </c>
      <c r="L84" s="546">
        <f t="shared" ca="1" si="6"/>
        <v>1448.9980000000005</v>
      </c>
      <c r="M84" s="547">
        <f t="shared" ca="1" si="7"/>
        <v>1.30402026972447</v>
      </c>
      <c r="O84" t="str">
        <f t="shared" ca="1" si="8"/>
        <v>Small Business/C&amp;I</v>
      </c>
    </row>
    <row r="85" spans="2:15" x14ac:dyDescent="0.2">
      <c r="B85" t="str">
        <f>List!B10</f>
        <v>Municipalities/Schools</v>
      </c>
      <c r="C85" s="244">
        <f ca="1">COUNT($D$82:$D$91)-(RANK(D85,$D$82:$D$91)+COUNTIF($D$82:D85,D85)-1)+1</f>
        <v>4</v>
      </c>
      <c r="D85" s="546">
        <f t="shared" ca="1" si="5"/>
        <v>0</v>
      </c>
      <c r="E85" s="546">
        <f t="shared" ca="1" si="5"/>
        <v>0</v>
      </c>
      <c r="F85" s="540">
        <f t="shared" ca="1" si="5"/>
        <v>0</v>
      </c>
      <c r="G85" s="540">
        <f t="shared" ca="1" si="3"/>
        <v>0</v>
      </c>
      <c r="H85" s="540">
        <f t="shared" ca="1" si="3"/>
        <v>0</v>
      </c>
      <c r="I85" s="540">
        <f t="shared" ca="1" si="3"/>
        <v>0</v>
      </c>
      <c r="J85" s="546">
        <f t="shared" ca="1" si="4"/>
        <v>0</v>
      </c>
      <c r="K85" s="546">
        <f t="shared" ca="1" si="4"/>
        <v>0</v>
      </c>
      <c r="L85" s="546">
        <f t="shared" ca="1" si="6"/>
        <v>0</v>
      </c>
      <c r="M85" s="547" t="str">
        <f t="shared" ca="1" si="7"/>
        <v>n/a</v>
      </c>
      <c r="O85" t="str">
        <f t="shared" ca="1" si="8"/>
        <v>Res/Small Business</v>
      </c>
    </row>
    <row r="86" spans="2:15" x14ac:dyDescent="0.2">
      <c r="B86" t="str">
        <f>List!B11</f>
        <v>Agriculture</v>
      </c>
      <c r="C86" s="244">
        <f ca="1">COUNT($D$82:$D$91)-(RANK(D86,$D$82:$D$91)+COUNTIF($D$82:D86,D86)-1)+1</f>
        <v>3</v>
      </c>
      <c r="D86" s="546">
        <f t="shared" ca="1" si="5"/>
        <v>0</v>
      </c>
      <c r="E86" s="546">
        <f t="shared" ca="1" si="5"/>
        <v>0</v>
      </c>
      <c r="F86" s="540">
        <f t="shared" ca="1" si="5"/>
        <v>0</v>
      </c>
      <c r="G86" s="540">
        <f t="shared" ca="1" si="3"/>
        <v>0</v>
      </c>
      <c r="H86" s="540">
        <f t="shared" ca="1" si="3"/>
        <v>0</v>
      </c>
      <c r="I86" s="540">
        <f t="shared" ca="1" si="3"/>
        <v>0</v>
      </c>
      <c r="J86" s="546">
        <f t="shared" ca="1" si="4"/>
        <v>0</v>
      </c>
      <c r="K86" s="546">
        <f t="shared" ca="1" si="4"/>
        <v>0</v>
      </c>
      <c r="L86" s="546">
        <f t="shared" ca="1" si="6"/>
        <v>0</v>
      </c>
      <c r="M86" s="547" t="str">
        <f t="shared" ca="1" si="7"/>
        <v>n/a</v>
      </c>
      <c r="O86" t="str">
        <f t="shared" ca="1" si="8"/>
        <v>Res/C&amp;I</v>
      </c>
    </row>
    <row r="87" spans="2:15" x14ac:dyDescent="0.2">
      <c r="B87" t="str">
        <f>List!B12</f>
        <v>Other</v>
      </c>
      <c r="C87" s="244">
        <f ca="1">COUNT($D$82:$D$91)-(RANK(D87,$D$82:$D$91)+COUNTIF($D$82:D87,D87)-1)+1</f>
        <v>2</v>
      </c>
      <c r="D87" s="546">
        <f t="shared" ca="1" si="5"/>
        <v>0</v>
      </c>
      <c r="E87" s="546">
        <f t="shared" ca="1" si="5"/>
        <v>0</v>
      </c>
      <c r="F87" s="540">
        <f t="shared" ca="1" si="5"/>
        <v>0</v>
      </c>
      <c r="G87" s="540">
        <f t="shared" ca="1" si="3"/>
        <v>0</v>
      </c>
      <c r="H87" s="540">
        <f t="shared" ca="1" si="3"/>
        <v>0</v>
      </c>
      <c r="I87" s="540">
        <f t="shared" ca="1" si="3"/>
        <v>0</v>
      </c>
      <c r="J87" s="546">
        <f t="shared" ca="1" si="4"/>
        <v>0</v>
      </c>
      <c r="K87" s="546">
        <f t="shared" ca="1" si="4"/>
        <v>0</v>
      </c>
      <c r="L87" s="546">
        <f t="shared" ca="1" si="6"/>
        <v>0</v>
      </c>
      <c r="M87" s="547" t="str">
        <f t="shared" ca="1" si="7"/>
        <v>n/a</v>
      </c>
      <c r="O87" t="str">
        <f t="shared" ca="1" si="8"/>
        <v>Small Business</v>
      </c>
    </row>
    <row r="88" spans="2:15" x14ac:dyDescent="0.2">
      <c r="B88" t="str">
        <f>List!B14</f>
        <v>Res/Small Business</v>
      </c>
      <c r="C88" s="244">
        <f ca="1">COUNT($D$82:$D$91)-(RANK(D88,$D$82:$D$91)+COUNTIF($D$82:D88,D88)-1)+1</f>
        <v>7</v>
      </c>
      <c r="D88" s="546">
        <f t="shared" ca="1" si="5"/>
        <v>1040188</v>
      </c>
      <c r="E88" s="546">
        <f t="shared" ca="1" si="5"/>
        <v>763858.51</v>
      </c>
      <c r="F88" s="540">
        <f t="shared" ca="1" si="5"/>
        <v>5911929</v>
      </c>
      <c r="G88" s="540">
        <f t="shared" ca="1" si="3"/>
        <v>14687623</v>
      </c>
      <c r="H88" s="540">
        <f t="shared" ca="1" si="3"/>
        <v>1389</v>
      </c>
      <c r="I88" s="540">
        <f t="shared" ca="1" si="3"/>
        <v>2194</v>
      </c>
      <c r="J88" s="546">
        <f t="shared" ca="1" si="4"/>
        <v>444.18799999999999</v>
      </c>
      <c r="K88" s="546">
        <f t="shared" ca="1" si="4"/>
        <v>672.66100000000006</v>
      </c>
      <c r="L88" s="546">
        <f t="shared" ca="1" si="6"/>
        <v>228.47300000000007</v>
      </c>
      <c r="M88" s="547">
        <f t="shared" ca="1" si="7"/>
        <v>1.5143610363179556</v>
      </c>
      <c r="O88" t="str">
        <f t="shared" ca="1" si="8"/>
        <v>Municipalities/Schools</v>
      </c>
    </row>
    <row r="89" spans="2:15" x14ac:dyDescent="0.2">
      <c r="B89" t="str">
        <f>List!B15</f>
        <v>Res/C&amp;I</v>
      </c>
      <c r="C89" s="244">
        <f ca="1">COUNT($D$82:$D$91)-(RANK(D89,$D$82:$D$91)+COUNTIF($D$82:D89,D89)-1)+1</f>
        <v>6</v>
      </c>
      <c r="D89" s="546">
        <f t="shared" ca="1" si="5"/>
        <v>415993</v>
      </c>
      <c r="E89" s="546">
        <f t="shared" ca="1" si="5"/>
        <v>410760.84</v>
      </c>
      <c r="F89" s="540">
        <f t="shared" ca="1" si="5"/>
        <v>727832</v>
      </c>
      <c r="G89" s="540">
        <f t="shared" ca="1" si="3"/>
        <v>482893</v>
      </c>
      <c r="H89" s="540">
        <f t="shared" ca="1" si="3"/>
        <v>160</v>
      </c>
      <c r="I89" s="540">
        <f t="shared" ca="1" si="3"/>
        <v>48</v>
      </c>
      <c r="J89" s="546">
        <f t="shared" ca="1" si="4"/>
        <v>300.87099999999998</v>
      </c>
      <c r="K89" s="546">
        <f t="shared" ca="1" si="4"/>
        <v>321.82600000000002</v>
      </c>
      <c r="L89" s="546">
        <f t="shared" ca="1" si="6"/>
        <v>20.955000000000041</v>
      </c>
      <c r="M89" s="547">
        <f t="shared" ca="1" si="7"/>
        <v>1.0696477892518721</v>
      </c>
      <c r="O89" t="str">
        <f t="shared" ca="1" si="8"/>
        <v>Agriculture</v>
      </c>
    </row>
    <row r="90" spans="2:15" x14ac:dyDescent="0.2">
      <c r="B90" t="str">
        <f>List!B16</f>
        <v>Small Business/C&amp;I</v>
      </c>
      <c r="C90" s="244">
        <f ca="1">COUNT($D$82:$D$91)-(RANK(D90,$D$82:$D$91)+COUNTIF($D$82:D90,D90)-1)+1</f>
        <v>8</v>
      </c>
      <c r="D90" s="546">
        <f t="shared" ca="1" si="5"/>
        <v>1596350</v>
      </c>
      <c r="E90" s="546">
        <f t="shared" ca="1" si="5"/>
        <v>1545628.96</v>
      </c>
      <c r="F90" s="540">
        <f t="shared" ca="1" si="5"/>
        <v>6060578</v>
      </c>
      <c r="G90" s="540">
        <f t="shared" ca="1" si="3"/>
        <v>4161317</v>
      </c>
      <c r="H90" s="540">
        <f t="shared" ca="1" si="3"/>
        <v>668</v>
      </c>
      <c r="I90" s="540">
        <f t="shared" ca="1" si="3"/>
        <v>645</v>
      </c>
      <c r="J90" s="546">
        <f t="shared" ca="1" si="4"/>
        <v>1507.752</v>
      </c>
      <c r="K90" s="546">
        <f t="shared" ca="1" si="4"/>
        <v>2502.1550000000002</v>
      </c>
      <c r="L90" s="546">
        <f t="shared" ca="1" si="6"/>
        <v>994.40300000000025</v>
      </c>
      <c r="M90" s="547">
        <f t="shared" ca="1" si="7"/>
        <v>1.6595268983228013</v>
      </c>
      <c r="O90" t="str">
        <f t="shared" ca="1" si="8"/>
        <v>Other</v>
      </c>
    </row>
    <row r="91" spans="2:15" x14ac:dyDescent="0.2">
      <c r="B91" t="str">
        <f>List!B17</f>
        <v>All Classes</v>
      </c>
      <c r="C91" s="244">
        <f ca="1">COUNT($D$82:$D$91)-(RANK(D91,$D$82:$D$91)+COUNTIF($D$82:D91,D91)-1)+1</f>
        <v>1</v>
      </c>
      <c r="D91" s="546">
        <f t="shared" ca="1" si="5"/>
        <v>0</v>
      </c>
      <c r="E91" s="546">
        <f t="shared" ca="1" si="5"/>
        <v>0</v>
      </c>
      <c r="F91" s="540">
        <f t="shared" ca="1" si="5"/>
        <v>0</v>
      </c>
      <c r="G91" s="540">
        <f t="shared" ca="1" si="3"/>
        <v>0</v>
      </c>
      <c r="H91" s="540">
        <f t="shared" ca="1" si="3"/>
        <v>0</v>
      </c>
      <c r="I91" s="540">
        <f t="shared" ca="1" si="3"/>
        <v>0</v>
      </c>
      <c r="J91" s="546">
        <f t="shared" ca="1" si="4"/>
        <v>0</v>
      </c>
      <c r="K91" s="546">
        <f t="shared" ca="1" si="4"/>
        <v>0</v>
      </c>
      <c r="L91" s="546">
        <f t="shared" ca="1" si="6"/>
        <v>0</v>
      </c>
      <c r="M91" s="547" t="str">
        <f t="shared" ca="1" si="7"/>
        <v>n/a</v>
      </c>
      <c r="O91" t="str">
        <f t="shared" ca="1" si="8"/>
        <v>All Classes</v>
      </c>
    </row>
    <row r="93" spans="2:15" x14ac:dyDescent="0.2">
      <c r="D93" s="544" t="s">
        <v>542</v>
      </c>
      <c r="E93" s="544" t="s">
        <v>543</v>
      </c>
      <c r="F93" s="544" t="s">
        <v>544</v>
      </c>
      <c r="G93" s="544" t="s">
        <v>545</v>
      </c>
      <c r="H93" s="244"/>
      <c r="I93" s="551" t="s">
        <v>801</v>
      </c>
    </row>
    <row r="94" spans="2:15" x14ac:dyDescent="0.2">
      <c r="B94" t="str">
        <f ca="1">O82</f>
        <v>Residential</v>
      </c>
      <c r="D94" s="546">
        <f ca="1">VLOOKUP($B94,$B$82:$E$91,3,FALSE)</f>
        <v>7044343</v>
      </c>
      <c r="E94" s="546">
        <f ca="1">VLOOKUP($B94,$B$82:$E$91,4,FALSE)</f>
        <v>6695212.3100000005</v>
      </c>
      <c r="F94" s="540">
        <f ca="1">VLOOKUP($B94,$B$82:$G$91,5,FALSE)</f>
        <v>15077793</v>
      </c>
      <c r="G94" s="540">
        <f ca="1">VLOOKUP($B94,$B$82:$G$91,6,FALSE)</f>
        <v>16387870</v>
      </c>
      <c r="I94">
        <f ca="1">IF('Report 2'!$B$24='Report 2'!$D$24,Tables!E94,Tables!F94)</f>
        <v>15077793</v>
      </c>
    </row>
    <row r="95" spans="2:15" x14ac:dyDescent="0.2">
      <c r="B95" t="str">
        <f t="shared" ref="B95:B102" ca="1" si="9">O83</f>
        <v>Commercial &amp; Industrial</v>
      </c>
      <c r="D95" s="546">
        <f t="shared" ref="D95:D103" ca="1" si="10">VLOOKUP($B95,$B$82:$E$91,3,FALSE)</f>
        <v>4091690</v>
      </c>
      <c r="E95" s="546">
        <f t="shared" ref="E95:E103" ca="1" si="11">VLOOKUP($B95,$B$82:$E$91,4,FALSE)</f>
        <v>3715126.31</v>
      </c>
      <c r="F95" s="540">
        <f t="shared" ref="F95:F103" ca="1" si="12">VLOOKUP($B95,$B$82:$G$91,5,FALSE)</f>
        <v>10534008</v>
      </c>
      <c r="G95" s="540">
        <f t="shared" ref="G95:G103" ca="1" si="13">VLOOKUP($B95,$B$82:$G$91,6,FALSE)</f>
        <v>8858057</v>
      </c>
      <c r="I95">
        <f ca="1">IF('Report 2'!$B$24='Report 2'!$D$24,Tables!E95,Tables!F95)</f>
        <v>10534008</v>
      </c>
      <c r="K95" s="288"/>
      <c r="L95" s="267"/>
    </row>
    <row r="96" spans="2:15" x14ac:dyDescent="0.2">
      <c r="B96" t="str">
        <f t="shared" ca="1" si="9"/>
        <v>Small Business/C&amp;I</v>
      </c>
      <c r="D96" s="546">
        <f t="shared" ca="1" si="10"/>
        <v>1596350</v>
      </c>
      <c r="E96" s="546">
        <f t="shared" ca="1" si="11"/>
        <v>1545628.96</v>
      </c>
      <c r="F96" s="540">
        <f t="shared" ca="1" si="12"/>
        <v>6060578</v>
      </c>
      <c r="G96" s="540">
        <f t="shared" ca="1" si="13"/>
        <v>4161317</v>
      </c>
      <c r="I96">
        <f ca="1">IF('Report 2'!$B$24='Report 2'!$D$24,Tables!E96,Tables!F96)</f>
        <v>6060578</v>
      </c>
    </row>
    <row r="97" spans="2:9" x14ac:dyDescent="0.2">
      <c r="B97" t="str">
        <f t="shared" ca="1" si="9"/>
        <v>Res/Small Business</v>
      </c>
      <c r="D97" s="546">
        <f t="shared" ca="1" si="10"/>
        <v>1040188</v>
      </c>
      <c r="E97" s="546">
        <f t="shared" ca="1" si="11"/>
        <v>763858.51</v>
      </c>
      <c r="F97" s="540">
        <f t="shared" ca="1" si="12"/>
        <v>5911929</v>
      </c>
      <c r="G97" s="540">
        <f t="shared" ca="1" si="13"/>
        <v>14687623</v>
      </c>
      <c r="I97">
        <f ca="1">IF('Report 2'!$B$24='Report 2'!$D$24,Tables!E97,Tables!F97)</f>
        <v>5911929</v>
      </c>
    </row>
    <row r="98" spans="2:9" x14ac:dyDescent="0.2">
      <c r="B98" t="str">
        <f t="shared" ca="1" si="9"/>
        <v>Res/C&amp;I</v>
      </c>
      <c r="D98" s="546">
        <f t="shared" ca="1" si="10"/>
        <v>415993</v>
      </c>
      <c r="E98" s="546">
        <f t="shared" ca="1" si="11"/>
        <v>410760.84</v>
      </c>
      <c r="F98" s="540">
        <f t="shared" ca="1" si="12"/>
        <v>727832</v>
      </c>
      <c r="G98" s="540">
        <f t="shared" ca="1" si="13"/>
        <v>482893</v>
      </c>
      <c r="I98">
        <f ca="1">IF('Report 2'!$B$24='Report 2'!$D$24,Tables!E98,Tables!F98)</f>
        <v>727832</v>
      </c>
    </row>
    <row r="99" spans="2:9" x14ac:dyDescent="0.2">
      <c r="B99" t="str">
        <f t="shared" ca="1" si="9"/>
        <v>Small Business</v>
      </c>
      <c r="D99" s="546">
        <f t="shared" ca="1" si="10"/>
        <v>0</v>
      </c>
      <c r="E99" s="546">
        <f t="shared" ca="1" si="11"/>
        <v>0</v>
      </c>
      <c r="F99" s="540">
        <f t="shared" ca="1" si="12"/>
        <v>0</v>
      </c>
      <c r="G99" s="540">
        <f t="shared" ca="1" si="13"/>
        <v>0</v>
      </c>
      <c r="I99">
        <f ca="1">IF('Report 2'!$B$24='Report 2'!$D$24,Tables!E99,Tables!F99)</f>
        <v>0</v>
      </c>
    </row>
    <row r="100" spans="2:9" x14ac:dyDescent="0.2">
      <c r="B100" t="str">
        <f t="shared" ca="1" si="9"/>
        <v>Municipalities/Schools</v>
      </c>
      <c r="D100" s="546">
        <f t="shared" ca="1" si="10"/>
        <v>0</v>
      </c>
      <c r="E100" s="546">
        <f t="shared" ca="1" si="11"/>
        <v>0</v>
      </c>
      <c r="F100" s="540">
        <f t="shared" ca="1" si="12"/>
        <v>0</v>
      </c>
      <c r="G100" s="540">
        <f t="shared" ca="1" si="13"/>
        <v>0</v>
      </c>
      <c r="I100">
        <f ca="1">IF('Report 2'!$B$24='Report 2'!$D$24,Tables!E100,Tables!F100)</f>
        <v>0</v>
      </c>
    </row>
    <row r="101" spans="2:9" x14ac:dyDescent="0.2">
      <c r="B101" t="str">
        <f t="shared" ca="1" si="9"/>
        <v>Agriculture</v>
      </c>
      <c r="D101" s="546">
        <f t="shared" ca="1" si="10"/>
        <v>0</v>
      </c>
      <c r="E101" s="546">
        <f t="shared" ca="1" si="11"/>
        <v>0</v>
      </c>
      <c r="F101" s="540">
        <f t="shared" ca="1" si="12"/>
        <v>0</v>
      </c>
      <c r="G101" s="540">
        <f t="shared" ca="1" si="13"/>
        <v>0</v>
      </c>
      <c r="I101">
        <f ca="1">IF('Report 2'!$B$24='Report 2'!$D$24,Tables!E101,Tables!F101)</f>
        <v>0</v>
      </c>
    </row>
    <row r="102" spans="2:9" x14ac:dyDescent="0.2">
      <c r="B102" t="str">
        <f t="shared" ca="1" si="9"/>
        <v>Other</v>
      </c>
      <c r="D102" s="546">
        <f t="shared" ca="1" si="10"/>
        <v>0</v>
      </c>
      <c r="E102" s="546">
        <f t="shared" ca="1" si="11"/>
        <v>0</v>
      </c>
      <c r="F102" s="540">
        <f t="shared" ca="1" si="12"/>
        <v>0</v>
      </c>
      <c r="G102" s="540">
        <f t="shared" ca="1" si="13"/>
        <v>0</v>
      </c>
      <c r="I102">
        <f ca="1">IF('Report 2'!$B$24='Report 2'!$D$24,Tables!E102,Tables!F102)</f>
        <v>0</v>
      </c>
    </row>
    <row r="103" spans="2:9" x14ac:dyDescent="0.2">
      <c r="B103" t="str">
        <f ca="1">O91</f>
        <v>All Classes</v>
      </c>
      <c r="D103" s="546">
        <f t="shared" ca="1" si="10"/>
        <v>0</v>
      </c>
      <c r="E103" s="546">
        <f t="shared" ca="1" si="11"/>
        <v>0</v>
      </c>
      <c r="F103" s="540">
        <f t="shared" ca="1" si="12"/>
        <v>0</v>
      </c>
      <c r="G103" s="540">
        <f t="shared" ca="1" si="13"/>
        <v>0</v>
      </c>
      <c r="I103">
        <f ca="1">IF('Report 2'!$B$24='Report 2'!$D$24,Tables!E103,Tables!F103)</f>
        <v>0</v>
      </c>
    </row>
    <row r="106" spans="2:9" x14ac:dyDescent="0.2">
      <c r="D106" s="544" t="s">
        <v>542</v>
      </c>
      <c r="E106" s="544" t="s">
        <v>543</v>
      </c>
      <c r="F106" s="544" t="s">
        <v>544</v>
      </c>
      <c r="G106" s="544" t="s">
        <v>545</v>
      </c>
    </row>
    <row r="107" spans="2:9" x14ac:dyDescent="0.2">
      <c r="B107" t="str">
        <f ca="1">O58</f>
        <v>Comm &amp; Industrial (CIEEP)</v>
      </c>
      <c r="D107" s="546">
        <f ca="1">VLOOKUP($B107,$B$58:$L$77,3,FALSE)</f>
        <v>3084080</v>
      </c>
      <c r="E107" s="546">
        <f ca="1">VLOOKUP($B107,$B$58:$L$77,4,FALSE)</f>
        <v>2928754.98</v>
      </c>
      <c r="F107" s="540">
        <f ca="1">VLOOKUP($B107,$B$58:$L$77,5,FALSE)</f>
        <v>10534008</v>
      </c>
      <c r="G107" s="540">
        <f ca="1">VLOOKUP($B107,$B$58:$L$77,6,FALSE)</f>
        <v>8691274</v>
      </c>
    </row>
    <row r="108" spans="2:9" x14ac:dyDescent="0.2">
      <c r="B108" t="str">
        <f t="shared" ref="B108:B126" ca="1" si="14">O59</f>
        <v>Res Energy Imprv (REIP)</v>
      </c>
      <c r="D108" s="546">
        <f t="shared" ref="D108:D126" ca="1" si="15">VLOOKUP($B108,$B$58:$L$77,3,FALSE)</f>
        <v>2864054</v>
      </c>
      <c r="E108" s="546">
        <f t="shared" ref="E108:E126" ca="1" si="16">VLOOKUP($B108,$B$58:$L$77,4,FALSE)</f>
        <v>2841826.0799999996</v>
      </c>
      <c r="F108" s="540">
        <f t="shared" ref="F108:F126" ca="1" si="17">VLOOKUP($B108,$B$58:$L$77,5,FALSE)</f>
        <v>5602155</v>
      </c>
      <c r="G108" s="540">
        <f t="shared" ref="G108:G126" ca="1" si="18">VLOOKUP($B108,$B$58:$L$77,6,FALSE)</f>
        <v>7788226</v>
      </c>
    </row>
    <row r="109" spans="2:9" x14ac:dyDescent="0.2">
      <c r="B109" t="str">
        <f t="shared" ca="1" si="14"/>
        <v>Home Weatherization (HWP)</v>
      </c>
      <c r="D109" s="546">
        <f t="shared" ca="1" si="15"/>
        <v>2361354</v>
      </c>
      <c r="E109" s="546">
        <f t="shared" ca="1" si="16"/>
        <v>2066144.0100000002</v>
      </c>
      <c r="F109" s="540">
        <f t="shared" ca="1" si="17"/>
        <v>6645777</v>
      </c>
      <c r="G109" s="540">
        <f t="shared" ca="1" si="18"/>
        <v>3106874</v>
      </c>
    </row>
    <row r="110" spans="2:9" x14ac:dyDescent="0.2">
      <c r="B110" t="str">
        <f t="shared" ca="1" si="14"/>
        <v>Small Business (SBP)</v>
      </c>
      <c r="D110" s="546">
        <f t="shared" ca="1" si="15"/>
        <v>1596350</v>
      </c>
      <c r="E110" s="546">
        <f t="shared" ca="1" si="16"/>
        <v>1545628.96</v>
      </c>
      <c r="F110" s="540">
        <f t="shared" ca="1" si="17"/>
        <v>6060578</v>
      </c>
      <c r="G110" s="540">
        <f t="shared" ca="1" si="18"/>
        <v>4161317</v>
      </c>
    </row>
    <row r="111" spans="2:9" x14ac:dyDescent="0.2">
      <c r="B111" t="str">
        <f t="shared" ca="1" si="14"/>
        <v>Income Qualified (IQW)</v>
      </c>
      <c r="D111" s="546">
        <f t="shared" ca="1" si="15"/>
        <v>1098112</v>
      </c>
      <c r="E111" s="546">
        <f t="shared" ca="1" si="16"/>
        <v>1111588.78</v>
      </c>
      <c r="F111" s="540">
        <f t="shared" ca="1" si="17"/>
        <v>1535745</v>
      </c>
      <c r="G111" s="540">
        <f t="shared" ca="1" si="18"/>
        <v>1700442</v>
      </c>
    </row>
    <row r="112" spans="2:9" x14ac:dyDescent="0.2">
      <c r="B112" t="str">
        <f t="shared" ca="1" si="14"/>
        <v>Load Mgt (LMP)</v>
      </c>
      <c r="D112" s="546">
        <f t="shared" ca="1" si="15"/>
        <v>1007610</v>
      </c>
      <c r="E112" s="546">
        <f t="shared" ca="1" si="16"/>
        <v>786371.33000000007</v>
      </c>
      <c r="F112" s="540">
        <f t="shared" ca="1" si="17"/>
        <v>0</v>
      </c>
      <c r="G112" s="540">
        <f t="shared" ca="1" si="18"/>
        <v>166783</v>
      </c>
    </row>
    <row r="113" spans="2:7" x14ac:dyDescent="0.2">
      <c r="B113" t="str">
        <f t="shared" ca="1" si="14"/>
        <v>Efficient Products (EPP)</v>
      </c>
      <c r="D113" s="546">
        <f t="shared" ca="1" si="15"/>
        <v>720823</v>
      </c>
      <c r="E113" s="546">
        <f t="shared" ca="1" si="16"/>
        <v>675653.44</v>
      </c>
      <c r="F113" s="540">
        <f t="shared" ca="1" si="17"/>
        <v>1294116</v>
      </c>
      <c r="G113" s="540">
        <f t="shared" ca="1" si="18"/>
        <v>3792328</v>
      </c>
    </row>
    <row r="114" spans="2:7" x14ac:dyDescent="0.2">
      <c r="B114" t="str">
        <f t="shared" ca="1" si="14"/>
        <v>Strat Energy Mgmt (SEMP)</v>
      </c>
      <c r="D114" s="546">
        <f t="shared" ca="1" si="15"/>
        <v>559109</v>
      </c>
      <c r="E114" s="546">
        <f t="shared" ca="1" si="16"/>
        <v>574855.58000000007</v>
      </c>
      <c r="F114" s="540">
        <f t="shared" ca="1" si="17"/>
        <v>5850291</v>
      </c>
      <c r="G114" s="540">
        <f t="shared" ca="1" si="18"/>
        <v>14670946</v>
      </c>
    </row>
    <row r="115" spans="2:7" x14ac:dyDescent="0.2">
      <c r="B115" t="str">
        <f t="shared" ca="1" si="14"/>
        <v>New Construction (NCP)</v>
      </c>
      <c r="D115" s="546">
        <f t="shared" ca="1" si="15"/>
        <v>415993</v>
      </c>
      <c r="E115" s="546">
        <f t="shared" ca="1" si="16"/>
        <v>410760.84</v>
      </c>
      <c r="F115" s="540">
        <f t="shared" ca="1" si="17"/>
        <v>727832</v>
      </c>
      <c r="G115" s="540">
        <f t="shared" ca="1" si="18"/>
        <v>482893</v>
      </c>
    </row>
    <row r="116" spans="2:7" x14ac:dyDescent="0.2">
      <c r="B116" t="str">
        <f t="shared" ca="1" si="14"/>
        <v>Bring Y/Otstat (BYOT)</v>
      </c>
      <c r="D116" s="546">
        <f t="shared" ca="1" si="15"/>
        <v>481079</v>
      </c>
      <c r="E116" s="546">
        <f t="shared" ca="1" si="16"/>
        <v>188987.53</v>
      </c>
      <c r="F116" s="540">
        <f t="shared" ca="1" si="17"/>
        <v>61638</v>
      </c>
      <c r="G116" s="540">
        <f t="shared" ca="1" si="18"/>
        <v>16677</v>
      </c>
    </row>
    <row r="117" spans="2:7" x14ac:dyDescent="0.2">
      <c r="B117" t="str">
        <f t="shared" ca="1" si="14"/>
        <v>Discont'd Ele Veh (EVE)</v>
      </c>
      <c r="D117" s="546">
        <f t="shared" ca="1" si="15"/>
        <v>0</v>
      </c>
      <c r="E117" s="546">
        <f t="shared" ca="1" si="16"/>
        <v>15.399999999999999</v>
      </c>
      <c r="F117" s="540">
        <f t="shared" ca="1" si="17"/>
        <v>0</v>
      </c>
      <c r="G117" s="540">
        <f t="shared" ca="1" si="18"/>
        <v>0</v>
      </c>
    </row>
    <row r="118" spans="2:7" x14ac:dyDescent="0.2">
      <c r="B118" t="str">
        <f t="shared" ca="1" si="14"/>
        <v>Discont'd Onlne Audt(OLA)</v>
      </c>
      <c r="D118" s="546">
        <f t="shared" ca="1" si="15"/>
        <v>0</v>
      </c>
      <c r="E118" s="546">
        <f t="shared" ca="1" si="16"/>
        <v>0</v>
      </c>
      <c r="F118" s="540">
        <f t="shared" ca="1" si="17"/>
        <v>0</v>
      </c>
      <c r="G118" s="540">
        <f t="shared" ca="1" si="18"/>
        <v>0</v>
      </c>
    </row>
    <row r="119" spans="2:7" x14ac:dyDescent="0.2">
      <c r="B119" t="str">
        <f t="shared" ca="1" si="14"/>
        <v>Discont'd R ES Appliance</v>
      </c>
      <c r="D119" s="546">
        <f t="shared" ca="1" si="15"/>
        <v>0</v>
      </c>
      <c r="E119" s="546">
        <f t="shared" ca="1" si="16"/>
        <v>0</v>
      </c>
      <c r="F119" s="540">
        <f t="shared" ca="1" si="17"/>
        <v>0</v>
      </c>
      <c r="G119" s="540">
        <f t="shared" ca="1" si="18"/>
        <v>0</v>
      </c>
    </row>
    <row r="120" spans="2:7" x14ac:dyDescent="0.2">
      <c r="B120" t="str">
        <f t="shared" ca="1" si="14"/>
        <v>Discont'd Res Appliance</v>
      </c>
      <c r="D120" s="546">
        <f t="shared" ca="1" si="15"/>
        <v>0</v>
      </c>
      <c r="E120" s="546">
        <f t="shared" ca="1" si="16"/>
        <v>0</v>
      </c>
      <c r="F120" s="540">
        <f t="shared" ca="1" si="17"/>
        <v>0</v>
      </c>
      <c r="G120" s="540">
        <f t="shared" ca="1" si="18"/>
        <v>0</v>
      </c>
    </row>
    <row r="121" spans="2:7" x14ac:dyDescent="0.2">
      <c r="B121" t="str">
        <f t="shared" ca="1" si="14"/>
        <v>Discont'd Res Solutions</v>
      </c>
      <c r="D121" s="546">
        <f t="shared" ca="1" si="15"/>
        <v>0</v>
      </c>
      <c r="E121" s="546">
        <f t="shared" ca="1" si="16"/>
        <v>0</v>
      </c>
      <c r="F121" s="540">
        <f t="shared" ca="1" si="17"/>
        <v>0</v>
      </c>
      <c r="G121" s="540">
        <f t="shared" ca="1" si="18"/>
        <v>0</v>
      </c>
    </row>
    <row r="122" spans="2:7" x14ac:dyDescent="0.2">
      <c r="B122" t="str">
        <f t="shared" ca="1" si="14"/>
        <v>Discont'd Comm Solutions</v>
      </c>
      <c r="D122" s="546">
        <f t="shared" ca="1" si="15"/>
        <v>0</v>
      </c>
      <c r="E122" s="546">
        <f t="shared" ca="1" si="16"/>
        <v>0</v>
      </c>
      <c r="F122" s="540">
        <f t="shared" ca="1" si="17"/>
        <v>0</v>
      </c>
      <c r="G122" s="540">
        <f t="shared" ca="1" si="18"/>
        <v>0</v>
      </c>
    </row>
    <row r="123" spans="2:7" x14ac:dyDescent="0.2">
      <c r="B123" t="str">
        <f ca="1">O74</f>
        <v>Discont'd ARWX (AWIP)</v>
      </c>
      <c r="D123" s="546">
        <f t="shared" ca="1" si="15"/>
        <v>0</v>
      </c>
      <c r="E123" s="546">
        <f t="shared" ca="1" si="16"/>
        <v>0</v>
      </c>
      <c r="F123" s="540">
        <f t="shared" ca="1" si="17"/>
        <v>0</v>
      </c>
      <c r="G123" s="540">
        <f t="shared" ca="1" si="18"/>
        <v>0</v>
      </c>
    </row>
    <row r="124" spans="2:7" x14ac:dyDescent="0.2">
      <c r="B124" t="str">
        <f t="shared" ca="1" si="14"/>
        <v>Discont'd EE AR (EEA)</v>
      </c>
      <c r="D124" s="546">
        <f t="shared" ca="1" si="15"/>
        <v>0</v>
      </c>
      <c r="E124" s="546">
        <f t="shared" ca="1" si="16"/>
        <v>0</v>
      </c>
      <c r="F124" s="540">
        <f t="shared" ca="1" si="17"/>
        <v>0</v>
      </c>
      <c r="G124" s="540">
        <f t="shared" ca="1" si="18"/>
        <v>0</v>
      </c>
    </row>
    <row r="125" spans="2:7" x14ac:dyDescent="0.2">
      <c r="B125" t="str">
        <f t="shared" ca="1" si="14"/>
        <v>*Hide*</v>
      </c>
      <c r="D125" s="546" t="str">
        <f t="shared" ca="1" si="15"/>
        <v>-</v>
      </c>
      <c r="E125" s="546" t="str">
        <f t="shared" ca="1" si="16"/>
        <v>-</v>
      </c>
      <c r="F125" s="540" t="str">
        <f t="shared" ca="1" si="17"/>
        <v>-</v>
      </c>
      <c r="G125" s="540" t="str">
        <f t="shared" ca="1" si="18"/>
        <v>-</v>
      </c>
    </row>
    <row r="126" spans="2:7" x14ac:dyDescent="0.2">
      <c r="B126" t="str">
        <f t="shared" ca="1" si="14"/>
        <v>*Hide*</v>
      </c>
      <c r="D126" s="546" t="str">
        <f t="shared" ca="1" si="15"/>
        <v>-</v>
      </c>
      <c r="E126" s="546" t="str">
        <f t="shared" ca="1" si="16"/>
        <v>-</v>
      </c>
      <c r="F126" s="540" t="str">
        <f t="shared" ca="1" si="17"/>
        <v>-</v>
      </c>
      <c r="G126" s="540" t="str">
        <f t="shared" ca="1" si="18"/>
        <v>-</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18"/>
  <sheetViews>
    <sheetView showGridLines="0" zoomScaleNormal="100" workbookViewId="0">
      <selection activeCell="J25" sqref="J25"/>
    </sheetView>
  </sheetViews>
  <sheetFormatPr defaultColWidth="9.140625" defaultRowHeight="12.75" x14ac:dyDescent="0.2"/>
  <cols>
    <col min="1" max="1" width="1" style="2" customWidth="1"/>
    <col min="2" max="3" width="12.85546875" style="2" customWidth="1"/>
    <col min="4" max="4" width="14.85546875" style="2" customWidth="1"/>
    <col min="5" max="5" width="12.42578125" style="2" customWidth="1"/>
    <col min="6" max="6" width="12.85546875" style="2" bestFit="1" customWidth="1"/>
    <col min="7" max="7" width="12.42578125" style="2" bestFit="1" customWidth="1"/>
    <col min="8" max="8" width="6.85546875" style="2" customWidth="1"/>
    <col min="9" max="9" width="6.140625" style="2" customWidth="1"/>
    <col min="10" max="10" width="12.140625" style="2" bestFit="1" customWidth="1"/>
    <col min="11" max="11" width="11.5703125" style="2" customWidth="1"/>
    <col min="12" max="12" width="9.42578125" style="2" bestFit="1" customWidth="1"/>
    <col min="13" max="13" width="1.140625" style="2" customWidth="1"/>
    <col min="14" max="16384" width="9.140625" style="2"/>
  </cols>
  <sheetData>
    <row r="1" spans="1:13" ht="5.0999999999999996" customHeight="1" thickBot="1" x14ac:dyDescent="0.25"/>
    <row r="2" spans="1:13" ht="38.25" customHeight="1" thickBot="1" x14ac:dyDescent="0.25">
      <c r="B2" s="671" t="s">
        <v>783</v>
      </c>
      <c r="C2" s="671"/>
      <c r="D2" s="671"/>
      <c r="E2" s="671"/>
      <c r="F2" s="671"/>
      <c r="G2" s="671"/>
      <c r="H2" s="671"/>
      <c r="I2" s="671"/>
      <c r="J2" s="671"/>
      <c r="K2" s="671"/>
      <c r="L2" s="671"/>
    </row>
    <row r="3" spans="1:13" ht="4.5" customHeight="1" thickBot="1" x14ac:dyDescent="0.25"/>
    <row r="4" spans="1:13" ht="24" thickBot="1" x14ac:dyDescent="0.4">
      <c r="B4" s="751" t="str">
        <f>Titles!F2&amp;" Portfolio Summary"</f>
        <v>2025 Portfolio Summary</v>
      </c>
      <c r="C4" s="752"/>
      <c r="D4" s="752"/>
      <c r="E4" s="752"/>
      <c r="F4" s="752"/>
      <c r="G4" s="752"/>
      <c r="H4" s="752"/>
      <c r="I4" s="752"/>
      <c r="J4" s="752"/>
      <c r="K4" s="752"/>
      <c r="L4" s="753"/>
    </row>
    <row r="5" spans="1:13" ht="4.5" customHeight="1" thickBot="1" x14ac:dyDescent="0.25">
      <c r="B5" s="152"/>
      <c r="L5" s="153"/>
    </row>
    <row r="6" spans="1:13" ht="14.25" customHeight="1" thickBot="1" x14ac:dyDescent="0.25">
      <c r="B6" s="754" t="s">
        <v>431</v>
      </c>
      <c r="C6" s="755"/>
      <c r="D6" s="754" t="s">
        <v>213</v>
      </c>
      <c r="E6" s="756"/>
      <c r="F6" s="757"/>
      <c r="G6" s="759" t="s">
        <v>802</v>
      </c>
      <c r="H6" s="760"/>
      <c r="I6" s="761"/>
      <c r="J6" s="754" t="s">
        <v>803</v>
      </c>
      <c r="K6" s="758"/>
      <c r="L6" s="755"/>
    </row>
    <row r="7" spans="1:13" ht="46.5" customHeight="1" x14ac:dyDescent="0.2">
      <c r="A7" s="489"/>
      <c r="B7" s="172" t="s">
        <v>569</v>
      </c>
      <c r="C7" s="173" t="s">
        <v>784</v>
      </c>
      <c r="D7" s="172" t="s">
        <v>804</v>
      </c>
      <c r="E7" s="169" t="s">
        <v>39</v>
      </c>
      <c r="F7" s="373" t="s">
        <v>805</v>
      </c>
      <c r="G7" s="376" t="s">
        <v>806</v>
      </c>
      <c r="H7" s="377" t="s">
        <v>807</v>
      </c>
      <c r="I7" s="381" t="s">
        <v>808</v>
      </c>
      <c r="J7" s="376" t="s">
        <v>809</v>
      </c>
      <c r="K7" s="377" t="s">
        <v>810</v>
      </c>
      <c r="L7" s="378" t="s">
        <v>811</v>
      </c>
      <c r="M7" s="489"/>
    </row>
    <row r="8" spans="1:13" ht="13.5" customHeight="1" x14ac:dyDescent="0.2">
      <c r="A8" s="489"/>
      <c r="B8" s="171" t="str">
        <f>Titles!F16</f>
        <v>MW</v>
      </c>
      <c r="C8" s="174" t="str">
        <f>Titles!F14</f>
        <v>MWh</v>
      </c>
      <c r="D8" s="175"/>
      <c r="E8" s="170"/>
      <c r="F8" s="374"/>
      <c r="G8" s="388" t="s">
        <v>812</v>
      </c>
      <c r="H8" s="375"/>
      <c r="I8" s="382"/>
      <c r="J8" s="384" t="s">
        <v>813</v>
      </c>
      <c r="K8" s="383" t="s">
        <v>813</v>
      </c>
      <c r="L8" s="385" t="s">
        <v>814</v>
      </c>
      <c r="M8" s="489"/>
    </row>
    <row r="9" spans="1:13" ht="17.25" customHeight="1" thickBot="1" x14ac:dyDescent="0.25">
      <c r="A9" s="489"/>
      <c r="B9" s="552">
        <f>Tables!B4</f>
        <v>17.476779999999994</v>
      </c>
      <c r="C9" s="553">
        <f>Tables!C4</f>
        <v>44577.760000000002</v>
      </c>
      <c r="D9" s="554">
        <f>Tables!D4</f>
        <v>13219430.800000001</v>
      </c>
      <c r="E9" s="555">
        <f>Tables!E4</f>
        <v>0</v>
      </c>
      <c r="F9" s="556">
        <f>Tables!F4</f>
        <v>973447.71299999999</v>
      </c>
      <c r="G9" s="557">
        <f>Tables!G4</f>
        <v>9734477.129999999</v>
      </c>
      <c r="H9" s="558">
        <f>Tables!H4</f>
        <v>1.6820050651604246</v>
      </c>
      <c r="I9" s="559">
        <f>Tables!I4</f>
        <v>1.56</v>
      </c>
      <c r="J9" s="560">
        <f>Tables!J4</f>
        <v>1.2E-2</v>
      </c>
      <c r="K9" s="561">
        <f>Tables!K4</f>
        <v>1.6002324828889147E-2</v>
      </c>
      <c r="L9" s="562">
        <f>Tables!L4</f>
        <v>1.33</v>
      </c>
      <c r="M9" s="489"/>
    </row>
    <row r="10" spans="1:13" x14ac:dyDescent="0.2">
      <c r="B10" s="489"/>
      <c r="C10" s="489"/>
      <c r="D10" s="489"/>
      <c r="E10" s="489"/>
      <c r="F10" s="489"/>
      <c r="G10" s="489"/>
      <c r="H10" s="489"/>
      <c r="I10" s="489"/>
      <c r="J10" s="489"/>
      <c r="K10" s="489"/>
      <c r="L10" s="489"/>
      <c r="M10" s="489"/>
    </row>
    <row r="11" spans="1:13" x14ac:dyDescent="0.2">
      <c r="B11" s="489"/>
      <c r="C11" s="489"/>
      <c r="D11" s="489"/>
      <c r="E11" s="489"/>
      <c r="F11" s="489"/>
      <c r="G11" s="489"/>
      <c r="H11" s="489"/>
      <c r="I11" s="489"/>
      <c r="J11" s="489"/>
      <c r="K11" s="489"/>
      <c r="L11" s="489"/>
      <c r="M11" s="489"/>
    </row>
    <row r="12" spans="1:13" x14ac:dyDescent="0.2">
      <c r="B12" s="489"/>
      <c r="C12" s="489"/>
      <c r="D12" s="489"/>
      <c r="E12" s="489"/>
      <c r="F12" s="489"/>
      <c r="G12" s="489"/>
      <c r="H12" s="489"/>
      <c r="I12" s="489"/>
      <c r="J12" s="489"/>
      <c r="K12" s="489"/>
      <c r="L12" s="489"/>
      <c r="M12" s="489"/>
    </row>
    <row r="13" spans="1:13" ht="12.75" customHeight="1" x14ac:dyDescent="0.2">
      <c r="B13" s="489"/>
      <c r="C13" s="750" t="s">
        <v>815</v>
      </c>
      <c r="D13" s="750"/>
      <c r="E13" s="489"/>
      <c r="F13" s="489"/>
      <c r="G13" s="489"/>
      <c r="H13" s="489"/>
      <c r="I13" s="489"/>
      <c r="J13" s="489"/>
      <c r="K13" s="489"/>
      <c r="L13" s="489"/>
      <c r="M13" s="489"/>
    </row>
    <row r="14" spans="1:13" x14ac:dyDescent="0.2">
      <c r="B14" s="489"/>
      <c r="C14" s="750"/>
      <c r="D14" s="750"/>
      <c r="E14" s="489"/>
      <c r="F14" s="489"/>
      <c r="G14" s="489"/>
      <c r="H14" s="489"/>
      <c r="I14" s="489"/>
      <c r="J14" s="489"/>
      <c r="K14" s="489"/>
      <c r="L14" s="489"/>
      <c r="M14" s="489"/>
    </row>
    <row r="15" spans="1:13" x14ac:dyDescent="0.2">
      <c r="B15" s="489"/>
      <c r="C15" s="489"/>
      <c r="D15" s="489"/>
      <c r="E15" s="489"/>
      <c r="F15" s="489"/>
      <c r="G15" s="489"/>
      <c r="H15" s="489"/>
      <c r="I15" s="489"/>
      <c r="J15" s="489"/>
      <c r="K15" s="489"/>
      <c r="L15" s="489"/>
      <c r="M15" s="489"/>
    </row>
    <row r="16" spans="1:13" x14ac:dyDescent="0.2">
      <c r="B16" s="489"/>
      <c r="C16" s="489"/>
      <c r="D16" s="489"/>
      <c r="E16" s="489"/>
      <c r="F16" s="489"/>
      <c r="G16" s="489"/>
      <c r="H16" s="489"/>
      <c r="I16" s="489"/>
      <c r="J16" s="489"/>
      <c r="K16" s="489"/>
      <c r="L16" s="489"/>
      <c r="M16" s="489"/>
    </row>
    <row r="17" spans="2:13" x14ac:dyDescent="0.2">
      <c r="B17" s="489"/>
      <c r="C17" s="489"/>
      <c r="D17" s="489"/>
      <c r="E17" s="489"/>
      <c r="F17" s="489"/>
      <c r="G17" s="489"/>
      <c r="H17" s="489"/>
      <c r="I17" s="489"/>
      <c r="J17" s="489"/>
      <c r="K17" s="489"/>
      <c r="L17" s="489"/>
      <c r="M17" s="489"/>
    </row>
    <row r="18" spans="2:13" x14ac:dyDescent="0.2">
      <c r="B18" s="489"/>
      <c r="C18" s="489"/>
      <c r="D18" s="489"/>
      <c r="E18" s="489"/>
      <c r="F18" s="489"/>
      <c r="G18" s="489"/>
      <c r="H18" s="489"/>
      <c r="I18" s="489"/>
      <c r="J18" s="489"/>
      <c r="K18" s="489"/>
      <c r="L18" s="489"/>
      <c r="M18" s="489"/>
    </row>
  </sheetData>
  <sheetProtection password="C925" sheet="1" objects="1" scenarios="1" formatColumns="0" formatRows="0"/>
  <mergeCells count="7">
    <mergeCell ref="C13:D14"/>
    <mergeCell ref="B4:L4"/>
    <mergeCell ref="B6:C6"/>
    <mergeCell ref="D6:F6"/>
    <mergeCell ref="B2:L2"/>
    <mergeCell ref="J6:L6"/>
    <mergeCell ref="G6:I6"/>
  </mergeCells>
  <conditionalFormatting sqref="C13">
    <cfRule type="expression" dxfId="5" priority="1">
      <formula>Status=0</formula>
    </cfRule>
  </conditionalFormatting>
  <hyperlinks>
    <hyperlink ref="C13:D14" location="Incomplete!A1" tooltip="Click" display="Incomplete!A1" xr:uid="{00000000-0004-0000-2400-000000000000}"/>
  </hyperlinks>
  <pageMargins left="0.5" right="0.5" top="0.75" bottom="0.75" header="0.3" footer="0.3"/>
  <pageSetup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L40"/>
  <sheetViews>
    <sheetView showGridLines="0" zoomScaleNormal="100" workbookViewId="0">
      <selection activeCell="F41" sqref="F41"/>
    </sheetView>
  </sheetViews>
  <sheetFormatPr defaultColWidth="9.140625" defaultRowHeight="12.75" x14ac:dyDescent="0.2"/>
  <cols>
    <col min="1" max="1" width="1" style="2" customWidth="1"/>
    <col min="2" max="2" width="38.140625" style="2" customWidth="1"/>
    <col min="3" max="3" width="22" style="2" customWidth="1"/>
    <col min="4" max="4" width="26.140625" style="2" customWidth="1"/>
    <col min="5" max="5" width="0.85546875" style="2" customWidth="1"/>
    <col min="6" max="7" width="12.85546875" style="2" customWidth="1"/>
    <col min="8" max="8" width="0.5703125" style="2" customWidth="1"/>
    <col min="9" max="9" width="11" style="2" customWidth="1"/>
    <col min="10" max="10" width="1.140625" style="2" customWidth="1"/>
    <col min="11" max="11" width="9.140625" style="2"/>
    <col min="12" max="12" width="9.140625" style="2" hidden="1" customWidth="1"/>
    <col min="13" max="16384" width="9.140625" style="2"/>
  </cols>
  <sheetData>
    <row r="1" spans="1:12" ht="5.0999999999999996" customHeight="1" thickBot="1" x14ac:dyDescent="0.25"/>
    <row r="2" spans="1:12" ht="38.25" customHeight="1" thickBot="1" x14ac:dyDescent="0.25">
      <c r="B2" s="671" t="s">
        <v>790</v>
      </c>
      <c r="C2" s="671"/>
      <c r="D2" s="671"/>
      <c r="E2" s="671"/>
      <c r="F2" s="671"/>
      <c r="G2" s="671"/>
      <c r="H2" s="671"/>
      <c r="I2" s="671"/>
    </row>
    <row r="3" spans="1:12" ht="4.5" customHeight="1" thickBot="1" x14ac:dyDescent="0.25"/>
    <row r="4" spans="1:12" ht="24" thickBot="1" x14ac:dyDescent="0.4">
      <c r="B4" s="751" t="s">
        <v>67</v>
      </c>
      <c r="C4" s="752"/>
      <c r="D4" s="752"/>
      <c r="E4" s="752"/>
      <c r="F4" s="752"/>
      <c r="G4" s="752"/>
      <c r="H4" s="752"/>
      <c r="I4" s="753"/>
    </row>
    <row r="5" spans="1:12" ht="4.5" customHeight="1" thickBot="1" x14ac:dyDescent="0.25"/>
    <row r="6" spans="1:12" ht="13.5" thickBot="1" x14ac:dyDescent="0.25">
      <c r="A6" s="489"/>
      <c r="B6" s="563"/>
      <c r="C6" s="563"/>
      <c r="D6" s="563"/>
      <c r="E6" s="489"/>
      <c r="F6" s="762">
        <f>Titles!F2</f>
        <v>2025</v>
      </c>
      <c r="G6" s="763"/>
      <c r="H6" s="489"/>
      <c r="I6" s="764" t="s">
        <v>816</v>
      </c>
      <c r="J6" s="489"/>
    </row>
    <row r="7" spans="1:12" ht="11.25" customHeight="1" x14ac:dyDescent="0.2">
      <c r="A7" s="489"/>
      <c r="B7" s="564"/>
      <c r="C7" s="564"/>
      <c r="D7" s="564"/>
      <c r="E7" s="489"/>
      <c r="F7" s="92" t="s">
        <v>542</v>
      </c>
      <c r="G7" s="93" t="s">
        <v>543</v>
      </c>
      <c r="H7" s="489"/>
      <c r="I7" s="765"/>
      <c r="J7" s="489"/>
    </row>
    <row r="8" spans="1:12" ht="11.25" customHeight="1" thickBot="1" x14ac:dyDescent="0.25">
      <c r="A8" s="489"/>
      <c r="B8" s="91" t="s">
        <v>93</v>
      </c>
      <c r="C8" s="91" t="s">
        <v>94</v>
      </c>
      <c r="D8" s="91" t="s">
        <v>95</v>
      </c>
      <c r="E8" s="489"/>
      <c r="F8" s="94" t="s">
        <v>817</v>
      </c>
      <c r="G8" s="95" t="s">
        <v>817</v>
      </c>
      <c r="H8" s="489"/>
      <c r="I8" s="766"/>
      <c r="J8" s="489"/>
    </row>
    <row r="9" spans="1:12" ht="12.75" hidden="1" customHeight="1" x14ac:dyDescent="0.2">
      <c r="A9" s="489"/>
      <c r="B9" s="565" t="str">
        <f ca="1">Tables!B9</f>
        <v>Discont'd Onlne Audt(OLA)</v>
      </c>
      <c r="C9" s="566" t="str">
        <f ca="1">Tables!C9</f>
        <v>Residential</v>
      </c>
      <c r="D9" s="566" t="str">
        <f ca="1">Tables!D9</f>
        <v>Behavior/Education</v>
      </c>
      <c r="E9" s="489"/>
      <c r="F9" s="97">
        <f ca="1">Tables!E9</f>
        <v>0</v>
      </c>
      <c r="G9" s="98">
        <f ca="1">Tables!F9</f>
        <v>0</v>
      </c>
      <c r="H9" s="489"/>
      <c r="I9" s="101" t="str">
        <f ca="1">IF(ISERROR(G9/F9),"-",(G9/F9))</f>
        <v>-</v>
      </c>
      <c r="J9" s="489"/>
      <c r="L9" s="2">
        <f ca="1">IF(B9="*Hide*",1)-IF(SUBTOTAL(103,B9)=1,0,1)</f>
        <v>-1</v>
      </c>
    </row>
    <row r="10" spans="1:12" ht="12.75" hidden="1" customHeight="1" x14ac:dyDescent="0.2">
      <c r="A10" s="489"/>
      <c r="B10" s="567" t="str">
        <f ca="1">Tables!B10</f>
        <v>Discont'd R ES Appliance</v>
      </c>
      <c r="C10" s="568" t="str">
        <f ca="1">Tables!C10</f>
        <v>Residential</v>
      </c>
      <c r="D10" s="568" t="str">
        <f ca="1">Tables!D10</f>
        <v>Consumer Product Rebate</v>
      </c>
      <c r="E10" s="489"/>
      <c r="F10" s="99">
        <f ca="1">Tables!E10</f>
        <v>0</v>
      </c>
      <c r="G10" s="100">
        <f ca="1">Tables!F10</f>
        <v>0</v>
      </c>
      <c r="H10" s="489"/>
      <c r="I10" s="102" t="str">
        <f t="shared" ref="I10:I30" ca="1" si="0">IF(ISERROR(G10/F10),"-",(G10/F10))</f>
        <v>-</v>
      </c>
      <c r="J10" s="489"/>
      <c r="L10" s="2">
        <f t="shared" ref="L10:L28" ca="1" si="1">IF(B10="*Hide*",1)-IF(SUBTOTAL(103,B10)=1,0,1)</f>
        <v>-1</v>
      </c>
    </row>
    <row r="11" spans="1:12" ht="12.75" hidden="1" customHeight="1" x14ac:dyDescent="0.2">
      <c r="A11" s="489"/>
      <c r="B11" s="567" t="str">
        <f ca="1">Tables!B11</f>
        <v>Discont'd Res Appliance</v>
      </c>
      <c r="C11" s="568" t="str">
        <f ca="1">Tables!C11</f>
        <v>Residential</v>
      </c>
      <c r="D11" s="568" t="str">
        <f ca="1">Tables!D11</f>
        <v>Consumer Product Rebate</v>
      </c>
      <c r="E11" s="489"/>
      <c r="F11" s="99">
        <f ca="1">Tables!E11</f>
        <v>0</v>
      </c>
      <c r="G11" s="100">
        <f ca="1">Tables!F11</f>
        <v>0</v>
      </c>
      <c r="H11" s="489"/>
      <c r="I11" s="102" t="str">
        <f t="shared" ca="1" si="0"/>
        <v>-</v>
      </c>
      <c r="J11" s="489"/>
      <c r="L11" s="2">
        <f t="shared" ca="1" si="1"/>
        <v>-1</v>
      </c>
    </row>
    <row r="12" spans="1:12" ht="12.75" hidden="1" customHeight="1" x14ac:dyDescent="0.2">
      <c r="A12" s="489"/>
      <c r="B12" s="567" t="str">
        <f ca="1">Tables!B12</f>
        <v>Discont'd Res Solutions</v>
      </c>
      <c r="C12" s="568" t="str">
        <f ca="1">Tables!C12</f>
        <v>Residential</v>
      </c>
      <c r="D12" s="568" t="str">
        <f ca="1">Tables!D12</f>
        <v>Prescriptive/Standard Offer</v>
      </c>
      <c r="E12" s="489"/>
      <c r="F12" s="99">
        <f ca="1">Tables!E12</f>
        <v>0</v>
      </c>
      <c r="G12" s="100">
        <f ca="1">Tables!F12</f>
        <v>0</v>
      </c>
      <c r="H12" s="489"/>
      <c r="I12" s="102" t="str">
        <f t="shared" ca="1" si="0"/>
        <v>-</v>
      </c>
      <c r="J12" s="489"/>
      <c r="L12" s="2">
        <f t="shared" ca="1" si="1"/>
        <v>-1</v>
      </c>
    </row>
    <row r="13" spans="1:12" ht="12.75" customHeight="1" x14ac:dyDescent="0.2">
      <c r="A13" s="489"/>
      <c r="B13" s="567" t="str">
        <f ca="1">Tables!B13</f>
        <v>Efficient Products (EPP)</v>
      </c>
      <c r="C13" s="568" t="str">
        <f ca="1">Tables!C13</f>
        <v>Residential</v>
      </c>
      <c r="D13" s="568" t="str">
        <f ca="1">Tables!D13</f>
        <v>Consumer Product Rebate</v>
      </c>
      <c r="E13" s="489"/>
      <c r="F13" s="99">
        <f ca="1">Tables!E13</f>
        <v>720823</v>
      </c>
      <c r="G13" s="100">
        <f ca="1">Tables!F13</f>
        <v>675653.44</v>
      </c>
      <c r="H13" s="489"/>
      <c r="I13" s="102">
        <f t="shared" ca="1" si="0"/>
        <v>0.93733612828669444</v>
      </c>
      <c r="J13" s="489"/>
      <c r="L13" s="2">
        <f t="shared" ca="1" si="1"/>
        <v>0</v>
      </c>
    </row>
    <row r="14" spans="1:12" ht="12.75" customHeight="1" x14ac:dyDescent="0.2">
      <c r="A14" s="489"/>
      <c r="B14" s="567" t="str">
        <f ca="1">Tables!B14</f>
        <v>Home Weatherization (HWP)</v>
      </c>
      <c r="C14" s="568" t="str">
        <f ca="1">Tables!C14</f>
        <v>Residential</v>
      </c>
      <c r="D14" s="568" t="str">
        <f ca="1">Tables!D14</f>
        <v>Whole Home</v>
      </c>
      <c r="E14" s="489"/>
      <c r="F14" s="99">
        <f ca="1">Tables!E14</f>
        <v>2361354</v>
      </c>
      <c r="G14" s="100">
        <f ca="1">Tables!F14</f>
        <v>2066144.0100000002</v>
      </c>
      <c r="H14" s="489"/>
      <c r="I14" s="102">
        <f t="shared" ca="1" si="0"/>
        <v>0.87498274718657187</v>
      </c>
      <c r="J14" s="489"/>
      <c r="L14" s="2">
        <f t="shared" ca="1" si="1"/>
        <v>0</v>
      </c>
    </row>
    <row r="15" spans="1:12" ht="12.75" customHeight="1" x14ac:dyDescent="0.2">
      <c r="A15" s="489"/>
      <c r="B15" s="567" t="str">
        <f ca="1">Tables!B15</f>
        <v>Income Qualified (IQW)</v>
      </c>
      <c r="C15" s="568" t="str">
        <f ca="1">Tables!C15</f>
        <v>Residential</v>
      </c>
      <c r="D15" s="568" t="str">
        <f ca="1">Tables!D15</f>
        <v>Whole Home</v>
      </c>
      <c r="E15" s="489"/>
      <c r="F15" s="99">
        <f ca="1">Tables!E15</f>
        <v>1098112</v>
      </c>
      <c r="G15" s="100">
        <f ca="1">Tables!F15</f>
        <v>1111588.78</v>
      </c>
      <c r="H15" s="489"/>
      <c r="I15" s="102">
        <f t="shared" ca="1" si="0"/>
        <v>1.0122726825678985</v>
      </c>
      <c r="J15" s="489"/>
      <c r="L15" s="2">
        <f t="shared" ca="1" si="1"/>
        <v>0</v>
      </c>
    </row>
    <row r="16" spans="1:12" ht="12.75" customHeight="1" x14ac:dyDescent="0.2">
      <c r="A16" s="489"/>
      <c r="B16" s="567" t="str">
        <f ca="1">Tables!B16</f>
        <v>Res Energy Imprv (REIP)</v>
      </c>
      <c r="C16" s="568" t="str">
        <f ca="1">Tables!C16</f>
        <v>Residential</v>
      </c>
      <c r="D16" s="568" t="str">
        <f ca="1">Tables!D16</f>
        <v>Prescriptive/Standard Offer</v>
      </c>
      <c r="E16" s="489"/>
      <c r="F16" s="99">
        <f ca="1">Tables!E16</f>
        <v>2864054</v>
      </c>
      <c r="G16" s="100">
        <f ca="1">Tables!F16</f>
        <v>2841826.0799999996</v>
      </c>
      <c r="H16" s="489"/>
      <c r="I16" s="102">
        <f t="shared" ca="1" si="0"/>
        <v>0.99223900108028673</v>
      </c>
      <c r="J16" s="489"/>
      <c r="L16" s="2">
        <f t="shared" ca="1" si="1"/>
        <v>0</v>
      </c>
    </row>
    <row r="17" spans="1:12" ht="12.75" customHeight="1" x14ac:dyDescent="0.2">
      <c r="A17" s="489"/>
      <c r="B17" s="567" t="str">
        <f ca="1">Tables!B17</f>
        <v>Bring Y/Otstat (BYOT)</v>
      </c>
      <c r="C17" s="568" t="str">
        <f ca="1">Tables!C17</f>
        <v>Res/Small Business</v>
      </c>
      <c r="D17" s="568" t="str">
        <f ca="1">Tables!D17</f>
        <v>Demand Response</v>
      </c>
      <c r="E17" s="489"/>
      <c r="F17" s="99">
        <f ca="1">Tables!E17</f>
        <v>481079</v>
      </c>
      <c r="G17" s="100">
        <f ca="1">Tables!F17</f>
        <v>188987.53</v>
      </c>
      <c r="H17" s="489"/>
      <c r="I17" s="102">
        <f t="shared" ca="1" si="0"/>
        <v>0.39284094712095102</v>
      </c>
      <c r="J17" s="489"/>
      <c r="L17" s="2">
        <f t="shared" ca="1" si="1"/>
        <v>0</v>
      </c>
    </row>
    <row r="18" spans="1:12" ht="12.75" customHeight="1" x14ac:dyDescent="0.2">
      <c r="A18" s="489"/>
      <c r="B18" s="567" t="str">
        <f ca="1">Tables!B18</f>
        <v>Discont'd Ele Veh (EVE)</v>
      </c>
      <c r="C18" s="568" t="str">
        <f ca="1">Tables!C18</f>
        <v>Res/Small Business</v>
      </c>
      <c r="D18" s="568" t="str">
        <f ca="1">Tables!D18</f>
        <v>Measure/Technology Focus</v>
      </c>
      <c r="E18" s="489"/>
      <c r="F18" s="99">
        <f ca="1">Tables!E18</f>
        <v>0</v>
      </c>
      <c r="G18" s="100">
        <f ca="1">Tables!F18</f>
        <v>15.399999999999999</v>
      </c>
      <c r="H18" s="489"/>
      <c r="I18" s="102" t="str">
        <f t="shared" ca="1" si="0"/>
        <v>-</v>
      </c>
      <c r="J18" s="489"/>
      <c r="L18" s="2">
        <f t="shared" ca="1" si="1"/>
        <v>0</v>
      </c>
    </row>
    <row r="19" spans="1:12" ht="12.75" customHeight="1" x14ac:dyDescent="0.2">
      <c r="A19" s="489"/>
      <c r="B19" s="567" t="str">
        <f ca="1">Tables!B19</f>
        <v>Strat Energy Mgmt (SEMP)</v>
      </c>
      <c r="C19" s="568" t="str">
        <f ca="1">Tables!C19</f>
        <v>Res/Small Business</v>
      </c>
      <c r="D19" s="568" t="str">
        <f ca="1">Tables!D19</f>
        <v>Behavior/Education</v>
      </c>
      <c r="E19" s="489"/>
      <c r="F19" s="99">
        <f ca="1">Tables!E19</f>
        <v>559109</v>
      </c>
      <c r="G19" s="100">
        <f ca="1">Tables!F19</f>
        <v>574855.58000000007</v>
      </c>
      <c r="H19" s="489"/>
      <c r="I19" s="102">
        <f t="shared" ca="1" si="0"/>
        <v>1.0281637033208195</v>
      </c>
      <c r="J19" s="489"/>
      <c r="L19" s="2">
        <f t="shared" ca="1" si="1"/>
        <v>0</v>
      </c>
    </row>
    <row r="20" spans="1:12" ht="12.75" customHeight="1" x14ac:dyDescent="0.2">
      <c r="A20" s="489"/>
      <c r="B20" s="567" t="str">
        <f ca="1">Tables!B20</f>
        <v>Comm &amp; Industrial (CIEEP)</v>
      </c>
      <c r="C20" s="568" t="str">
        <f ca="1">Tables!C20</f>
        <v>Commercial &amp; Industrial</v>
      </c>
      <c r="D20" s="568" t="str">
        <f ca="1">Tables!D20</f>
        <v>Other</v>
      </c>
      <c r="E20" s="489"/>
      <c r="F20" s="99">
        <f ca="1">Tables!E20</f>
        <v>3084080</v>
      </c>
      <c r="G20" s="100">
        <f ca="1">Tables!F20</f>
        <v>2928754.98</v>
      </c>
      <c r="H20" s="489"/>
      <c r="I20" s="102">
        <f t="shared" ca="1" si="0"/>
        <v>0.94963651396850923</v>
      </c>
      <c r="J20" s="489"/>
      <c r="L20" s="2">
        <f t="shared" ca="1" si="1"/>
        <v>0</v>
      </c>
    </row>
    <row r="21" spans="1:12" ht="12.75" hidden="1" customHeight="1" x14ac:dyDescent="0.2">
      <c r="A21" s="489"/>
      <c r="B21" s="567" t="str">
        <f ca="1">Tables!B21</f>
        <v>Discont'd Comm Solutions</v>
      </c>
      <c r="C21" s="568" t="str">
        <f ca="1">Tables!C21</f>
        <v>Commercial &amp; Industrial</v>
      </c>
      <c r="D21" s="568" t="str">
        <f ca="1">Tables!D21</f>
        <v>Other</v>
      </c>
      <c r="E21" s="489"/>
      <c r="F21" s="99">
        <f ca="1">Tables!E21</f>
        <v>0</v>
      </c>
      <c r="G21" s="100">
        <f ca="1">Tables!F21</f>
        <v>0</v>
      </c>
      <c r="H21" s="489"/>
      <c r="I21" s="102" t="str">
        <f t="shared" ca="1" si="0"/>
        <v>-</v>
      </c>
      <c r="J21" s="489"/>
      <c r="L21" s="2">
        <f t="shared" ca="1" si="1"/>
        <v>-1</v>
      </c>
    </row>
    <row r="22" spans="1:12" ht="12.75" customHeight="1" x14ac:dyDescent="0.2">
      <c r="A22" s="489"/>
      <c r="B22" s="567" t="str">
        <f ca="1">Tables!B22</f>
        <v>Load Mgt (LMP)</v>
      </c>
      <c r="C22" s="568" t="str">
        <f ca="1">Tables!C22</f>
        <v>Commercial &amp; Industrial</v>
      </c>
      <c r="D22" s="568" t="str">
        <f ca="1">Tables!D22</f>
        <v>Demand Response</v>
      </c>
      <c r="E22" s="489"/>
      <c r="F22" s="99">
        <f ca="1">Tables!E22</f>
        <v>1007610</v>
      </c>
      <c r="G22" s="100">
        <f ca="1">Tables!F22</f>
        <v>786371.33000000007</v>
      </c>
      <c r="H22" s="489"/>
      <c r="I22" s="102">
        <f t="shared" ca="1" si="0"/>
        <v>0.78043224064866379</v>
      </c>
      <c r="J22" s="489"/>
      <c r="L22" s="2">
        <f t="shared" ca="1" si="1"/>
        <v>0</v>
      </c>
    </row>
    <row r="23" spans="1:12" ht="12.75" customHeight="1" x14ac:dyDescent="0.2">
      <c r="A23" s="489"/>
      <c r="B23" s="567" t="str">
        <f ca="1">Tables!B23</f>
        <v>New Construction (NCP)</v>
      </c>
      <c r="C23" s="568" t="str">
        <f ca="1">Tables!C23</f>
        <v>Res/C&amp;I</v>
      </c>
      <c r="D23" s="568" t="str">
        <f ca="1">Tables!D23</f>
        <v>Prescriptive/Standard Offer</v>
      </c>
      <c r="E23" s="489"/>
      <c r="F23" s="99">
        <f ca="1">Tables!E23</f>
        <v>415993</v>
      </c>
      <c r="G23" s="100">
        <f ca="1">Tables!F23</f>
        <v>410760.84</v>
      </c>
      <c r="H23" s="489"/>
      <c r="I23" s="102">
        <f t="shared" ca="1" si="0"/>
        <v>0.9874224806667421</v>
      </c>
      <c r="J23" s="489"/>
      <c r="L23" s="2">
        <f t="shared" ca="1" si="1"/>
        <v>0</v>
      </c>
    </row>
    <row r="24" spans="1:12" ht="12.75" customHeight="1" x14ac:dyDescent="0.2">
      <c r="A24" s="489"/>
      <c r="B24" s="567" t="str">
        <f ca="1">Tables!B24</f>
        <v>Small Business (SBP)</v>
      </c>
      <c r="C24" s="568" t="str">
        <f ca="1">Tables!C24</f>
        <v>Small Business/C&amp;I</v>
      </c>
      <c r="D24" s="568" t="str">
        <f ca="1">Tables!D24</f>
        <v>Prescriptive/Standard Offer</v>
      </c>
      <c r="E24" s="489"/>
      <c r="F24" s="99">
        <f ca="1">Tables!E24</f>
        <v>1596350</v>
      </c>
      <c r="G24" s="100">
        <f ca="1">Tables!F24</f>
        <v>1545628.96</v>
      </c>
      <c r="H24" s="489"/>
      <c r="I24" s="102">
        <f t="shared" ca="1" si="0"/>
        <v>0.96822686754157916</v>
      </c>
      <c r="J24" s="489"/>
      <c r="L24" s="2">
        <f t="shared" ca="1" si="1"/>
        <v>0</v>
      </c>
    </row>
    <row r="25" spans="1:12" ht="12.75" hidden="1" customHeight="1" x14ac:dyDescent="0.2">
      <c r="A25" s="489"/>
      <c r="B25" s="567" t="str">
        <f ca="1">Tables!B25</f>
        <v>Discont'd ARWX (AWIP)</v>
      </c>
      <c r="C25" s="568" t="str">
        <f ca="1">Tables!C25</f>
        <v>Residential</v>
      </c>
      <c r="D25" s="568" t="str">
        <f ca="1">Tables!D25</f>
        <v>Whole Home</v>
      </c>
      <c r="E25" s="489"/>
      <c r="F25" s="99">
        <f ca="1">Tables!E25</f>
        <v>0</v>
      </c>
      <c r="G25" s="100">
        <f ca="1">Tables!F25</f>
        <v>0</v>
      </c>
      <c r="H25" s="489"/>
      <c r="I25" s="102" t="str">
        <f t="shared" ca="1" si="0"/>
        <v>-</v>
      </c>
      <c r="J25" s="489"/>
      <c r="L25" s="2">
        <f t="shared" ca="1" si="1"/>
        <v>-1</v>
      </c>
    </row>
    <row r="26" spans="1:12" ht="12.75" hidden="1" customHeight="1" x14ac:dyDescent="0.2">
      <c r="A26" s="489"/>
      <c r="B26" s="567" t="str">
        <f ca="1">Tables!B26</f>
        <v>Discont'd EE AR (EEA)</v>
      </c>
      <c r="C26" s="568" t="str">
        <f ca="1">Tables!C26</f>
        <v>All Classes</v>
      </c>
      <c r="D26" s="568" t="str">
        <f ca="1">Tables!D26</f>
        <v>Behavior/Education</v>
      </c>
      <c r="E26" s="489"/>
      <c r="F26" s="99">
        <f ca="1">Tables!E26</f>
        <v>0</v>
      </c>
      <c r="G26" s="100">
        <f ca="1">Tables!F26</f>
        <v>0</v>
      </c>
      <c r="H26" s="489"/>
      <c r="I26" s="102" t="str">
        <f t="shared" ca="1" si="0"/>
        <v>-</v>
      </c>
      <c r="J26" s="489"/>
      <c r="L26" s="2">
        <f t="shared" ca="1" si="1"/>
        <v>-1</v>
      </c>
    </row>
    <row r="27" spans="1:12" ht="12.75" hidden="1" customHeight="1" x14ac:dyDescent="0.2">
      <c r="A27" s="489"/>
      <c r="B27" s="567" t="str">
        <f ca="1">Tables!B27</f>
        <v>*Hide*</v>
      </c>
      <c r="C27" s="568" t="str">
        <f ca="1">Tables!C27</f>
        <v>-</v>
      </c>
      <c r="D27" s="568" t="str">
        <f ca="1">Tables!D27</f>
        <v>-</v>
      </c>
      <c r="E27" s="489"/>
      <c r="F27" s="99" t="str">
        <f ca="1">Tables!E27</f>
        <v>-</v>
      </c>
      <c r="G27" s="100" t="str">
        <f ca="1">Tables!F27</f>
        <v>-</v>
      </c>
      <c r="H27" s="489"/>
      <c r="I27" s="102" t="str">
        <f t="shared" ca="1" si="0"/>
        <v>-</v>
      </c>
      <c r="J27" s="489"/>
      <c r="L27" s="2">
        <f t="shared" ca="1" si="1"/>
        <v>0</v>
      </c>
    </row>
    <row r="28" spans="1:12" ht="12.75" hidden="1" customHeight="1" x14ac:dyDescent="0.2">
      <c r="A28" s="489"/>
      <c r="B28" s="567" t="str">
        <f ca="1">Tables!B28</f>
        <v>*Hide*</v>
      </c>
      <c r="C28" s="568" t="str">
        <f ca="1">Tables!C28</f>
        <v>-</v>
      </c>
      <c r="D28" s="568" t="str">
        <f ca="1">Tables!D28</f>
        <v>-</v>
      </c>
      <c r="E28" s="489"/>
      <c r="F28" s="99" t="str">
        <f ca="1">Tables!E28</f>
        <v>-</v>
      </c>
      <c r="G28" s="100" t="str">
        <f ca="1">Tables!F28</f>
        <v>-</v>
      </c>
      <c r="H28" s="489"/>
      <c r="I28" s="102" t="str">
        <f t="shared" ca="1" si="0"/>
        <v>-</v>
      </c>
      <c r="J28" s="489"/>
      <c r="L28" s="2">
        <f t="shared" ca="1" si="1"/>
        <v>0</v>
      </c>
    </row>
    <row r="29" spans="1:12" ht="12.75" customHeight="1" thickBot="1" x14ac:dyDescent="0.25">
      <c r="A29" s="489"/>
      <c r="B29" s="569" t="str">
        <f>Tables!B29</f>
        <v>Regulatory</v>
      </c>
      <c r="C29" s="568" t="str">
        <f>Tables!C29</f>
        <v>-</v>
      </c>
      <c r="D29" s="568" t="str">
        <f>Tables!D29</f>
        <v>-</v>
      </c>
      <c r="E29" s="489"/>
      <c r="F29" s="99">
        <f>Tables!E29</f>
        <v>117000</v>
      </c>
      <c r="G29" s="100">
        <f>Tables!F29</f>
        <v>88843.87</v>
      </c>
      <c r="H29" s="489"/>
      <c r="I29" s="102">
        <f t="shared" si="0"/>
        <v>0.75934931623931623</v>
      </c>
      <c r="J29" s="489"/>
      <c r="L29" s="2">
        <f>IF(SUBTOTAL(103,B29)=1,0,-1)</f>
        <v>0</v>
      </c>
    </row>
    <row r="30" spans="1:12" ht="12.75" customHeight="1" thickBot="1" x14ac:dyDescent="0.25">
      <c r="A30" s="489"/>
      <c r="B30" s="570"/>
      <c r="C30" s="570"/>
      <c r="D30" s="103" t="s">
        <v>182</v>
      </c>
      <c r="E30" s="489"/>
      <c r="F30" s="96">
        <f ca="1">SUM(F9:F29)</f>
        <v>14305564</v>
      </c>
      <c r="G30" s="121">
        <f ca="1">SUM(G9:G29)</f>
        <v>13219430.799999999</v>
      </c>
      <c r="H30" s="489"/>
      <c r="I30" s="122">
        <f t="shared" ca="1" si="0"/>
        <v>0.92407617064241565</v>
      </c>
      <c r="J30" s="489"/>
      <c r="L30" s="2">
        <f ca="1">SUM(L9:L29)</f>
        <v>-7</v>
      </c>
    </row>
    <row r="31" spans="1:12" x14ac:dyDescent="0.2">
      <c r="A31" s="489"/>
      <c r="B31" s="489"/>
      <c r="C31" s="489"/>
      <c r="D31" s="489"/>
      <c r="E31" s="489"/>
      <c r="F31" s="489"/>
      <c r="G31" s="489"/>
      <c r="H31" s="489"/>
      <c r="I31" s="489"/>
      <c r="J31" s="489"/>
    </row>
    <row r="32" spans="1:12" x14ac:dyDescent="0.2">
      <c r="B32" s="489"/>
      <c r="C32" s="489"/>
      <c r="D32" s="489"/>
      <c r="E32" s="489"/>
      <c r="F32" s="489"/>
      <c r="G32" s="489"/>
      <c r="H32" s="489"/>
      <c r="I32" s="489"/>
      <c r="J32" s="489"/>
    </row>
    <row r="33" spans="2:10" x14ac:dyDescent="0.2">
      <c r="B33" s="334" t="str">
        <f ca="1">IF(L30&gt;0,"Select all cells in the 'Program Name' column that contain *Hide* and press Ctrl+9 to hide rows.",IF(L30&lt;0,"Select all cells in Program Name column and press Shift+Ctrl+9 to unhide all rows.",""))</f>
        <v>Select all cells in Program Name column and press Shift+Ctrl+9 to unhide all rows.</v>
      </c>
      <c r="C33" s="489"/>
      <c r="D33" s="489"/>
      <c r="E33" s="489"/>
      <c r="F33" s="489"/>
      <c r="G33" s="489"/>
      <c r="H33" s="489"/>
      <c r="I33" s="489"/>
      <c r="J33" s="489"/>
    </row>
    <row r="34" spans="2:10" x14ac:dyDescent="0.2">
      <c r="B34" s="334"/>
      <c r="C34" s="489"/>
      <c r="D34" s="489"/>
      <c r="E34" s="489"/>
      <c r="F34" s="489"/>
      <c r="G34" s="489"/>
      <c r="H34" s="489"/>
      <c r="I34" s="489"/>
      <c r="J34" s="489"/>
    </row>
    <row r="35" spans="2:10" x14ac:dyDescent="0.2">
      <c r="B35" s="489"/>
      <c r="C35" s="489"/>
      <c r="D35" s="489"/>
      <c r="E35" s="489"/>
      <c r="F35" s="489"/>
      <c r="G35" s="489"/>
      <c r="H35" s="489"/>
      <c r="I35" s="489"/>
      <c r="J35" s="489"/>
    </row>
    <row r="36" spans="2:10" x14ac:dyDescent="0.2">
      <c r="B36" s="489"/>
      <c r="C36" s="489"/>
      <c r="D36" s="489"/>
      <c r="E36" s="489"/>
      <c r="F36" s="489"/>
      <c r="G36" s="489"/>
      <c r="H36" s="489"/>
      <c r="I36" s="489"/>
      <c r="J36" s="489"/>
    </row>
    <row r="37" spans="2:10" x14ac:dyDescent="0.2">
      <c r="B37" s="489"/>
      <c r="C37" s="489"/>
      <c r="D37" s="489"/>
      <c r="E37" s="489"/>
      <c r="F37" s="489"/>
      <c r="G37" s="489"/>
      <c r="H37" s="489"/>
      <c r="I37" s="489"/>
      <c r="J37" s="489"/>
    </row>
    <row r="38" spans="2:10" x14ac:dyDescent="0.2">
      <c r="B38" s="489"/>
      <c r="C38" s="489"/>
      <c r="D38" s="489"/>
      <c r="E38" s="489"/>
      <c r="F38" s="489"/>
      <c r="G38" s="489"/>
      <c r="H38" s="489"/>
      <c r="I38" s="489"/>
      <c r="J38" s="489"/>
    </row>
    <row r="39" spans="2:10" x14ac:dyDescent="0.2">
      <c r="B39" s="489"/>
      <c r="C39" s="489"/>
      <c r="D39" s="489"/>
      <c r="E39" s="489"/>
      <c r="F39" s="489"/>
      <c r="G39" s="489"/>
      <c r="H39" s="489"/>
      <c r="I39" s="489"/>
      <c r="J39" s="489"/>
    </row>
    <row r="40" spans="2:10" x14ac:dyDescent="0.2">
      <c r="B40" s="489"/>
      <c r="C40" s="489"/>
      <c r="D40" s="489"/>
      <c r="E40" s="489"/>
      <c r="F40" s="489"/>
      <c r="G40" s="489"/>
      <c r="H40" s="489"/>
      <c r="I40" s="489"/>
      <c r="J40" s="489"/>
    </row>
  </sheetData>
  <sheetProtection password="C925" sheet="1" objects="1" scenarios="1" formatColumns="0" formatRows="0"/>
  <mergeCells count="4">
    <mergeCell ref="F6:G6"/>
    <mergeCell ref="I6:I8"/>
    <mergeCell ref="B4:I4"/>
    <mergeCell ref="B2:I2"/>
  </mergeCells>
  <conditionalFormatting sqref="B9:D28 F9:G28 I9:I28">
    <cfRule type="expression" dxfId="4" priority="3">
      <formula>$B9="*Hide*"</formula>
    </cfRule>
  </conditionalFormatting>
  <pageMargins left="0.5" right="0.5" top="0.75" bottom="0.7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H25"/>
  <sheetViews>
    <sheetView showGridLines="0" zoomScale="90" zoomScaleNormal="90" workbookViewId="0"/>
  </sheetViews>
  <sheetFormatPr defaultColWidth="9.140625" defaultRowHeight="12.75" x14ac:dyDescent="0.2"/>
  <cols>
    <col min="1" max="1" width="1" style="2" customWidth="1"/>
    <col min="2" max="2" width="37.85546875" style="2" customWidth="1"/>
    <col min="3" max="3" width="1.140625" style="2" customWidth="1"/>
    <col min="4" max="4" width="8.85546875" style="2" customWidth="1"/>
    <col min="5" max="6" width="12.85546875" style="2" customWidth="1"/>
    <col min="7" max="7" width="8.85546875" style="2" customWidth="1"/>
    <col min="8" max="8" width="1.140625" style="2" customWidth="1"/>
    <col min="9" max="16384" width="9.140625" style="2"/>
  </cols>
  <sheetData>
    <row r="1" spans="1:8" ht="5.0999999999999996" customHeight="1" thickBot="1" x14ac:dyDescent="0.25"/>
    <row r="2" spans="1:8" ht="38.25" customHeight="1" thickBot="1" x14ac:dyDescent="0.25">
      <c r="B2" s="671" t="s">
        <v>791</v>
      </c>
      <c r="C2" s="671"/>
      <c r="D2" s="671"/>
      <c r="E2" s="671"/>
      <c r="F2" s="671"/>
      <c r="G2" s="671"/>
    </row>
    <row r="3" spans="1:8" ht="4.5" customHeight="1" thickBot="1" x14ac:dyDescent="0.25"/>
    <row r="4" spans="1:8" ht="24" thickBot="1" x14ac:dyDescent="0.4">
      <c r="B4" s="751" t="s">
        <v>818</v>
      </c>
      <c r="C4" s="752"/>
      <c r="D4" s="752"/>
      <c r="E4" s="752"/>
      <c r="F4" s="752"/>
      <c r="G4" s="753"/>
    </row>
    <row r="5" spans="1:8" ht="4.5" customHeight="1" thickBot="1" x14ac:dyDescent="0.25">
      <c r="B5" s="152"/>
      <c r="G5" s="153"/>
    </row>
    <row r="6" spans="1:8" ht="13.5" customHeight="1" thickBot="1" x14ac:dyDescent="0.25">
      <c r="A6" s="489"/>
      <c r="B6" s="133"/>
      <c r="C6" s="134"/>
      <c r="D6" s="762" t="str">
        <f>Titles!F2&amp;" Total Expenditures"</f>
        <v>2025 Total Expenditures</v>
      </c>
      <c r="E6" s="767"/>
      <c r="F6" s="767"/>
      <c r="G6" s="763"/>
      <c r="H6" s="489"/>
    </row>
    <row r="7" spans="1:8" ht="11.25" customHeight="1" x14ac:dyDescent="0.2">
      <c r="A7" s="489"/>
      <c r="B7" s="564"/>
      <c r="C7" s="489"/>
      <c r="D7" s="138" t="s">
        <v>819</v>
      </c>
      <c r="E7" s="92" t="s">
        <v>542</v>
      </c>
      <c r="F7" s="93" t="s">
        <v>543</v>
      </c>
      <c r="G7" s="139" t="s">
        <v>819</v>
      </c>
      <c r="H7" s="489"/>
    </row>
    <row r="8" spans="1:8" ht="11.25" customHeight="1" thickBot="1" x14ac:dyDescent="0.25">
      <c r="A8" s="489"/>
      <c r="B8" s="91" t="s">
        <v>820</v>
      </c>
      <c r="C8" s="134"/>
      <c r="D8" s="140" t="s">
        <v>182</v>
      </c>
      <c r="E8" s="141" t="s">
        <v>817</v>
      </c>
      <c r="F8" s="136" t="s">
        <v>817</v>
      </c>
      <c r="G8" s="135" t="s">
        <v>182</v>
      </c>
      <c r="H8" s="489"/>
    </row>
    <row r="9" spans="1:8" ht="12.75" customHeight="1" x14ac:dyDescent="0.2">
      <c r="A9" s="489"/>
      <c r="B9" s="566" t="str">
        <f>Tables!B34</f>
        <v>Planning / Design</v>
      </c>
      <c r="C9" s="489"/>
      <c r="D9" s="101">
        <f>IF(ISERROR(E9/$E$15),"-",(E9/$E$15))</f>
        <v>1.2439076152467669E-2</v>
      </c>
      <c r="E9" s="145">
        <f>Tables!C34</f>
        <v>177948</v>
      </c>
      <c r="F9" s="145">
        <f>Tables!D34</f>
        <v>17506.55</v>
      </c>
      <c r="G9" s="137">
        <f>IF(ISERROR(F9/$F$15),"-",(F9/$F$15))</f>
        <v>1.3243043717131905E-3</v>
      </c>
      <c r="H9" s="489"/>
    </row>
    <row r="10" spans="1:8" ht="12.75" customHeight="1" x14ac:dyDescent="0.2">
      <c r="A10" s="489"/>
      <c r="B10" s="568" t="str">
        <f>Tables!B35</f>
        <v>Marketing &amp; Delivery</v>
      </c>
      <c r="C10" s="489"/>
      <c r="D10" s="142">
        <f t="shared" ref="D10:D15" si="0">IF(ISERROR(E10/$E$15),"-",(E10/$E$15))</f>
        <v>0.3130063938758374</v>
      </c>
      <c r="E10" s="146">
        <f>Tables!C35</f>
        <v>4477733</v>
      </c>
      <c r="F10" s="146">
        <f>Tables!D35</f>
        <v>4737437.0599999996</v>
      </c>
      <c r="G10" s="149">
        <f t="shared" ref="G10:G15" si="1">IF(ISERROR(F10/$F$15),"-",(F10/$F$15))</f>
        <v>0.35836921662315441</v>
      </c>
      <c r="H10" s="489"/>
    </row>
    <row r="11" spans="1:8" ht="12.75" customHeight="1" x14ac:dyDescent="0.2">
      <c r="A11" s="489"/>
      <c r="B11" s="568" t="str">
        <f>Tables!B36</f>
        <v>Incentives / Direct Install Costs</v>
      </c>
      <c r="C11" s="489"/>
      <c r="D11" s="142">
        <f t="shared" si="0"/>
        <v>0.5480997463644216</v>
      </c>
      <c r="E11" s="146">
        <f>Tables!C36</f>
        <v>7840876</v>
      </c>
      <c r="F11" s="146">
        <f>Tables!D36</f>
        <v>7456409.4400000004</v>
      </c>
      <c r="G11" s="149">
        <f t="shared" si="1"/>
        <v>0.56404920550739601</v>
      </c>
      <c r="H11" s="489"/>
    </row>
    <row r="12" spans="1:8" ht="12.75" customHeight="1" x14ac:dyDescent="0.2">
      <c r="A12" s="489"/>
      <c r="B12" s="568" t="str">
        <f>Tables!B37</f>
        <v>EM&amp;V</v>
      </c>
      <c r="C12" s="489"/>
      <c r="D12" s="142">
        <f t="shared" si="0"/>
        <v>2.5950951671671246E-2</v>
      </c>
      <c r="E12" s="146">
        <f>Tables!C37</f>
        <v>371243</v>
      </c>
      <c r="F12" s="146">
        <f>Tables!D37</f>
        <v>484690.9</v>
      </c>
      <c r="G12" s="149">
        <f t="shared" si="1"/>
        <v>3.6665035532392212E-2</v>
      </c>
      <c r="H12" s="489"/>
    </row>
    <row r="13" spans="1:8" ht="12.75" customHeight="1" x14ac:dyDescent="0.2">
      <c r="A13" s="489"/>
      <c r="B13" s="568" t="str">
        <f>Tables!B38</f>
        <v>Administration</v>
      </c>
      <c r="C13" s="489"/>
      <c r="D13" s="142">
        <f t="shared" si="0"/>
        <v>9.2325195986680431E-2</v>
      </c>
      <c r="E13" s="146">
        <f>Tables!C38</f>
        <v>1320764</v>
      </c>
      <c r="F13" s="146">
        <f>Tables!D38</f>
        <v>434542.98</v>
      </c>
      <c r="G13" s="149">
        <f t="shared" si="1"/>
        <v>3.2871534831893062E-2</v>
      </c>
      <c r="H13" s="489"/>
    </row>
    <row r="14" spans="1:8" ht="12.75" customHeight="1" thickBot="1" x14ac:dyDescent="0.25">
      <c r="A14" s="489"/>
      <c r="B14" s="568" t="str">
        <f>Tables!B39</f>
        <v>Regulatory</v>
      </c>
      <c r="C14" s="489"/>
      <c r="D14" s="143">
        <f t="shared" si="0"/>
        <v>8.178635948921693E-3</v>
      </c>
      <c r="E14" s="147">
        <f>Tables!C39</f>
        <v>117000</v>
      </c>
      <c r="F14" s="147">
        <f>Tables!D39</f>
        <v>88843.87</v>
      </c>
      <c r="G14" s="150">
        <f t="shared" si="1"/>
        <v>6.7207031334511006E-3</v>
      </c>
      <c r="H14" s="489"/>
    </row>
    <row r="15" spans="1:8" ht="12.75" customHeight="1" thickBot="1" x14ac:dyDescent="0.25">
      <c r="A15" s="489"/>
      <c r="B15" s="570"/>
      <c r="C15" s="571"/>
      <c r="D15" s="144">
        <f t="shared" si="0"/>
        <v>1</v>
      </c>
      <c r="E15" s="148">
        <f>SUM(E9:E14)</f>
        <v>14305564</v>
      </c>
      <c r="F15" s="148">
        <f>SUM(F9:F14)</f>
        <v>13219430.800000001</v>
      </c>
      <c r="G15" s="151">
        <f t="shared" si="1"/>
        <v>1</v>
      </c>
      <c r="H15" s="489"/>
    </row>
    <row r="16" spans="1:8" x14ac:dyDescent="0.2">
      <c r="A16" s="489"/>
      <c r="B16" s="489"/>
      <c r="C16" s="489"/>
      <c r="D16" s="489"/>
      <c r="E16" s="489"/>
      <c r="F16" s="489"/>
      <c r="G16" s="489"/>
      <c r="H16" s="489"/>
    </row>
    <row r="17" spans="2:8" x14ac:dyDescent="0.2">
      <c r="B17" s="489"/>
      <c r="C17" s="489"/>
      <c r="D17" s="489"/>
      <c r="E17" s="489"/>
      <c r="F17" s="489"/>
      <c r="G17" s="489"/>
      <c r="H17" s="489"/>
    </row>
    <row r="18" spans="2:8" x14ac:dyDescent="0.2">
      <c r="B18" s="489"/>
      <c r="C18" s="489"/>
      <c r="D18" s="489"/>
      <c r="E18" s="489"/>
      <c r="F18" s="489"/>
      <c r="G18" s="489"/>
      <c r="H18" s="489"/>
    </row>
    <row r="19" spans="2:8" x14ac:dyDescent="0.2">
      <c r="B19" s="489"/>
      <c r="C19" s="489"/>
      <c r="D19" s="489"/>
      <c r="E19" s="489"/>
      <c r="F19" s="489"/>
      <c r="G19" s="489"/>
      <c r="H19" s="489"/>
    </row>
    <row r="20" spans="2:8" x14ac:dyDescent="0.2">
      <c r="B20" s="489"/>
      <c r="C20" s="489"/>
      <c r="D20" s="489"/>
      <c r="E20" s="489"/>
      <c r="F20" s="489"/>
      <c r="G20" s="489"/>
      <c r="H20" s="489"/>
    </row>
    <row r="21" spans="2:8" x14ac:dyDescent="0.2">
      <c r="B21" s="489"/>
      <c r="C21" s="489"/>
      <c r="D21" s="489"/>
      <c r="E21" s="489"/>
      <c r="F21" s="489"/>
      <c r="G21" s="489"/>
      <c r="H21" s="489"/>
    </row>
    <row r="22" spans="2:8" x14ac:dyDescent="0.2">
      <c r="B22" s="489"/>
      <c r="C22" s="489"/>
      <c r="D22" s="489"/>
      <c r="E22" s="489"/>
      <c r="F22" s="489"/>
      <c r="G22" s="489"/>
      <c r="H22" s="489"/>
    </row>
    <row r="23" spans="2:8" x14ac:dyDescent="0.2">
      <c r="B23" s="489"/>
      <c r="C23" s="489"/>
      <c r="D23" s="489"/>
      <c r="E23" s="489"/>
      <c r="F23" s="489"/>
      <c r="G23" s="489"/>
      <c r="H23" s="489"/>
    </row>
    <row r="24" spans="2:8" x14ac:dyDescent="0.2">
      <c r="B24" s="489"/>
      <c r="C24" s="489"/>
      <c r="D24" s="489"/>
      <c r="E24" s="489"/>
      <c r="F24" s="489"/>
      <c r="G24" s="489"/>
      <c r="H24" s="489"/>
    </row>
    <row r="25" spans="2:8" x14ac:dyDescent="0.2">
      <c r="B25" s="489"/>
      <c r="C25" s="489"/>
      <c r="D25" s="489"/>
      <c r="E25" s="489"/>
      <c r="F25" s="489"/>
      <c r="G25" s="489"/>
      <c r="H25" s="489"/>
    </row>
  </sheetData>
  <sheetProtection password="C925" sheet="1" objects="1" scenarios="1" formatColumns="0" formatRows="0"/>
  <mergeCells count="3">
    <mergeCell ref="B4:G4"/>
    <mergeCell ref="D6:G6"/>
    <mergeCell ref="B2:G2"/>
  </mergeCells>
  <pageMargins left="0.5" right="0.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112"/>
  <sheetViews>
    <sheetView showGridLines="0" showRowColHeaders="0" zoomScaleNormal="100" workbookViewId="0">
      <pane ySplit="4" topLeftCell="A5" activePane="bottomLeft" state="frozen"/>
      <selection pane="bottomLeft" activeCell="D22" sqref="D22"/>
    </sheetView>
  </sheetViews>
  <sheetFormatPr defaultColWidth="9.140625" defaultRowHeight="12.75" x14ac:dyDescent="0.2"/>
  <cols>
    <col min="1" max="1" width="1" style="2" customWidth="1"/>
    <col min="2" max="2" width="3.85546875" style="2" customWidth="1"/>
    <col min="3" max="3" width="0.140625" style="2" customWidth="1"/>
    <col min="4" max="4" width="35.85546875" style="2" customWidth="1"/>
    <col min="5" max="5" width="21.85546875" style="2" customWidth="1"/>
    <col min="6" max="6" width="24.85546875" style="2" customWidth="1"/>
    <col min="7" max="7" width="29.85546875" style="2" customWidth="1"/>
    <col min="8" max="8" width="7.140625" style="2" customWidth="1"/>
    <col min="9" max="9" width="9.85546875" style="2" customWidth="1"/>
    <col min="10" max="10" width="1" style="2" customWidth="1"/>
    <col min="11" max="11" width="16" style="2" customWidth="1"/>
    <col min="12" max="12" width="0" style="2" hidden="1" customWidth="1"/>
    <col min="13" max="16384" width="9.140625" style="2"/>
  </cols>
  <sheetData>
    <row r="1" spans="2:12" ht="28.5" customHeight="1" x14ac:dyDescent="0.2"/>
    <row r="2" spans="2:12" ht="96.75" customHeight="1" x14ac:dyDescent="0.2">
      <c r="B2" s="508"/>
      <c r="C2" s="509"/>
      <c r="D2" s="509"/>
      <c r="E2" s="509"/>
      <c r="F2" s="509"/>
      <c r="G2" s="509"/>
      <c r="H2" s="509"/>
      <c r="I2" s="510"/>
    </row>
    <row r="3" spans="2:12" ht="12.75" customHeight="1" x14ac:dyDescent="0.2">
      <c r="B3" s="511"/>
      <c r="C3" s="347"/>
      <c r="D3" s="350" t="str">
        <f>IF(L25&gt;0,"Incomplete - All yellow shaded cells must be completed.","")</f>
        <v/>
      </c>
      <c r="E3" s="347"/>
      <c r="F3" s="347"/>
      <c r="G3" s="347"/>
      <c r="H3" s="347"/>
      <c r="I3" s="512"/>
    </row>
    <row r="4" spans="2:12" ht="21" customHeight="1" x14ac:dyDescent="0.25">
      <c r="B4" s="3"/>
      <c r="D4" s="9" t="s">
        <v>93</v>
      </c>
      <c r="E4" s="9" t="s">
        <v>94</v>
      </c>
      <c r="F4" s="9" t="s">
        <v>95</v>
      </c>
      <c r="G4" s="9" t="s">
        <v>96</v>
      </c>
      <c r="I4" s="4"/>
    </row>
    <row r="5" spans="2:12" ht="15" customHeight="1" x14ac:dyDescent="0.2">
      <c r="B5" s="272">
        <v>1</v>
      </c>
      <c r="C5" s="513" t="str">
        <f t="shared" ref="C5:C24" si="0">IF(ISBLANK(D5),"Empty",D5)</f>
        <v>Load Mgt (LMP)</v>
      </c>
      <c r="D5" s="639" t="s">
        <v>97</v>
      </c>
      <c r="E5" s="177" t="s">
        <v>98</v>
      </c>
      <c r="F5" s="177" t="s">
        <v>99</v>
      </c>
      <c r="G5" s="177" t="s">
        <v>100</v>
      </c>
      <c r="I5" s="4"/>
      <c r="L5" s="333">
        <f t="shared" ref="L5:L24" si="1">IF(C5="Empty",0,IF(OR(ISBLANK(E5),ISBLANK(F5),ISBLANK(G5)),1,0))</f>
        <v>0</v>
      </c>
    </row>
    <row r="6" spans="2:12" ht="15" customHeight="1" x14ac:dyDescent="0.2">
      <c r="B6" s="272">
        <v>2</v>
      </c>
      <c r="C6" s="513" t="str">
        <f t="shared" si="0"/>
        <v>Comm &amp; Industrial (CIEEP)</v>
      </c>
      <c r="D6" s="639" t="s">
        <v>101</v>
      </c>
      <c r="E6" s="177" t="s">
        <v>98</v>
      </c>
      <c r="F6" s="177" t="s">
        <v>102</v>
      </c>
      <c r="G6" s="177" t="s">
        <v>103</v>
      </c>
      <c r="I6" s="4"/>
      <c r="L6" s="333">
        <f t="shared" si="1"/>
        <v>0</v>
      </c>
    </row>
    <row r="7" spans="2:12" ht="15" customHeight="1" x14ac:dyDescent="0.2">
      <c r="B7" s="272">
        <v>3</v>
      </c>
      <c r="C7" s="513" t="str">
        <f t="shared" si="0"/>
        <v>Small Business (SBP)</v>
      </c>
      <c r="D7" s="639" t="s">
        <v>104</v>
      </c>
      <c r="E7" s="177" t="s">
        <v>105</v>
      </c>
      <c r="F7" s="177" t="s">
        <v>106</v>
      </c>
      <c r="G7" s="177" t="s">
        <v>103</v>
      </c>
      <c r="I7" s="4"/>
      <c r="L7" s="333">
        <f t="shared" si="1"/>
        <v>0</v>
      </c>
    </row>
    <row r="8" spans="2:12" ht="15" customHeight="1" x14ac:dyDescent="0.2">
      <c r="B8" s="272">
        <v>4</v>
      </c>
      <c r="C8" s="513" t="str">
        <f t="shared" si="0"/>
        <v>Efficient Products (EPP)</v>
      </c>
      <c r="D8" s="639" t="s">
        <v>107</v>
      </c>
      <c r="E8" s="177" t="s">
        <v>108</v>
      </c>
      <c r="F8" s="177" t="s">
        <v>109</v>
      </c>
      <c r="G8" s="177" t="s">
        <v>110</v>
      </c>
      <c r="I8" s="4"/>
      <c r="L8" s="333">
        <f t="shared" si="1"/>
        <v>0</v>
      </c>
    </row>
    <row r="9" spans="2:12" ht="15" customHeight="1" x14ac:dyDescent="0.2">
      <c r="B9" s="272">
        <v>5</v>
      </c>
      <c r="C9" s="513" t="str">
        <f t="shared" si="0"/>
        <v>Res Energy Imprv (REIP)</v>
      </c>
      <c r="D9" s="639" t="s">
        <v>111</v>
      </c>
      <c r="E9" s="177" t="s">
        <v>108</v>
      </c>
      <c r="F9" s="177" t="s">
        <v>106</v>
      </c>
      <c r="G9" s="177" t="s">
        <v>103</v>
      </c>
      <c r="I9" s="4"/>
      <c r="L9" s="333">
        <f t="shared" si="1"/>
        <v>0</v>
      </c>
    </row>
    <row r="10" spans="2:12" ht="15" customHeight="1" x14ac:dyDescent="0.2">
      <c r="B10" s="272">
        <v>6</v>
      </c>
      <c r="C10" s="513" t="str">
        <f t="shared" si="0"/>
        <v>Home Weatherization (HWP)</v>
      </c>
      <c r="D10" s="639" t="s">
        <v>112</v>
      </c>
      <c r="E10" s="177" t="s">
        <v>108</v>
      </c>
      <c r="F10" s="177" t="s">
        <v>113</v>
      </c>
      <c r="G10" s="177" t="s">
        <v>103</v>
      </c>
      <c r="I10" s="4"/>
      <c r="L10" s="333">
        <f t="shared" si="1"/>
        <v>0</v>
      </c>
    </row>
    <row r="11" spans="2:12" ht="15" customHeight="1" x14ac:dyDescent="0.2">
      <c r="B11" s="272">
        <v>7</v>
      </c>
      <c r="C11" s="513" t="str">
        <f>IF(ISBLANK(D11),"Empty",D11)</f>
        <v>Discont'd EE AR (EEA)</v>
      </c>
      <c r="D11" s="639" t="s">
        <v>114</v>
      </c>
      <c r="E11" s="177" t="s">
        <v>115</v>
      </c>
      <c r="F11" s="177" t="s">
        <v>116</v>
      </c>
      <c r="G11" s="177" t="s">
        <v>117</v>
      </c>
      <c r="I11" s="4"/>
      <c r="L11" s="333">
        <f t="shared" si="1"/>
        <v>0</v>
      </c>
    </row>
    <row r="12" spans="2:12" ht="15" customHeight="1" x14ac:dyDescent="0.2">
      <c r="B12" s="272">
        <v>8</v>
      </c>
      <c r="C12" s="513" t="str">
        <f t="shared" si="0"/>
        <v>Discont'd Onlne Audt(OLA)</v>
      </c>
      <c r="D12" s="639" t="s">
        <v>118</v>
      </c>
      <c r="E12" s="177" t="s">
        <v>108</v>
      </c>
      <c r="F12" s="177" t="s">
        <v>116</v>
      </c>
      <c r="G12" s="177" t="s">
        <v>119</v>
      </c>
      <c r="I12" s="4"/>
      <c r="L12" s="333">
        <f t="shared" si="1"/>
        <v>0</v>
      </c>
    </row>
    <row r="13" spans="2:12" ht="15" customHeight="1" x14ac:dyDescent="0.2">
      <c r="B13" s="272">
        <v>9</v>
      </c>
      <c r="C13" s="513" t="str">
        <f>IF(ISBLANK(D13),"Empty",D13)</f>
        <v>Income Qualified (IQW)</v>
      </c>
      <c r="D13" s="639" t="s">
        <v>120</v>
      </c>
      <c r="E13" s="177" t="s">
        <v>108</v>
      </c>
      <c r="F13" s="177" t="s">
        <v>113</v>
      </c>
      <c r="G13" s="177" t="s">
        <v>103</v>
      </c>
      <c r="I13" s="4"/>
      <c r="L13" s="333">
        <f t="shared" si="1"/>
        <v>0</v>
      </c>
    </row>
    <row r="14" spans="2:12" ht="15" customHeight="1" x14ac:dyDescent="0.2">
      <c r="B14" s="272">
        <v>10</v>
      </c>
      <c r="C14" s="513" t="str">
        <f>IF(ISBLANK(D14),"Empty",D14)</f>
        <v>Discont'd Ele Veh (EVE)</v>
      </c>
      <c r="D14" s="639" t="s">
        <v>121</v>
      </c>
      <c r="E14" s="177" t="s">
        <v>122</v>
      </c>
      <c r="F14" s="177" t="s">
        <v>123</v>
      </c>
      <c r="G14" s="177" t="s">
        <v>100</v>
      </c>
      <c r="I14" s="4"/>
      <c r="L14" s="333">
        <f>IF(C14="Empty",0,IF(OR(ISBLANK(E14),ISBLANK(F14),ISBLANK(G14)),1,0))</f>
        <v>0</v>
      </c>
    </row>
    <row r="15" spans="2:12" ht="15" customHeight="1" x14ac:dyDescent="0.2">
      <c r="B15" s="272">
        <v>11</v>
      </c>
      <c r="C15" s="513" t="str">
        <f t="shared" si="0"/>
        <v>Discont'd Comm Solutions</v>
      </c>
      <c r="D15" s="639" t="s">
        <v>124</v>
      </c>
      <c r="E15" s="177" t="s">
        <v>98</v>
      </c>
      <c r="F15" s="177" t="s">
        <v>102</v>
      </c>
      <c r="G15" s="177" t="s">
        <v>103</v>
      </c>
      <c r="I15" s="4"/>
      <c r="L15" s="333">
        <f t="shared" si="1"/>
        <v>0</v>
      </c>
    </row>
    <row r="16" spans="2:12" ht="15" customHeight="1" x14ac:dyDescent="0.2">
      <c r="B16" s="272">
        <v>12</v>
      </c>
      <c r="C16" s="513" t="str">
        <f t="shared" si="0"/>
        <v>Discont'd Res Appliance</v>
      </c>
      <c r="D16" s="639" t="s">
        <v>125</v>
      </c>
      <c r="E16" s="177" t="s">
        <v>108</v>
      </c>
      <c r="F16" s="177" t="s">
        <v>109</v>
      </c>
      <c r="G16" s="177" t="s">
        <v>126</v>
      </c>
      <c r="I16" s="4"/>
      <c r="L16" s="333">
        <f t="shared" si="1"/>
        <v>0</v>
      </c>
    </row>
    <row r="17" spans="2:12" ht="15" customHeight="1" x14ac:dyDescent="0.2">
      <c r="B17" s="272">
        <v>13</v>
      </c>
      <c r="C17" s="513" t="str">
        <f t="shared" si="0"/>
        <v>Discont'd Res Solutions</v>
      </c>
      <c r="D17" s="639" t="s">
        <v>127</v>
      </c>
      <c r="E17" s="177" t="s">
        <v>108</v>
      </c>
      <c r="F17" s="177" t="s">
        <v>106</v>
      </c>
      <c r="G17" s="177" t="s">
        <v>103</v>
      </c>
      <c r="I17" s="4"/>
      <c r="L17" s="333">
        <f t="shared" si="1"/>
        <v>0</v>
      </c>
    </row>
    <row r="18" spans="2:12" ht="15" customHeight="1" x14ac:dyDescent="0.2">
      <c r="B18" s="272">
        <v>14</v>
      </c>
      <c r="C18" s="513" t="str">
        <f>IF(ISBLANK(D18),"Empty",D18)</f>
        <v>Discont'd R ES Appliance</v>
      </c>
      <c r="D18" s="639" t="s">
        <v>128</v>
      </c>
      <c r="E18" s="177" t="s">
        <v>108</v>
      </c>
      <c r="F18" s="177" t="s">
        <v>109</v>
      </c>
      <c r="G18" s="177" t="s">
        <v>110</v>
      </c>
      <c r="I18" s="4"/>
      <c r="L18" s="333">
        <f>IF(C18="Empty",0,IF(OR(ISBLANK(E18),ISBLANK(F18),ISBLANK(G18)),1,0))</f>
        <v>0</v>
      </c>
    </row>
    <row r="19" spans="2:12" ht="15" customHeight="1" x14ac:dyDescent="0.2">
      <c r="B19" s="272">
        <v>15</v>
      </c>
      <c r="C19" s="513" t="str">
        <f>IF(ISBLANK(D19),"Empty",D19)</f>
        <v>Discont'd ARWX (AWIP)</v>
      </c>
      <c r="D19" s="639" t="s">
        <v>129</v>
      </c>
      <c r="E19" s="177" t="s">
        <v>108</v>
      </c>
      <c r="F19" s="177" t="s">
        <v>113</v>
      </c>
      <c r="G19" s="177" t="s">
        <v>117</v>
      </c>
      <c r="I19" s="4"/>
      <c r="L19" s="333">
        <f>IF(C19="Empty",0,IF(OR(ISBLANK(E19),ISBLANK(F19),ISBLANK(G19)),1,0))</f>
        <v>0</v>
      </c>
    </row>
    <row r="20" spans="2:12" ht="15" customHeight="1" x14ac:dyDescent="0.2">
      <c r="B20" s="272">
        <v>16</v>
      </c>
      <c r="C20" s="513" t="str">
        <f t="shared" si="0"/>
        <v>New Construction (NCP)</v>
      </c>
      <c r="D20" s="639" t="s">
        <v>130</v>
      </c>
      <c r="E20" s="177" t="s">
        <v>131</v>
      </c>
      <c r="F20" s="177" t="s">
        <v>106</v>
      </c>
      <c r="G20" s="177" t="s">
        <v>103</v>
      </c>
      <c r="I20" s="4"/>
      <c r="L20" s="333">
        <f t="shared" si="1"/>
        <v>0</v>
      </c>
    </row>
    <row r="21" spans="2:12" ht="15" customHeight="1" x14ac:dyDescent="0.2">
      <c r="B21" s="272">
        <v>17</v>
      </c>
      <c r="C21" s="513" t="str">
        <f t="shared" si="0"/>
        <v>Strat Energy Mgmt (SEMP)</v>
      </c>
      <c r="D21" s="639" t="s">
        <v>132</v>
      </c>
      <c r="E21" s="177" t="s">
        <v>122</v>
      </c>
      <c r="F21" s="177" t="s">
        <v>116</v>
      </c>
      <c r="G21" s="177" t="s">
        <v>100</v>
      </c>
      <c r="I21" s="4"/>
      <c r="L21" s="333">
        <f t="shared" si="1"/>
        <v>0</v>
      </c>
    </row>
    <row r="22" spans="2:12" ht="15" customHeight="1" x14ac:dyDescent="0.2">
      <c r="B22" s="272">
        <v>18</v>
      </c>
      <c r="C22" s="513" t="str">
        <f t="shared" si="0"/>
        <v>Bring Y/Otstat (BYOT)</v>
      </c>
      <c r="D22" s="639" t="s">
        <v>133</v>
      </c>
      <c r="E22" s="177" t="s">
        <v>122</v>
      </c>
      <c r="F22" s="177" t="s">
        <v>99</v>
      </c>
      <c r="G22" s="177" t="s">
        <v>100</v>
      </c>
      <c r="I22" s="4"/>
      <c r="L22" s="333">
        <f t="shared" si="1"/>
        <v>0</v>
      </c>
    </row>
    <row r="23" spans="2:12" ht="15" customHeight="1" x14ac:dyDescent="0.2">
      <c r="B23" s="272">
        <v>19</v>
      </c>
      <c r="C23" s="513" t="str">
        <f t="shared" si="0"/>
        <v>Empty</v>
      </c>
      <c r="D23" s="639"/>
      <c r="E23" s="177"/>
      <c r="F23" s="177"/>
      <c r="G23" s="177"/>
      <c r="I23" s="4"/>
      <c r="L23" s="333">
        <f t="shared" si="1"/>
        <v>0</v>
      </c>
    </row>
    <row r="24" spans="2:12" ht="15" customHeight="1" x14ac:dyDescent="0.2">
      <c r="B24" s="272">
        <v>20</v>
      </c>
      <c r="C24" s="513" t="str">
        <f t="shared" si="0"/>
        <v>Empty</v>
      </c>
      <c r="D24" s="639"/>
      <c r="E24" s="177"/>
      <c r="F24" s="177"/>
      <c r="G24" s="177"/>
      <c r="I24" s="4"/>
      <c r="L24" s="333">
        <f t="shared" si="1"/>
        <v>0</v>
      </c>
    </row>
    <row r="25" spans="2:12" ht="15" customHeight="1" x14ac:dyDescent="0.2">
      <c r="B25" s="5"/>
      <c r="C25" s="6"/>
      <c r="D25" s="6"/>
      <c r="E25" s="6"/>
      <c r="F25" s="6"/>
      <c r="G25" s="6"/>
      <c r="H25" s="6"/>
      <c r="I25" s="7"/>
      <c r="L25" s="369">
        <f>SUM(L5:L24)</f>
        <v>0</v>
      </c>
    </row>
    <row r="26" spans="2:12" ht="15" customHeight="1" x14ac:dyDescent="0.2"/>
    <row r="27" spans="2:12" ht="15" customHeight="1" x14ac:dyDescent="0.2"/>
    <row r="28" spans="2:12" ht="15" customHeight="1" x14ac:dyDescent="0.2"/>
    <row r="29" spans="2:12" ht="15" customHeight="1" x14ac:dyDescent="0.2"/>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sheetData>
  <sheetProtection algorithmName="SHA-512" hashValue="YZ3OZWwGCtfH6c6t6+CyVoVc2L4/XKLM3fVU//mBVNQ0rsMpVINeD7tiL/IAuXlJWEV8Kanc4zdBXokK3DvcpA==" saltValue="jqWsxuRoLKlHqLWUSLg/Wg==" spinCount="100000" sheet="1" objects="1" scenarios="1" formatRows="0"/>
  <conditionalFormatting sqref="E5:G24">
    <cfRule type="expression" dxfId="92" priority="1">
      <formula>$B5&gt;Programs</formula>
    </cfRule>
  </conditionalFormatting>
  <dataValidations count="4">
    <dataValidation type="textLength" allowBlank="1" showInputMessage="1" showErrorMessage="1" error="Shorten length of program name to 25 characters or less." sqref="D5:D24" xr:uid="{00000000-0002-0000-0300-000000000000}">
      <formula1>0</formula1>
      <formula2>25</formula2>
    </dataValidation>
    <dataValidation type="list" allowBlank="1" showInputMessage="1" showErrorMessage="1" sqref="E5:E24" xr:uid="{00000000-0002-0000-0300-000001000000}">
      <formula1>IF($C5="Empty",Prg_Empty,Sector_Type)</formula1>
    </dataValidation>
    <dataValidation type="list" allowBlank="1" showInputMessage="1" showErrorMessage="1" sqref="F5:F24" xr:uid="{00000000-0002-0000-0300-000002000000}">
      <formula1>IF($C5="Empty",Prg_Empty,Prg_Type)</formula1>
    </dataValidation>
    <dataValidation type="list" allowBlank="1" showInputMessage="1" showErrorMessage="1" sqref="G5:G24" xr:uid="{00000000-0002-0000-0300-000003000000}">
      <formula1>IF($C5="Empty",Prg_Empty,D_Channel)</formula1>
    </dataValidation>
  </dataValidations>
  <pageMargins left="0.25" right="0.25" top="0.25" bottom="0.25" header="0.3" footer="0.3"/>
  <pageSetup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23"/>
  <sheetViews>
    <sheetView showGridLines="0" zoomScale="96" zoomScaleNormal="96" workbookViewId="0"/>
  </sheetViews>
  <sheetFormatPr defaultColWidth="9.140625" defaultRowHeight="12.75" x14ac:dyDescent="0.2"/>
  <cols>
    <col min="1" max="1" width="1" style="2" customWidth="1"/>
    <col min="2" max="2" width="9.5703125" style="2" customWidth="1"/>
    <col min="3" max="3" width="1" style="2" customWidth="1"/>
    <col min="4" max="4" width="12.140625" style="2" customWidth="1"/>
    <col min="5" max="5" width="11" style="2" customWidth="1"/>
    <col min="6" max="6" width="8.140625" style="2" customWidth="1"/>
    <col min="7" max="7" width="11" style="2" customWidth="1"/>
    <col min="8" max="8" width="8.140625" style="2" customWidth="1"/>
    <col min="9" max="9" width="1" style="2" customWidth="1"/>
    <col min="10" max="10" width="12.140625" style="2" customWidth="1"/>
    <col min="11" max="11" width="11" style="2" customWidth="1"/>
    <col min="12" max="12" width="7.85546875" style="2" customWidth="1"/>
    <col min="13" max="13" width="11" style="2" customWidth="1"/>
    <col min="14" max="14" width="7.85546875" style="2" customWidth="1"/>
    <col min="15" max="15" width="1.140625" style="2" customWidth="1"/>
    <col min="16" max="16384" width="9.140625" style="2"/>
  </cols>
  <sheetData>
    <row r="1" spans="1:15" ht="5.0999999999999996" customHeight="1" thickBot="1" x14ac:dyDescent="0.25"/>
    <row r="2" spans="1:15" ht="38.25" customHeight="1" thickBot="1" x14ac:dyDescent="0.25">
      <c r="B2" s="671" t="s">
        <v>792</v>
      </c>
      <c r="C2" s="671"/>
      <c r="D2" s="671"/>
      <c r="E2" s="671"/>
      <c r="F2" s="671"/>
      <c r="G2" s="671"/>
      <c r="H2" s="671"/>
      <c r="I2" s="671"/>
      <c r="J2" s="671"/>
      <c r="K2" s="671"/>
      <c r="L2" s="671"/>
      <c r="M2" s="671"/>
      <c r="N2" s="671"/>
    </row>
    <row r="3" spans="1:15" ht="4.5" customHeight="1" thickBot="1" x14ac:dyDescent="0.25"/>
    <row r="4" spans="1:15" ht="24" thickBot="1" x14ac:dyDescent="0.4">
      <c r="B4" s="751" t="s">
        <v>69</v>
      </c>
      <c r="C4" s="752"/>
      <c r="D4" s="752"/>
      <c r="E4" s="752"/>
      <c r="F4" s="752"/>
      <c r="G4" s="752"/>
      <c r="H4" s="752"/>
      <c r="I4" s="752"/>
      <c r="J4" s="752"/>
      <c r="K4" s="752"/>
      <c r="L4" s="752"/>
      <c r="M4" s="752"/>
      <c r="N4" s="753"/>
    </row>
    <row r="5" spans="1:15" ht="4.5" customHeight="1" thickBot="1" x14ac:dyDescent="0.25">
      <c r="B5" s="152"/>
      <c r="N5" s="153"/>
    </row>
    <row r="6" spans="1:15" ht="13.5" customHeight="1" thickBot="1" x14ac:dyDescent="0.25">
      <c r="A6" s="489"/>
      <c r="B6" s="771" t="s">
        <v>82</v>
      </c>
      <c r="C6" s="134"/>
      <c r="D6" s="768" t="s">
        <v>821</v>
      </c>
      <c r="E6" s="769"/>
      <c r="F6" s="769"/>
      <c r="G6" s="769"/>
      <c r="H6" s="770"/>
      <c r="I6" s="489"/>
      <c r="J6" s="768" t="s">
        <v>784</v>
      </c>
      <c r="K6" s="769"/>
      <c r="L6" s="769"/>
      <c r="M6" s="769"/>
      <c r="N6" s="770"/>
      <c r="O6" s="489"/>
    </row>
    <row r="7" spans="1:15" ht="11.25" customHeight="1" x14ac:dyDescent="0.2">
      <c r="A7" s="489"/>
      <c r="B7" s="772"/>
      <c r="C7" s="489"/>
      <c r="D7" s="773" t="s">
        <v>822</v>
      </c>
      <c r="E7" s="775" t="s">
        <v>542</v>
      </c>
      <c r="F7" s="776"/>
      <c r="G7" s="777" t="s">
        <v>543</v>
      </c>
      <c r="H7" s="776"/>
      <c r="I7" s="489"/>
      <c r="J7" s="773" t="s">
        <v>823</v>
      </c>
      <c r="K7" s="775" t="s">
        <v>544</v>
      </c>
      <c r="L7" s="776"/>
      <c r="M7" s="777" t="s">
        <v>545</v>
      </c>
      <c r="N7" s="776"/>
      <c r="O7" s="489"/>
    </row>
    <row r="8" spans="1:15" ht="54.75" customHeight="1" x14ac:dyDescent="0.2">
      <c r="A8" s="489"/>
      <c r="B8" s="772"/>
      <c r="C8" s="134"/>
      <c r="D8" s="774"/>
      <c r="E8" s="109" t="s">
        <v>824</v>
      </c>
      <c r="F8" s="45" t="s">
        <v>825</v>
      </c>
      <c r="G8" s="572" t="s">
        <v>826</v>
      </c>
      <c r="H8" s="45" t="s">
        <v>825</v>
      </c>
      <c r="I8" s="489"/>
      <c r="J8" s="774"/>
      <c r="K8" s="109" t="s">
        <v>827</v>
      </c>
      <c r="L8" s="45" t="s">
        <v>828</v>
      </c>
      <c r="M8" s="572" t="s">
        <v>829</v>
      </c>
      <c r="N8" s="45" t="s">
        <v>828</v>
      </c>
      <c r="O8" s="489"/>
    </row>
    <row r="9" spans="1:15" ht="12.75" customHeight="1" x14ac:dyDescent="0.2">
      <c r="A9" s="489"/>
      <c r="B9" s="772"/>
      <c r="C9" s="489"/>
      <c r="D9" s="165" t="s">
        <v>443</v>
      </c>
      <c r="E9" s="166" t="s">
        <v>443</v>
      </c>
      <c r="F9" s="167" t="s">
        <v>830</v>
      </c>
      <c r="G9" s="168" t="s">
        <v>443</v>
      </c>
      <c r="H9" s="167" t="s">
        <v>831</v>
      </c>
      <c r="I9" s="573"/>
      <c r="J9" s="165" t="s">
        <v>832</v>
      </c>
      <c r="K9" s="166" t="str">
        <f>J9</f>
        <v>(MWh)</v>
      </c>
      <c r="L9" s="167" t="s">
        <v>833</v>
      </c>
      <c r="M9" s="168" t="str">
        <f>J9</f>
        <v>(MWh)</v>
      </c>
      <c r="N9" s="167" t="s">
        <v>834</v>
      </c>
      <c r="O9" s="489"/>
    </row>
    <row r="10" spans="1:15" ht="12.75" customHeight="1" x14ac:dyDescent="0.2">
      <c r="A10" s="489"/>
      <c r="B10" s="574">
        <f>Tables!B44</f>
        <v>2021</v>
      </c>
      <c r="C10" s="489"/>
      <c r="D10" s="160">
        <f>Tables!C44/1000</f>
        <v>468113.28899999999</v>
      </c>
      <c r="E10" s="269">
        <f>Tables!E44/1000</f>
        <v>11526.13638</v>
      </c>
      <c r="F10" s="186">
        <f>E10/D10</f>
        <v>2.4622536148509129E-2</v>
      </c>
      <c r="G10" s="575">
        <f>Tables!F44/1000</f>
        <v>9930.2885100000021</v>
      </c>
      <c r="H10" s="186">
        <f>G10/D10</f>
        <v>2.1213430046417681E-2</v>
      </c>
      <c r="I10" s="489"/>
      <c r="J10" s="162">
        <f>Tables!D44</f>
        <v>3522775.1430000002</v>
      </c>
      <c r="K10" s="158">
        <f>Tables!G44</f>
        <v>34505.559000000001</v>
      </c>
      <c r="L10" s="386">
        <f>K10/J10</f>
        <v>9.7949933218317818E-3</v>
      </c>
      <c r="M10" s="576">
        <f>Tables!H44</f>
        <v>37339.31</v>
      </c>
      <c r="N10" s="386">
        <f>M10/J10</f>
        <v>1.05994020294471E-2</v>
      </c>
      <c r="O10" s="489"/>
    </row>
    <row r="11" spans="1:15" ht="12.75" customHeight="1" x14ac:dyDescent="0.2">
      <c r="A11" s="489"/>
      <c r="B11" s="574">
        <f>Tables!B45</f>
        <v>2022</v>
      </c>
      <c r="C11" s="489"/>
      <c r="D11" s="160">
        <f>Tables!C45/1000</f>
        <v>396826.43099999998</v>
      </c>
      <c r="E11" s="269">
        <f>Tables!E45/1000</f>
        <v>11667.2</v>
      </c>
      <c r="F11" s="186">
        <f t="shared" ref="F11:F14" si="0">E11/D11</f>
        <v>2.9401267376769066E-2</v>
      </c>
      <c r="G11" s="575">
        <f>Tables!F45/1000</f>
        <v>10157.434340000002</v>
      </c>
      <c r="H11" s="186">
        <f t="shared" ref="H11:H14" si="1">G11/D11</f>
        <v>2.5596667828812043E-2</v>
      </c>
      <c r="I11" s="489"/>
      <c r="J11" s="162">
        <f>Tables!D45</f>
        <v>3680403.3879999998</v>
      </c>
      <c r="K11" s="158">
        <f>Tables!G45</f>
        <v>34505.559000000001</v>
      </c>
      <c r="L11" s="386">
        <f t="shared" ref="L11:L14" si="2">K11/J11</f>
        <v>9.3754828920399862E-3</v>
      </c>
      <c r="M11" s="576">
        <f>Tables!H45</f>
        <v>38163.632644999998</v>
      </c>
      <c r="N11" s="386">
        <f t="shared" ref="N11:N14" si="3">M11/J11</f>
        <v>1.0369415692158362E-2</v>
      </c>
      <c r="O11" s="489"/>
    </row>
    <row r="12" spans="1:15" ht="12.75" customHeight="1" x14ac:dyDescent="0.2">
      <c r="A12" s="489"/>
      <c r="B12" s="574">
        <f>Tables!B46</f>
        <v>2023</v>
      </c>
      <c r="C12" s="489"/>
      <c r="D12" s="160">
        <f>Tables!C46/1000</f>
        <v>323835.31599999999</v>
      </c>
      <c r="E12" s="269">
        <f>Tables!E46/1000</f>
        <v>11667.2</v>
      </c>
      <c r="F12" s="186">
        <f t="shared" si="0"/>
        <v>3.6028189093495908E-2</v>
      </c>
      <c r="G12" s="575">
        <f>Tables!F46/1000</f>
        <v>10221.097</v>
      </c>
      <c r="H12" s="186">
        <f t="shared" si="1"/>
        <v>3.1562638461581506E-2</v>
      </c>
      <c r="I12" s="489"/>
      <c r="J12" s="162">
        <f>Tables!D46</f>
        <v>3548497</v>
      </c>
      <c r="K12" s="158">
        <f>Tables!G46</f>
        <v>34506</v>
      </c>
      <c r="L12" s="386">
        <f t="shared" si="2"/>
        <v>9.7241169993943916E-3</v>
      </c>
      <c r="M12" s="576">
        <f>Tables!H46</f>
        <v>38666.748</v>
      </c>
      <c r="N12" s="386">
        <f t="shared" si="3"/>
        <v>1.0896655119054631E-2</v>
      </c>
      <c r="O12" s="489"/>
    </row>
    <row r="13" spans="1:15" ht="12.75" customHeight="1" x14ac:dyDescent="0.2">
      <c r="A13" s="489"/>
      <c r="B13" s="574">
        <f>Tables!B47</f>
        <v>2024</v>
      </c>
      <c r="C13" s="489"/>
      <c r="D13" s="160">
        <f>Tables!C47/1000</f>
        <v>368846.47700000001</v>
      </c>
      <c r="E13" s="269">
        <f>Tables!E47/1000</f>
        <v>13903.31</v>
      </c>
      <c r="F13" s="186">
        <f t="shared" si="0"/>
        <v>3.7694029540642729E-2</v>
      </c>
      <c r="G13" s="575">
        <f>Tables!F47/1000</f>
        <v>12175.436</v>
      </c>
      <c r="H13" s="186">
        <f t="shared" si="1"/>
        <v>3.3009495167280668E-2</v>
      </c>
      <c r="I13" s="489"/>
      <c r="J13" s="162">
        <f>Tables!D47</f>
        <v>3521026</v>
      </c>
      <c r="K13" s="158">
        <f>Tables!G47</f>
        <v>37654</v>
      </c>
      <c r="L13" s="386">
        <f t="shared" si="2"/>
        <v>1.0694042020706465E-2</v>
      </c>
      <c r="M13" s="576">
        <f>Tables!H47</f>
        <v>41069</v>
      </c>
      <c r="N13" s="386">
        <f t="shared" si="3"/>
        <v>1.1663929775014441E-2</v>
      </c>
      <c r="O13" s="489"/>
    </row>
    <row r="14" spans="1:15" ht="13.5" thickBot="1" x14ac:dyDescent="0.25">
      <c r="A14" s="489"/>
      <c r="B14" s="574">
        <f>Tables!B48</f>
        <v>2025</v>
      </c>
      <c r="C14" s="571"/>
      <c r="D14" s="161">
        <f>Tables!C48/1000</f>
        <v>356715.52600000001</v>
      </c>
      <c r="E14" s="270">
        <f>Tables!E48/1000</f>
        <v>14305.564</v>
      </c>
      <c r="F14" s="187">
        <f t="shared" si="0"/>
        <v>4.0103564205388693E-2</v>
      </c>
      <c r="G14" s="271">
        <f>Tables!F48/1000</f>
        <v>13219.4308</v>
      </c>
      <c r="H14" s="187">
        <f t="shared" si="1"/>
        <v>3.7058748040027838E-2</v>
      </c>
      <c r="I14" s="571"/>
      <c r="J14" s="163">
        <f>Tables!D48</f>
        <v>3496150</v>
      </c>
      <c r="K14" s="159">
        <f>Tables!G48</f>
        <v>38312.14</v>
      </c>
      <c r="L14" s="387">
        <f t="shared" si="2"/>
        <v>1.0958379932211146E-2</v>
      </c>
      <c r="M14" s="164">
        <f>Tables!H48</f>
        <v>44577.760000000002</v>
      </c>
      <c r="N14" s="387">
        <f t="shared" si="3"/>
        <v>1.2750528438425125E-2</v>
      </c>
      <c r="O14" s="489"/>
    </row>
    <row r="15" spans="1:15" x14ac:dyDescent="0.2">
      <c r="B15" s="489"/>
      <c r="C15" s="489"/>
      <c r="D15" s="489"/>
      <c r="E15" s="489"/>
      <c r="F15" s="489"/>
      <c r="G15" s="489"/>
      <c r="H15" s="489"/>
      <c r="I15" s="489"/>
      <c r="J15" s="489"/>
      <c r="K15" s="489"/>
      <c r="L15" s="489"/>
      <c r="M15" s="489"/>
      <c r="N15" s="489"/>
      <c r="O15" s="489"/>
    </row>
    <row r="16" spans="1:15" x14ac:dyDescent="0.2">
      <c r="B16" s="489"/>
      <c r="C16" s="489"/>
      <c r="D16" s="489"/>
      <c r="E16" s="489"/>
      <c r="F16" s="489"/>
      <c r="G16" s="489"/>
      <c r="H16" s="489"/>
      <c r="I16" s="489"/>
      <c r="J16" s="489"/>
      <c r="K16" s="489"/>
      <c r="L16" s="489"/>
      <c r="M16" s="489"/>
      <c r="N16" s="489"/>
      <c r="O16" s="489"/>
    </row>
    <row r="17" spans="2:15" x14ac:dyDescent="0.2">
      <c r="B17" s="489"/>
      <c r="C17" s="489"/>
      <c r="D17" s="489"/>
      <c r="E17" s="489"/>
      <c r="F17" s="489"/>
      <c r="G17" s="489"/>
      <c r="H17" s="489"/>
      <c r="I17" s="489"/>
      <c r="J17" s="489"/>
      <c r="K17" s="489"/>
      <c r="L17" s="489"/>
      <c r="M17" s="489"/>
      <c r="N17" s="489"/>
      <c r="O17" s="489"/>
    </row>
    <row r="18" spans="2:15" x14ac:dyDescent="0.2">
      <c r="B18" s="489"/>
      <c r="C18" s="489"/>
      <c r="D18" s="489"/>
      <c r="E18" s="489"/>
      <c r="F18" s="489"/>
      <c r="G18" s="489"/>
      <c r="H18" s="489"/>
      <c r="I18" s="489"/>
      <c r="J18" s="489"/>
      <c r="K18" s="489"/>
      <c r="L18" s="489"/>
      <c r="M18" s="489"/>
      <c r="N18" s="489"/>
      <c r="O18" s="489"/>
    </row>
    <row r="19" spans="2:15" x14ac:dyDescent="0.2">
      <c r="B19" s="489"/>
      <c r="C19" s="489"/>
      <c r="D19" s="489"/>
      <c r="E19" s="489"/>
      <c r="F19" s="489"/>
      <c r="G19" s="489"/>
      <c r="H19" s="489"/>
      <c r="I19" s="489"/>
      <c r="J19" s="489"/>
      <c r="K19" s="489"/>
      <c r="L19" s="489"/>
      <c r="M19" s="489"/>
      <c r="N19" s="489"/>
      <c r="O19" s="489"/>
    </row>
    <row r="20" spans="2:15" x14ac:dyDescent="0.2">
      <c r="B20" s="489"/>
      <c r="C20" s="489"/>
      <c r="D20" s="489"/>
      <c r="E20" s="489"/>
      <c r="F20" s="489"/>
      <c r="G20" s="489"/>
      <c r="H20" s="489"/>
      <c r="I20" s="489"/>
      <c r="J20" s="489"/>
      <c r="K20" s="489"/>
      <c r="L20" s="489"/>
      <c r="M20" s="489"/>
      <c r="N20" s="489"/>
      <c r="O20" s="489"/>
    </row>
    <row r="21" spans="2:15" x14ac:dyDescent="0.2">
      <c r="B21" s="489"/>
      <c r="C21" s="489"/>
      <c r="D21" s="489"/>
      <c r="E21" s="489"/>
      <c r="F21" s="489"/>
      <c r="G21" s="489"/>
      <c r="H21" s="489"/>
      <c r="I21" s="489"/>
      <c r="J21" s="489"/>
      <c r="K21" s="489"/>
      <c r="L21" s="489"/>
      <c r="M21" s="489"/>
      <c r="N21" s="489"/>
      <c r="O21" s="489"/>
    </row>
    <row r="22" spans="2:15" x14ac:dyDescent="0.2">
      <c r="B22" s="489"/>
      <c r="C22" s="489"/>
      <c r="D22" s="489"/>
      <c r="E22" s="489"/>
      <c r="F22" s="489"/>
      <c r="G22" s="489"/>
      <c r="H22" s="489"/>
      <c r="I22" s="489"/>
      <c r="J22" s="489"/>
      <c r="K22" s="489"/>
      <c r="L22" s="489"/>
      <c r="M22" s="489"/>
      <c r="N22" s="489"/>
      <c r="O22" s="489"/>
    </row>
    <row r="23" spans="2:15" x14ac:dyDescent="0.2">
      <c r="B23" s="489"/>
      <c r="C23" s="489"/>
      <c r="D23" s="489"/>
      <c r="E23" s="489"/>
      <c r="F23" s="489"/>
      <c r="G23" s="489"/>
      <c r="H23" s="489"/>
      <c r="I23" s="489"/>
      <c r="J23" s="489"/>
      <c r="K23" s="489"/>
      <c r="L23" s="489"/>
      <c r="M23" s="489"/>
      <c r="N23" s="489"/>
      <c r="O23" s="489"/>
    </row>
  </sheetData>
  <sheetProtection algorithmName="SHA-512" hashValue="nceWbhQYBC0mWy9Vmt36oAaualVX0xobb7TC3+jOhX/4fdPQUxwtTlr5HFwRpseWzMOK9dWHs9agOB4VBjeKgA==" saltValue="TReg5UnO577BGze4sm6+MQ==" spinCount="100000" sheet="1" objects="1" scenarios="1" formatColumns="0" formatRows="0"/>
  <mergeCells count="11">
    <mergeCell ref="B2:N2"/>
    <mergeCell ref="D6:H6"/>
    <mergeCell ref="J6:N6"/>
    <mergeCell ref="B4:N4"/>
    <mergeCell ref="B6:B9"/>
    <mergeCell ref="D7:D8"/>
    <mergeCell ref="E7:F7"/>
    <mergeCell ref="G7:H7"/>
    <mergeCell ref="J7:J8"/>
    <mergeCell ref="K7:L7"/>
    <mergeCell ref="M7:N7"/>
  </mergeCells>
  <pageMargins left="0.5" right="0.5" top="0.75" bottom="0.7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12"/>
  <sheetViews>
    <sheetView showGridLines="0" zoomScale="90" zoomScaleNormal="90" workbookViewId="0">
      <selection activeCell="B4" sqref="B4:D4"/>
    </sheetView>
  </sheetViews>
  <sheetFormatPr defaultColWidth="9.140625" defaultRowHeight="12.75" x14ac:dyDescent="0.2"/>
  <cols>
    <col min="1" max="1" width="1" style="2" customWidth="1"/>
    <col min="2" max="2" width="17.5703125" style="2" customWidth="1"/>
    <col min="3" max="4" width="12" style="2" bestFit="1" customWidth="1"/>
    <col min="5" max="5" width="5.85546875" style="2" customWidth="1"/>
    <col min="6" max="6" width="11.42578125" style="2" customWidth="1"/>
    <col min="7" max="7" width="11" style="2" customWidth="1"/>
    <col min="8" max="8" width="5.85546875" style="2" customWidth="1"/>
    <col min="9" max="10" width="11.5703125" style="2" customWidth="1"/>
    <col min="11" max="11" width="5.85546875" style="2" customWidth="1"/>
    <col min="12" max="13" width="10.42578125" style="2" bestFit="1" customWidth="1"/>
    <col min="14" max="14" width="5.85546875" style="2" customWidth="1"/>
    <col min="15" max="15" width="1.140625" style="2" customWidth="1"/>
    <col min="16" max="16384" width="9.140625" style="2"/>
  </cols>
  <sheetData>
    <row r="1" spans="1:15" ht="5.0999999999999996" customHeight="1" thickBot="1" x14ac:dyDescent="0.25"/>
    <row r="2" spans="1:15" ht="38.25" customHeight="1" thickBot="1" x14ac:dyDescent="0.25">
      <c r="B2" s="671" t="s">
        <v>835</v>
      </c>
      <c r="C2" s="671"/>
      <c r="D2" s="671"/>
      <c r="E2" s="671"/>
      <c r="F2" s="671"/>
      <c r="G2" s="671"/>
      <c r="H2" s="671"/>
      <c r="I2" s="671"/>
      <c r="J2" s="671"/>
      <c r="K2" s="671"/>
      <c r="L2" s="671"/>
      <c r="M2" s="671"/>
      <c r="N2" s="671"/>
    </row>
    <row r="3" spans="1:15" ht="4.5" customHeight="1" thickBot="1" x14ac:dyDescent="0.25"/>
    <row r="4" spans="1:15" ht="20.25" customHeight="1" thickBot="1" x14ac:dyDescent="0.25">
      <c r="B4" s="778" t="s">
        <v>132</v>
      </c>
      <c r="C4" s="779"/>
      <c r="D4" s="780"/>
      <c r="E4" s="185" t="s">
        <v>836</v>
      </c>
    </row>
    <row r="5" spans="1:15" ht="15.75" customHeight="1" thickBot="1" x14ac:dyDescent="0.25"/>
    <row r="6" spans="1:15" ht="24" thickBot="1" x14ac:dyDescent="0.4">
      <c r="B6" s="751" t="str">
        <f>B4</f>
        <v>Strat Energy Mgmt (SEMP)</v>
      </c>
      <c r="C6" s="752"/>
      <c r="D6" s="752"/>
      <c r="E6" s="752"/>
      <c r="F6" s="752"/>
      <c r="G6" s="752"/>
      <c r="H6" s="752"/>
      <c r="I6" s="752"/>
      <c r="J6" s="752"/>
      <c r="K6" s="752"/>
      <c r="L6" s="752"/>
      <c r="M6" s="752"/>
      <c r="N6" s="753"/>
    </row>
    <row r="7" spans="1:15" ht="4.5" customHeight="1" x14ac:dyDescent="0.2">
      <c r="B7" s="184"/>
    </row>
    <row r="8" spans="1:15" ht="14.25" customHeight="1" x14ac:dyDescent="0.2">
      <c r="B8" s="577"/>
      <c r="C8" s="781" t="s">
        <v>837</v>
      </c>
      <c r="D8" s="781"/>
      <c r="E8" s="781"/>
      <c r="F8" s="781" t="str">
        <f>"Energy Savings ("&amp;Titles!F13&amp;")"</f>
        <v>Energy Savings (kWh)</v>
      </c>
      <c r="G8" s="781"/>
      <c r="H8" s="781"/>
      <c r="I8" s="781" t="str">
        <f>"Demand Savings ("&amp;Titles!F15&amp;")"</f>
        <v>Demand Savings (kW)</v>
      </c>
      <c r="J8" s="781"/>
      <c r="K8" s="781"/>
      <c r="L8" s="782" t="s">
        <v>202</v>
      </c>
      <c r="M8" s="783"/>
      <c r="N8" s="784"/>
    </row>
    <row r="9" spans="1:15" ht="17.25" customHeight="1" x14ac:dyDescent="0.2">
      <c r="A9" s="489"/>
      <c r="B9" s="578" t="s">
        <v>609</v>
      </c>
      <c r="C9" s="578" t="s">
        <v>542</v>
      </c>
      <c r="D9" s="578" t="s">
        <v>543</v>
      </c>
      <c r="E9" s="578" t="s">
        <v>838</v>
      </c>
      <c r="F9" s="578" t="s">
        <v>544</v>
      </c>
      <c r="G9" s="578" t="s">
        <v>545</v>
      </c>
      <c r="H9" s="578" t="s">
        <v>838</v>
      </c>
      <c r="I9" s="578" t="s">
        <v>544</v>
      </c>
      <c r="J9" s="578" t="s">
        <v>545</v>
      </c>
      <c r="K9" s="578" t="s">
        <v>838</v>
      </c>
      <c r="L9" s="578" t="s">
        <v>544</v>
      </c>
      <c r="M9" s="578" t="s">
        <v>543</v>
      </c>
      <c r="N9" s="578" t="s">
        <v>838</v>
      </c>
      <c r="O9" s="489"/>
    </row>
    <row r="10" spans="1:15" ht="20.100000000000001" customHeight="1" x14ac:dyDescent="0.2">
      <c r="B10" s="579" t="str">
        <f>"Program Year "&amp;Titles!F2-2</f>
        <v>Program Year 2023</v>
      </c>
      <c r="C10" s="579">
        <f>VLOOKUP($B$4,Data!$B$55:$R$74,2,FALSE)</f>
        <v>0</v>
      </c>
      <c r="D10" s="579">
        <f>VLOOKUP($B$4,Data!$B$55:$R$74,3,FALSE)</f>
        <v>0</v>
      </c>
      <c r="E10" s="580" t="str">
        <f>IF(ISERROR(D10/C10),"-",D10/C10)</f>
        <v>-</v>
      </c>
      <c r="F10" s="581">
        <f>VLOOKUP($B$4,Data!$B$55:$R$74,6,FALSE)</f>
        <v>0</v>
      </c>
      <c r="G10" s="581">
        <f>VLOOKUP($B$4,Data!$B$55:$R$74,7,FALSE)</f>
        <v>0</v>
      </c>
      <c r="H10" s="580" t="str">
        <f>IF(ISERROR(G10/F10),"-",G10/F10)</f>
        <v>-</v>
      </c>
      <c r="I10" s="581">
        <f>VLOOKUP($B$4,Data!$B$55:$R$74,10,FALSE)</f>
        <v>0</v>
      </c>
      <c r="J10" s="581">
        <f>VLOOKUP($B$4,Data!$B$55:$R$74,11,FALSE)</f>
        <v>0</v>
      </c>
      <c r="K10" s="580" t="str">
        <f>IF(ISERROR(J10/I10),"-",J10/I10)</f>
        <v>-</v>
      </c>
      <c r="L10" s="581">
        <f>VLOOKUP($B$4,Data!$B$55:$R$74,14,FALSE)</f>
        <v>0</v>
      </c>
      <c r="M10" s="581">
        <f>VLOOKUP($B$4,Data!$B$55:$R$74,15,FALSE)</f>
        <v>0</v>
      </c>
      <c r="N10" s="580" t="str">
        <f>IF(ISERROR(M10/L10),"-",M10/L10)</f>
        <v>-</v>
      </c>
      <c r="O10" s="489"/>
    </row>
    <row r="11" spans="1:15" ht="20.100000000000001" customHeight="1" x14ac:dyDescent="0.2">
      <c r="B11" s="579" t="str">
        <f>"Program Year "&amp;Titles!F2-1</f>
        <v>Program Year 2024</v>
      </c>
      <c r="C11" s="579">
        <f>VLOOKUP($B$4,Data!$B$55:$R$74,4,FALSE)</f>
        <v>491812</v>
      </c>
      <c r="D11" s="579">
        <f>VLOOKUP($B$4,Data!$B$55:$R$74,5,FALSE)</f>
        <v>510180</v>
      </c>
      <c r="E11" s="580">
        <f>IF(ISERROR(D11/C11),"-",D11/C11)</f>
        <v>1.0373476043691492</v>
      </c>
      <c r="F11" s="581">
        <f>VLOOKUP($B$4,Data!$B$55:$R$74,8,FALSE)</f>
        <v>4385936</v>
      </c>
      <c r="G11" s="581">
        <f>VLOOKUP($B$4,Data!$B$55:$R$74,9,FALSE)</f>
        <v>8555881</v>
      </c>
      <c r="H11" s="580">
        <f>IF(ISERROR(G11/F11),"-",G11/F11)</f>
        <v>1.9507537273685709</v>
      </c>
      <c r="I11" s="581">
        <f>VLOOKUP($B$4,Data!$B$55:$R$74,12,FALSE)</f>
        <v>478</v>
      </c>
      <c r="J11" s="581">
        <f>VLOOKUP($B$4,Data!$B$55:$R$74,13,FALSE)</f>
        <v>1283.5</v>
      </c>
      <c r="K11" s="580">
        <f>IF(ISERROR(J11/I11),"-",J11/I11)</f>
        <v>2.6851464435146442</v>
      </c>
      <c r="L11" s="581">
        <f>VLOOKUP($B$4,Data!$B$55:$R$74,16,FALSE)</f>
        <v>36</v>
      </c>
      <c r="M11" s="581">
        <f>VLOOKUP($B$4,Data!$B$55:$R$74,17,FALSE)</f>
        <v>9</v>
      </c>
      <c r="N11" s="580">
        <f>IF(ISERROR(M11/L11),"-",M11/L11)</f>
        <v>0.25</v>
      </c>
      <c r="O11" s="489"/>
    </row>
    <row r="12" spans="1:15" ht="20.100000000000001" customHeight="1" x14ac:dyDescent="0.2">
      <c r="B12" s="582" t="str">
        <f>"Program Year "&amp;Titles!F2</f>
        <v>Program Year 2025</v>
      </c>
      <c r="C12" s="582">
        <f>VLOOKUP($B$4,Data!$B$4:$N$23,10,FALSE)</f>
        <v>559109</v>
      </c>
      <c r="D12" s="582">
        <f>VLOOKUP($B$4,Data!$B$29:$N$48,10,FALSE)</f>
        <v>574855.58000000007</v>
      </c>
      <c r="E12" s="583">
        <f>IF(ISERROR(D12/C12),"-",D12/C12)</f>
        <v>1.0281637033208195</v>
      </c>
      <c r="F12" s="584">
        <f>VLOOKUP($B$4,Data!$B$4:$N$23,12,FALSE)</f>
        <v>5850291</v>
      </c>
      <c r="G12" s="584">
        <f>VLOOKUP($B$4,Data!$B$29:$N$48,12,FALSE)</f>
        <v>14670946</v>
      </c>
      <c r="H12" s="583">
        <f>IF(ISERROR(G12/F12),"-",G12/F12)</f>
        <v>2.5077292736378411</v>
      </c>
      <c r="I12" s="584">
        <f>VLOOKUP($B$4,Data!$B$4:$N$23,11,FALSE)</f>
        <v>643</v>
      </c>
      <c r="J12" s="584">
        <f>VLOOKUP($B$4,Data!$B$29:$N$48,11,FALSE)</f>
        <v>894.55</v>
      </c>
      <c r="K12" s="583">
        <f>IF(ISERROR(J12/I12),"-",J12/I12)</f>
        <v>1.391213063763608</v>
      </c>
      <c r="L12" s="584">
        <f>VLOOKUP($B$4,Data!$B$4:$N$23,13,FALSE)</f>
        <v>51</v>
      </c>
      <c r="M12" s="584">
        <f>VLOOKUP($B$4,Data!$B$29:$N$48,13,FALSE)</f>
        <v>17</v>
      </c>
      <c r="N12" s="583">
        <f>IF(ISERROR(M12/L12),"-",M12/L12)</f>
        <v>0.33333333333333331</v>
      </c>
      <c r="O12" s="489"/>
    </row>
  </sheetData>
  <sheetProtection password="C925" sheet="1" objects="1" scenarios="1"/>
  <mergeCells count="7">
    <mergeCell ref="B2:N2"/>
    <mergeCell ref="B4:D4"/>
    <mergeCell ref="B6:N6"/>
    <mergeCell ref="C8:E8"/>
    <mergeCell ref="F8:H8"/>
    <mergeCell ref="L8:N8"/>
    <mergeCell ref="I8:K8"/>
  </mergeCells>
  <dataValidations count="1">
    <dataValidation type="list" allowBlank="1" showInputMessage="1" showErrorMessage="1" sqref="B4" xr:uid="{00000000-0002-0000-2800-000000000000}">
      <formula1>Prg_Names</formula1>
    </dataValidation>
  </dataValidations>
  <pageMargins left="0.3" right="0.3" top="0.75" bottom="0.7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Q30"/>
  <sheetViews>
    <sheetView showGridLines="0" zoomScaleNormal="100" workbookViewId="0">
      <pane ySplit="2" topLeftCell="A3" activePane="bottomLeft" state="frozen"/>
      <selection pane="bottomLeft"/>
    </sheetView>
  </sheetViews>
  <sheetFormatPr defaultColWidth="9.140625" defaultRowHeight="12.75" x14ac:dyDescent="0.2"/>
  <cols>
    <col min="1" max="1" width="1" style="2" customWidth="1"/>
    <col min="2" max="2" width="36" style="2" customWidth="1"/>
    <col min="3" max="3" width="21.140625" style="2" customWidth="1"/>
    <col min="4" max="4" width="12.85546875" style="2" customWidth="1"/>
    <col min="5" max="5" width="13.85546875" style="2" bestFit="1" customWidth="1"/>
    <col min="6" max="6" width="5.85546875" style="2" bestFit="1" customWidth="1"/>
    <col min="7" max="8" width="12.85546875" style="2" customWidth="1"/>
    <col min="9" max="9" width="7.5703125" style="2" bestFit="1" customWidth="1"/>
    <col min="10" max="11" width="9.85546875" style="2" customWidth="1"/>
    <col min="12" max="12" width="5.85546875" style="2" bestFit="1" customWidth="1"/>
    <col min="13" max="13" width="7.5703125" style="2" customWidth="1"/>
    <col min="14" max="14" width="1.140625" style="2" customWidth="1"/>
    <col min="15" max="16" width="9.140625" style="2"/>
    <col min="17" max="17" width="4.140625" style="2" hidden="1" customWidth="1"/>
    <col min="18" max="16384" width="9.140625" style="2"/>
  </cols>
  <sheetData>
    <row r="1" spans="1:17" ht="5.0999999999999996" customHeight="1" thickBot="1" x14ac:dyDescent="0.25"/>
    <row r="2" spans="1:17" ht="38.25" customHeight="1" thickBot="1" x14ac:dyDescent="0.25">
      <c r="B2" s="671" t="s">
        <v>797</v>
      </c>
      <c r="C2" s="671"/>
      <c r="D2" s="671"/>
      <c r="E2" s="671"/>
      <c r="F2" s="671"/>
      <c r="G2" s="671"/>
      <c r="H2" s="671"/>
      <c r="I2" s="671"/>
      <c r="J2" s="671"/>
      <c r="K2" s="671"/>
      <c r="L2" s="671"/>
      <c r="M2" s="671"/>
    </row>
    <row r="3" spans="1:17" ht="4.5" customHeight="1" x14ac:dyDescent="0.2"/>
    <row r="4" spans="1:17" ht="23.25" x14ac:dyDescent="0.35">
      <c r="B4" s="785" t="str">
        <f>Titles!F2&amp;" Portfolio Results Detail"</f>
        <v>2025 Portfolio Results Detail</v>
      </c>
      <c r="C4" s="785"/>
      <c r="D4" s="785"/>
      <c r="E4" s="785"/>
      <c r="F4" s="785"/>
      <c r="G4" s="785"/>
      <c r="H4" s="785"/>
      <c r="I4" s="785"/>
      <c r="J4" s="785"/>
      <c r="K4" s="785"/>
      <c r="L4" s="785"/>
      <c r="M4" s="785"/>
    </row>
    <row r="5" spans="1:17" ht="4.5" customHeight="1" thickBot="1" x14ac:dyDescent="0.25"/>
    <row r="6" spans="1:17" ht="14.25" customHeight="1" thickBot="1" x14ac:dyDescent="0.25">
      <c r="D6" s="788" t="s">
        <v>213</v>
      </c>
      <c r="E6" s="789"/>
      <c r="F6" s="790"/>
      <c r="G6" s="788" t="str">
        <f>"Savings ("&amp;Titles!F13&amp;")"</f>
        <v>Savings (kWh)</v>
      </c>
      <c r="H6" s="789"/>
      <c r="I6" s="790"/>
      <c r="J6" s="788" t="s">
        <v>202</v>
      </c>
      <c r="K6" s="789"/>
      <c r="L6" s="790"/>
      <c r="M6" s="786" t="s">
        <v>776</v>
      </c>
    </row>
    <row r="7" spans="1:17" ht="17.25" customHeight="1" thickBot="1" x14ac:dyDescent="0.25">
      <c r="A7" s="489"/>
      <c r="B7" s="198" t="s">
        <v>93</v>
      </c>
      <c r="C7" s="198" t="s">
        <v>94</v>
      </c>
      <c r="D7" s="241" t="s">
        <v>542</v>
      </c>
      <c r="E7" s="195" t="s">
        <v>543</v>
      </c>
      <c r="F7" s="196" t="s">
        <v>838</v>
      </c>
      <c r="G7" s="194" t="s">
        <v>544</v>
      </c>
      <c r="H7" s="195" t="s">
        <v>545</v>
      </c>
      <c r="I7" s="196" t="s">
        <v>838</v>
      </c>
      <c r="J7" s="194" t="s">
        <v>544</v>
      </c>
      <c r="K7" s="195" t="s">
        <v>543</v>
      </c>
      <c r="L7" s="196" t="s">
        <v>838</v>
      </c>
      <c r="M7" s="787"/>
      <c r="N7" s="489"/>
    </row>
    <row r="8" spans="1:17" x14ac:dyDescent="0.2">
      <c r="B8" s="197" t="str">
        <f ca="1">Tables!B58</f>
        <v>Discont'd Onlne Audt(OLA)</v>
      </c>
      <c r="C8" s="218" t="str">
        <f ca="1">Tables!C58</f>
        <v>Residential</v>
      </c>
      <c r="D8" s="242">
        <f ca="1">Tables!D58</f>
        <v>0</v>
      </c>
      <c r="E8" s="223">
        <f ca="1">Tables!E58</f>
        <v>0</v>
      </c>
      <c r="F8" s="224" t="str">
        <f ca="1">IF(ISERROR(E8/D8),"-",E8/D8)</f>
        <v>-</v>
      </c>
      <c r="G8" s="225">
        <f ca="1">Tables!F58</f>
        <v>0</v>
      </c>
      <c r="H8" s="226">
        <f ca="1">Tables!G58</f>
        <v>0</v>
      </c>
      <c r="I8" s="224" t="str">
        <f t="shared" ref="I8:I29" ca="1" si="0">IF(ISERROR(H8/G8),"-",H8/G8)</f>
        <v>-</v>
      </c>
      <c r="J8" s="225" t="str">
        <f ca="1">Tables!H58</f>
        <v>N/A</v>
      </c>
      <c r="K8" s="226">
        <f ca="1">Tables!I58</f>
        <v>0</v>
      </c>
      <c r="L8" s="224" t="str">
        <f t="shared" ref="L8:L29" ca="1" si="1">IF(ISERROR(K8/J8),"-",K8/J8)</f>
        <v>-</v>
      </c>
      <c r="M8" s="227" t="str">
        <f ca="1">Tables!J58</f>
        <v>n/a</v>
      </c>
      <c r="N8" s="489"/>
      <c r="Q8" s="2">
        <f ca="1">IF(B8="*Hide*",1)-IF(SUBTOTAL(103,B8)=1,0,1)</f>
        <v>0</v>
      </c>
    </row>
    <row r="9" spans="1:17" x14ac:dyDescent="0.2">
      <c r="B9" s="192" t="str">
        <f ca="1">Tables!B59</f>
        <v>Discont'd R ES Appliance</v>
      </c>
      <c r="C9" s="197" t="str">
        <f ca="1">Tables!C59</f>
        <v>Residential</v>
      </c>
      <c r="D9" s="585">
        <f ca="1">Tables!D59</f>
        <v>0</v>
      </c>
      <c r="E9" s="586">
        <f ca="1">Tables!E59</f>
        <v>0</v>
      </c>
      <c r="F9" s="189" t="str">
        <f ca="1">IF(ISERROR(E9/D9),"-",E9/D9)</f>
        <v>-</v>
      </c>
      <c r="G9" s="190">
        <f ca="1">Tables!F59</f>
        <v>0</v>
      </c>
      <c r="H9" s="581">
        <f ca="1">Tables!G59</f>
        <v>0</v>
      </c>
      <c r="I9" s="189" t="str">
        <f t="shared" ca="1" si="0"/>
        <v>-</v>
      </c>
      <c r="J9" s="190" t="str">
        <f ca="1">Tables!H59</f>
        <v>N/A</v>
      </c>
      <c r="K9" s="581">
        <f ca="1">Tables!I59</f>
        <v>0</v>
      </c>
      <c r="L9" s="189" t="str">
        <f t="shared" ca="1" si="1"/>
        <v>-</v>
      </c>
      <c r="M9" s="228" t="str">
        <f ca="1">Tables!J59</f>
        <v>n/a</v>
      </c>
      <c r="N9" s="489"/>
      <c r="Q9" s="2">
        <f t="shared" ref="Q9:Q27" ca="1" si="2">IF(B9="*Hide*",1)-IF(SUBTOTAL(103,B9)=1,0,1)</f>
        <v>0</v>
      </c>
    </row>
    <row r="10" spans="1:17" x14ac:dyDescent="0.2">
      <c r="B10" s="192" t="str">
        <f ca="1">Tables!B60</f>
        <v>Discont'd Res Appliance</v>
      </c>
      <c r="C10" s="197" t="str">
        <f ca="1">Tables!C60</f>
        <v>Residential</v>
      </c>
      <c r="D10" s="585">
        <f ca="1">Tables!D60</f>
        <v>0</v>
      </c>
      <c r="E10" s="586">
        <f ca="1">Tables!E60</f>
        <v>0</v>
      </c>
      <c r="F10" s="189" t="str">
        <f ca="1">IF(ISERROR(E10/D10),"-",E10/D10)</f>
        <v>-</v>
      </c>
      <c r="G10" s="190">
        <f ca="1">Tables!F60</f>
        <v>0</v>
      </c>
      <c r="H10" s="581">
        <f ca="1">Tables!G60</f>
        <v>0</v>
      </c>
      <c r="I10" s="189" t="str">
        <f t="shared" ca="1" si="0"/>
        <v>-</v>
      </c>
      <c r="J10" s="190" t="str">
        <f ca="1">Tables!H60</f>
        <v>N/A</v>
      </c>
      <c r="K10" s="581">
        <f ca="1">Tables!I60</f>
        <v>0</v>
      </c>
      <c r="L10" s="189" t="str">
        <f t="shared" ca="1" si="1"/>
        <v>-</v>
      </c>
      <c r="M10" s="228" t="str">
        <f ca="1">Tables!J60</f>
        <v>n/a</v>
      </c>
      <c r="N10" s="489"/>
      <c r="Q10" s="2">
        <f t="shared" ca="1" si="2"/>
        <v>0</v>
      </c>
    </row>
    <row r="11" spans="1:17" x14ac:dyDescent="0.2">
      <c r="B11" s="192" t="str">
        <f ca="1">Tables!B61</f>
        <v>Discont'd Res Solutions</v>
      </c>
      <c r="C11" s="197" t="str">
        <f ca="1">Tables!C61</f>
        <v>Residential</v>
      </c>
      <c r="D11" s="585">
        <f>Tables!D61</f>
        <v>0</v>
      </c>
      <c r="E11" s="586">
        <f ca="1">Tables!E61</f>
        <v>0</v>
      </c>
      <c r="F11" s="189" t="str">
        <f t="shared" ref="F11:F29" ca="1" si="3">IF(ISERROR(E11/D11),"-",E11/D11)</f>
        <v>-</v>
      </c>
      <c r="G11" s="190">
        <f ca="1">Tables!F61</f>
        <v>0</v>
      </c>
      <c r="H11" s="581">
        <f ca="1">Tables!G61</f>
        <v>0</v>
      </c>
      <c r="I11" s="189" t="str">
        <f t="shared" ca="1" si="0"/>
        <v>-</v>
      </c>
      <c r="J11" s="190" t="str">
        <f ca="1">Tables!H61</f>
        <v>N/A</v>
      </c>
      <c r="K11" s="581">
        <f ca="1">Tables!I61</f>
        <v>0</v>
      </c>
      <c r="L11" s="189" t="str">
        <f t="shared" ca="1" si="1"/>
        <v>-</v>
      </c>
      <c r="M11" s="228" t="str">
        <f ca="1">Tables!J61</f>
        <v>n/a</v>
      </c>
      <c r="N11" s="489"/>
      <c r="Q11" s="2">
        <f t="shared" ca="1" si="2"/>
        <v>0</v>
      </c>
    </row>
    <row r="12" spans="1:17" x14ac:dyDescent="0.2">
      <c r="B12" s="192" t="str">
        <f ca="1">Tables!B62</f>
        <v>Efficient Products (EPP)</v>
      </c>
      <c r="C12" s="197" t="str">
        <f ca="1">Tables!C62</f>
        <v>Residential</v>
      </c>
      <c r="D12" s="585">
        <f ca="1">Tables!D62</f>
        <v>720823</v>
      </c>
      <c r="E12" s="586">
        <f ca="1">Tables!E62</f>
        <v>675653.44</v>
      </c>
      <c r="F12" s="189">
        <f t="shared" ca="1" si="3"/>
        <v>0.93733612828669444</v>
      </c>
      <c r="G12" s="190">
        <f ca="1">Tables!F62</f>
        <v>1294116</v>
      </c>
      <c r="H12" s="581">
        <f ca="1">Tables!G62</f>
        <v>3792328</v>
      </c>
      <c r="I12" s="189">
        <f t="shared" ca="1" si="0"/>
        <v>2.9304390023769122</v>
      </c>
      <c r="J12" s="190">
        <f ca="1">Tables!H62</f>
        <v>14665</v>
      </c>
      <c r="K12" s="581">
        <f ca="1">Tables!I62</f>
        <v>129782</v>
      </c>
      <c r="L12" s="189">
        <f t="shared" ca="1" si="1"/>
        <v>8.8497783839072621</v>
      </c>
      <c r="M12" s="228">
        <f ca="1">Tables!J62</f>
        <v>2.3500366504939088</v>
      </c>
      <c r="N12" s="489"/>
      <c r="Q12" s="2">
        <f t="shared" ca="1" si="2"/>
        <v>0</v>
      </c>
    </row>
    <row r="13" spans="1:17" x14ac:dyDescent="0.2">
      <c r="B13" s="192" t="str">
        <f ca="1">Tables!B63</f>
        <v>Home Weatherization (HWP)</v>
      </c>
      <c r="C13" s="197" t="str">
        <f ca="1">Tables!C63</f>
        <v>Residential</v>
      </c>
      <c r="D13" s="585">
        <f ca="1">Tables!D63</f>
        <v>2361354</v>
      </c>
      <c r="E13" s="586">
        <f ca="1">Tables!E63</f>
        <v>2066144.0100000002</v>
      </c>
      <c r="F13" s="189">
        <f t="shared" ca="1" si="3"/>
        <v>0.87498274718657187</v>
      </c>
      <c r="G13" s="190">
        <f ca="1">Tables!F63</f>
        <v>6645777</v>
      </c>
      <c r="H13" s="581">
        <f ca="1">Tables!G63</f>
        <v>3106874</v>
      </c>
      <c r="I13" s="189">
        <f t="shared" ca="1" si="0"/>
        <v>0.46749597526369002</v>
      </c>
      <c r="J13" s="190">
        <f ca="1">Tables!H63</f>
        <v>2200</v>
      </c>
      <c r="K13" s="581">
        <f ca="1">Tables!I63</f>
        <v>1180</v>
      </c>
      <c r="L13" s="189">
        <f t="shared" ca="1" si="1"/>
        <v>0.53636363636363638</v>
      </c>
      <c r="M13" s="228">
        <f ca="1">Tables!J63</f>
        <v>2.3475272800708851</v>
      </c>
      <c r="N13" s="489"/>
      <c r="Q13" s="2">
        <f t="shared" ca="1" si="2"/>
        <v>0</v>
      </c>
    </row>
    <row r="14" spans="1:17" x14ac:dyDescent="0.2">
      <c r="B14" s="192" t="str">
        <f ca="1">Tables!B64</f>
        <v>Income Qualified (IQW)</v>
      </c>
      <c r="C14" s="197" t="str">
        <f ca="1">Tables!C64</f>
        <v>Residential</v>
      </c>
      <c r="D14" s="585">
        <f ca="1">Tables!D64</f>
        <v>1098112</v>
      </c>
      <c r="E14" s="586">
        <f ca="1">Tables!E64</f>
        <v>1111588.78</v>
      </c>
      <c r="F14" s="189">
        <f t="shared" ca="1" si="3"/>
        <v>1.0122726825678985</v>
      </c>
      <c r="G14" s="190">
        <f ca="1">Tables!F64</f>
        <v>1535745</v>
      </c>
      <c r="H14" s="581">
        <f ca="1">Tables!G64</f>
        <v>1700442</v>
      </c>
      <c r="I14" s="189">
        <f t="shared" ca="1" si="0"/>
        <v>1.107242413291269</v>
      </c>
      <c r="J14" s="190">
        <f ca="1">Tables!H64</f>
        <v>250</v>
      </c>
      <c r="K14" s="581">
        <f ca="1">Tables!I64</f>
        <v>695</v>
      </c>
      <c r="L14" s="189">
        <f t="shared" ca="1" si="1"/>
        <v>2.78</v>
      </c>
      <c r="M14" s="228">
        <f ca="1">Tables!J64</f>
        <v>2.2192883677681672</v>
      </c>
      <c r="N14" s="489"/>
      <c r="Q14" s="2">
        <f t="shared" ca="1" si="2"/>
        <v>0</v>
      </c>
    </row>
    <row r="15" spans="1:17" x14ac:dyDescent="0.2">
      <c r="B15" s="192" t="str">
        <f ca="1">Tables!B65</f>
        <v>Res Energy Imprv (REIP)</v>
      </c>
      <c r="C15" s="197" t="str">
        <f ca="1">Tables!C65</f>
        <v>Residential</v>
      </c>
      <c r="D15" s="585">
        <f ca="1">Tables!D65</f>
        <v>2864054</v>
      </c>
      <c r="E15" s="586">
        <f ca="1">Tables!E65</f>
        <v>2841826.0799999996</v>
      </c>
      <c r="F15" s="189">
        <f t="shared" ca="1" si="3"/>
        <v>0.99223900108028673</v>
      </c>
      <c r="G15" s="190">
        <f ca="1">Tables!F65</f>
        <v>5602155</v>
      </c>
      <c r="H15" s="581">
        <f ca="1">Tables!G65</f>
        <v>7788226</v>
      </c>
      <c r="I15" s="189">
        <f t="shared" ca="1" si="0"/>
        <v>1.3902196565428839</v>
      </c>
      <c r="J15" s="190">
        <f ca="1">Tables!H65</f>
        <v>7033</v>
      </c>
      <c r="K15" s="581">
        <f ca="1">Tables!I65</f>
        <v>6238</v>
      </c>
      <c r="L15" s="189">
        <f t="shared" ca="1" si="1"/>
        <v>0.88696146736812176</v>
      </c>
      <c r="M15" s="228">
        <f ca="1">Tables!J65</f>
        <v>1.5476369882192293</v>
      </c>
      <c r="N15" s="489"/>
      <c r="Q15" s="2">
        <f t="shared" ca="1" si="2"/>
        <v>0</v>
      </c>
    </row>
    <row r="16" spans="1:17" x14ac:dyDescent="0.2">
      <c r="B16" s="192" t="str">
        <f ca="1">Tables!B66</f>
        <v>Bring Y/Otstat (BYOT)</v>
      </c>
      <c r="C16" s="197" t="str">
        <f ca="1">Tables!C66</f>
        <v>Res/Small Business</v>
      </c>
      <c r="D16" s="585">
        <f ca="1">Tables!D66</f>
        <v>481079</v>
      </c>
      <c r="E16" s="586">
        <f ca="1">Tables!E66</f>
        <v>188987.53</v>
      </c>
      <c r="F16" s="189">
        <f t="shared" ca="1" si="3"/>
        <v>0.39284094712095102</v>
      </c>
      <c r="G16" s="190">
        <f ca="1">Tables!F66</f>
        <v>61638</v>
      </c>
      <c r="H16" s="581">
        <f ca="1">Tables!G66</f>
        <v>16677</v>
      </c>
      <c r="I16" s="189">
        <f t="shared" ca="1" si="0"/>
        <v>0.27056361335539764</v>
      </c>
      <c r="J16" s="190">
        <f ca="1">Tables!H66</f>
        <v>1338</v>
      </c>
      <c r="K16" s="581">
        <f ca="1">Tables!I66</f>
        <v>2177</v>
      </c>
      <c r="L16" s="189">
        <f t="shared" ca="1" si="1"/>
        <v>1.6270553064275037</v>
      </c>
      <c r="M16" s="228">
        <f ca="1">Tables!J66</f>
        <v>3.0621107003595482</v>
      </c>
      <c r="N16" s="489"/>
      <c r="Q16" s="2">
        <f t="shared" ca="1" si="2"/>
        <v>0</v>
      </c>
    </row>
    <row r="17" spans="2:17" x14ac:dyDescent="0.2">
      <c r="B17" s="192" t="str">
        <f ca="1">Tables!B67</f>
        <v>Discont'd Ele Veh (EVE)</v>
      </c>
      <c r="C17" s="197" t="str">
        <f ca="1">Tables!C67</f>
        <v>Res/Small Business</v>
      </c>
      <c r="D17" s="585">
        <f ca="1">Tables!D67</f>
        <v>0</v>
      </c>
      <c r="E17" s="586">
        <f ca="1">Tables!E67</f>
        <v>15.399999999999999</v>
      </c>
      <c r="F17" s="189" t="str">
        <f t="shared" ca="1" si="3"/>
        <v>-</v>
      </c>
      <c r="G17" s="190">
        <f ca="1">Tables!F67</f>
        <v>0</v>
      </c>
      <c r="H17" s="581">
        <f ca="1">Tables!G67</f>
        <v>0</v>
      </c>
      <c r="I17" s="189" t="str">
        <f t="shared" ca="1" si="0"/>
        <v>-</v>
      </c>
      <c r="J17" s="190" t="str">
        <f ca="1">Tables!H67</f>
        <v>N/A</v>
      </c>
      <c r="K17" s="581">
        <f ca="1">Tables!I67</f>
        <v>0</v>
      </c>
      <c r="L17" s="189" t="str">
        <f t="shared" ca="1" si="1"/>
        <v>-</v>
      </c>
      <c r="M17" s="228" t="str">
        <f ca="1">Tables!J67</f>
        <v>n/a</v>
      </c>
      <c r="Q17" s="2">
        <f t="shared" ca="1" si="2"/>
        <v>0</v>
      </c>
    </row>
    <row r="18" spans="2:17" x14ac:dyDescent="0.2">
      <c r="B18" s="192" t="str">
        <f ca="1">Tables!B68</f>
        <v>Strat Energy Mgmt (SEMP)</v>
      </c>
      <c r="C18" s="197" t="str">
        <f ca="1">Tables!C68</f>
        <v>Res/Small Business</v>
      </c>
      <c r="D18" s="585">
        <f ca="1">Tables!D68</f>
        <v>559109</v>
      </c>
      <c r="E18" s="586">
        <f ca="1">Tables!E68</f>
        <v>574855.58000000007</v>
      </c>
      <c r="F18" s="189">
        <f t="shared" ca="1" si="3"/>
        <v>1.0281637033208195</v>
      </c>
      <c r="G18" s="190">
        <f ca="1">Tables!F68</f>
        <v>5850291</v>
      </c>
      <c r="H18" s="581">
        <f ca="1">Tables!G68</f>
        <v>14670946</v>
      </c>
      <c r="I18" s="189">
        <f t="shared" ca="1" si="0"/>
        <v>2.5077292736378411</v>
      </c>
      <c r="J18" s="190">
        <f ca="1">Tables!H68</f>
        <v>51</v>
      </c>
      <c r="K18" s="581">
        <f ca="1">Tables!I68</f>
        <v>17</v>
      </c>
      <c r="L18" s="189">
        <f t="shared" ca="1" si="1"/>
        <v>0.33333333333333331</v>
      </c>
      <c r="M18" s="228">
        <f ca="1">Tables!J68</f>
        <v>1.1796029572836801</v>
      </c>
      <c r="Q18" s="2">
        <f t="shared" ca="1" si="2"/>
        <v>0</v>
      </c>
    </row>
    <row r="19" spans="2:17" x14ac:dyDescent="0.2">
      <c r="B19" s="192" t="str">
        <f ca="1">Tables!B69</f>
        <v>Comm &amp; Industrial (CIEEP)</v>
      </c>
      <c r="C19" s="197" t="str">
        <f ca="1">Tables!C69</f>
        <v>Commercial &amp; Industrial</v>
      </c>
      <c r="D19" s="585">
        <f ca="1">Tables!D69</f>
        <v>3084080</v>
      </c>
      <c r="E19" s="586">
        <f ca="1">Tables!E69</f>
        <v>2928754.98</v>
      </c>
      <c r="F19" s="189">
        <f t="shared" ca="1" si="3"/>
        <v>0.94963651396850923</v>
      </c>
      <c r="G19" s="190">
        <f ca="1">Tables!F69</f>
        <v>10534008</v>
      </c>
      <c r="H19" s="581">
        <f ca="1">Tables!G69</f>
        <v>8691274</v>
      </c>
      <c r="I19" s="189">
        <f t="shared" ca="1" si="0"/>
        <v>0.82506810323288149</v>
      </c>
      <c r="J19" s="190">
        <f ca="1">Tables!H69</f>
        <v>436</v>
      </c>
      <c r="K19" s="581">
        <f ca="1">Tables!I69</f>
        <v>462</v>
      </c>
      <c r="L19" s="189">
        <f t="shared" ca="1" si="1"/>
        <v>1.0596330275229358</v>
      </c>
      <c r="M19" s="228">
        <f ca="1">Tables!J69</f>
        <v>1.2722414464455671</v>
      </c>
      <c r="Q19" s="2">
        <f t="shared" ca="1" si="2"/>
        <v>0</v>
      </c>
    </row>
    <row r="20" spans="2:17" x14ac:dyDescent="0.2">
      <c r="B20" s="192" t="str">
        <f ca="1">Tables!B70</f>
        <v>Discont'd Comm Solutions</v>
      </c>
      <c r="C20" s="197" t="str">
        <f ca="1">Tables!C70</f>
        <v>Commercial &amp; Industrial</v>
      </c>
      <c r="D20" s="585">
        <f ca="1">Tables!D70</f>
        <v>0</v>
      </c>
      <c r="E20" s="586">
        <f ca="1">Tables!E70</f>
        <v>0</v>
      </c>
      <c r="F20" s="189" t="str">
        <f t="shared" ca="1" si="3"/>
        <v>-</v>
      </c>
      <c r="G20" s="190">
        <f ca="1">Tables!F70</f>
        <v>0</v>
      </c>
      <c r="H20" s="581">
        <f ca="1">Tables!G70</f>
        <v>0</v>
      </c>
      <c r="I20" s="189" t="str">
        <f t="shared" ca="1" si="0"/>
        <v>-</v>
      </c>
      <c r="J20" s="190" t="str">
        <f ca="1">Tables!H70</f>
        <v>N/A</v>
      </c>
      <c r="K20" s="581">
        <f ca="1">Tables!I70</f>
        <v>0</v>
      </c>
      <c r="L20" s="189" t="str">
        <f t="shared" ca="1" si="1"/>
        <v>-</v>
      </c>
      <c r="M20" s="228" t="str">
        <f ca="1">Tables!J70</f>
        <v>n/a</v>
      </c>
      <c r="Q20" s="2">
        <f t="shared" ca="1" si="2"/>
        <v>0</v>
      </c>
    </row>
    <row r="21" spans="2:17" x14ac:dyDescent="0.2">
      <c r="B21" s="192" t="str">
        <f ca="1">Tables!B71</f>
        <v>Load Mgt (LMP)</v>
      </c>
      <c r="C21" s="197" t="str">
        <f ca="1">Tables!C71</f>
        <v>Commercial &amp; Industrial</v>
      </c>
      <c r="D21" s="585">
        <f ca="1">Tables!D71</f>
        <v>1007610</v>
      </c>
      <c r="E21" s="586">
        <f ca="1">Tables!E71</f>
        <v>786371.33000000007</v>
      </c>
      <c r="F21" s="189">
        <f t="shared" ca="1" si="3"/>
        <v>0.78043224064866379</v>
      </c>
      <c r="G21" s="190">
        <f ca="1">Tables!F71</f>
        <v>0</v>
      </c>
      <c r="H21" s="581">
        <f ca="1">Tables!G71</f>
        <v>166783</v>
      </c>
      <c r="I21" s="189" t="str">
        <f t="shared" ca="1" si="0"/>
        <v>-</v>
      </c>
      <c r="J21" s="190">
        <f ca="1">Tables!H71</f>
        <v>50</v>
      </c>
      <c r="K21" s="581">
        <f ca="1">Tables!I71</f>
        <v>19</v>
      </c>
      <c r="L21" s="189">
        <f t="shared" ca="1" si="1"/>
        <v>0.38</v>
      </c>
      <c r="M21" s="228">
        <f ca="1">Tables!J71</f>
        <v>1.6850900864066289</v>
      </c>
      <c r="Q21" s="2">
        <f t="shared" ca="1" si="2"/>
        <v>0</v>
      </c>
    </row>
    <row r="22" spans="2:17" x14ac:dyDescent="0.2">
      <c r="B22" s="192" t="str">
        <f ca="1">Tables!B72</f>
        <v>New Construction (NCP)</v>
      </c>
      <c r="C22" s="197" t="str">
        <f ca="1">Tables!C72</f>
        <v>Res/C&amp;I</v>
      </c>
      <c r="D22" s="585">
        <f ca="1">Tables!D72</f>
        <v>415993</v>
      </c>
      <c r="E22" s="586">
        <f ca="1">Tables!E72</f>
        <v>410760.84</v>
      </c>
      <c r="F22" s="189">
        <f t="shared" ca="1" si="3"/>
        <v>0.9874224806667421</v>
      </c>
      <c r="G22" s="190">
        <f ca="1">Tables!F72</f>
        <v>727832</v>
      </c>
      <c r="H22" s="581">
        <f ca="1">Tables!G72</f>
        <v>482893</v>
      </c>
      <c r="I22" s="189">
        <f t="shared" ca="1" si="0"/>
        <v>0.66346766836302884</v>
      </c>
      <c r="J22" s="190">
        <f ca="1">Tables!H72</f>
        <v>160</v>
      </c>
      <c r="K22" s="581">
        <f ca="1">Tables!I72</f>
        <v>48</v>
      </c>
      <c r="L22" s="189">
        <f t="shared" ca="1" si="1"/>
        <v>0.3</v>
      </c>
      <c r="M22" s="228">
        <f ca="1">Tables!J72</f>
        <v>1.0696477892518721</v>
      </c>
      <c r="Q22" s="2">
        <f t="shared" ca="1" si="2"/>
        <v>0</v>
      </c>
    </row>
    <row r="23" spans="2:17" hidden="1" x14ac:dyDescent="0.2">
      <c r="B23" s="192" t="str">
        <f ca="1">Tables!B73</f>
        <v>Small Business (SBP)</v>
      </c>
      <c r="C23" s="197" t="str">
        <f ca="1">Tables!C73</f>
        <v>Small Business/C&amp;I</v>
      </c>
      <c r="D23" s="585">
        <f ca="1">Tables!D73</f>
        <v>1596350</v>
      </c>
      <c r="E23" s="586">
        <f ca="1">Tables!E73</f>
        <v>1545628.96</v>
      </c>
      <c r="F23" s="189">
        <f t="shared" ca="1" si="3"/>
        <v>0.96822686754157916</v>
      </c>
      <c r="G23" s="190">
        <f ca="1">Tables!F73</f>
        <v>6060578</v>
      </c>
      <c r="H23" s="581">
        <f ca="1">Tables!G73</f>
        <v>4161317</v>
      </c>
      <c r="I23" s="189">
        <f t="shared" ca="1" si="0"/>
        <v>0.68662048405284115</v>
      </c>
      <c r="J23" s="190">
        <f ca="1">Tables!H73</f>
        <v>668</v>
      </c>
      <c r="K23" s="581">
        <f ca="1">Tables!I73</f>
        <v>645</v>
      </c>
      <c r="L23" s="189">
        <f t="shared" ca="1" si="1"/>
        <v>0.96556886227544914</v>
      </c>
      <c r="M23" s="228">
        <f ca="1">Tables!J73</f>
        <v>1.6595268983228013</v>
      </c>
      <c r="Q23" s="2">
        <f t="shared" ca="1" si="2"/>
        <v>-1</v>
      </c>
    </row>
    <row r="24" spans="2:17" hidden="1" x14ac:dyDescent="0.2">
      <c r="B24" s="192" t="str">
        <f ca="1">Tables!B74</f>
        <v>Discont'd ARWX (AWIP)</v>
      </c>
      <c r="C24" s="197" t="str">
        <f ca="1">Tables!C74</f>
        <v>Residential</v>
      </c>
      <c r="D24" s="585">
        <f ca="1">Tables!D74</f>
        <v>0</v>
      </c>
      <c r="E24" s="586">
        <f ca="1">Tables!E74</f>
        <v>0</v>
      </c>
      <c r="F24" s="189" t="str">
        <f t="shared" ca="1" si="3"/>
        <v>-</v>
      </c>
      <c r="G24" s="190">
        <f ca="1">Tables!F74</f>
        <v>0</v>
      </c>
      <c r="H24" s="581">
        <f ca="1">Tables!G74</f>
        <v>0</v>
      </c>
      <c r="I24" s="189" t="str">
        <f t="shared" ca="1" si="0"/>
        <v>-</v>
      </c>
      <c r="J24" s="190" t="str">
        <f ca="1">Tables!H74</f>
        <v>N/A</v>
      </c>
      <c r="K24" s="581">
        <f ca="1">Tables!I74</f>
        <v>0</v>
      </c>
      <c r="L24" s="189" t="str">
        <f t="shared" ca="1" si="1"/>
        <v>-</v>
      </c>
      <c r="M24" s="228" t="str">
        <f ca="1">Tables!J74</f>
        <v>n/a</v>
      </c>
      <c r="Q24" s="2">
        <f t="shared" ca="1" si="2"/>
        <v>-1</v>
      </c>
    </row>
    <row r="25" spans="2:17" hidden="1" x14ac:dyDescent="0.2">
      <c r="B25" s="192" t="str">
        <f ca="1">Tables!B75</f>
        <v>Discont'd EE AR (EEA)</v>
      </c>
      <c r="C25" s="197" t="str">
        <f ca="1">Tables!C75</f>
        <v>All Classes</v>
      </c>
      <c r="D25" s="585">
        <f ca="1">Tables!D75</f>
        <v>0</v>
      </c>
      <c r="E25" s="586">
        <f ca="1">Tables!E75</f>
        <v>0</v>
      </c>
      <c r="F25" s="189" t="str">
        <f t="shared" ca="1" si="3"/>
        <v>-</v>
      </c>
      <c r="G25" s="190">
        <f ca="1">Tables!F75</f>
        <v>0</v>
      </c>
      <c r="H25" s="581">
        <f ca="1">Tables!G75</f>
        <v>0</v>
      </c>
      <c r="I25" s="189" t="str">
        <f t="shared" ca="1" si="0"/>
        <v>-</v>
      </c>
      <c r="J25" s="190" t="str">
        <f ca="1">Tables!H75</f>
        <v>N/A</v>
      </c>
      <c r="K25" s="581">
        <f ca="1">Tables!I75</f>
        <v>0</v>
      </c>
      <c r="L25" s="189" t="str">
        <f t="shared" ca="1" si="1"/>
        <v>-</v>
      </c>
      <c r="M25" s="228" t="str">
        <f ca="1">Tables!J75</f>
        <v>n/a</v>
      </c>
      <c r="Q25" s="2">
        <f t="shared" ca="1" si="2"/>
        <v>-1</v>
      </c>
    </row>
    <row r="26" spans="2:17" hidden="1" x14ac:dyDescent="0.2">
      <c r="B26" s="192" t="str">
        <f ca="1">Tables!B76</f>
        <v>*Hide*</v>
      </c>
      <c r="C26" s="197" t="str">
        <f ca="1">Tables!C76</f>
        <v>-</v>
      </c>
      <c r="D26" s="585" t="str">
        <f ca="1">Tables!D76</f>
        <v>-</v>
      </c>
      <c r="E26" s="586" t="str">
        <f ca="1">Tables!E76</f>
        <v>-</v>
      </c>
      <c r="F26" s="189" t="str">
        <f t="shared" ca="1" si="3"/>
        <v>-</v>
      </c>
      <c r="G26" s="190" t="str">
        <f ca="1">Tables!F76</f>
        <v>-</v>
      </c>
      <c r="H26" s="581" t="str">
        <f ca="1">Tables!G76</f>
        <v>-</v>
      </c>
      <c r="I26" s="189" t="str">
        <f t="shared" ca="1" si="0"/>
        <v>-</v>
      </c>
      <c r="J26" s="190" t="str">
        <f ca="1">Tables!H76</f>
        <v>-</v>
      </c>
      <c r="K26" s="581" t="str">
        <f ca="1">Tables!I76</f>
        <v>-</v>
      </c>
      <c r="L26" s="189" t="str">
        <f t="shared" ca="1" si="1"/>
        <v>-</v>
      </c>
      <c r="M26" s="228" t="str">
        <f ca="1">Tables!J76</f>
        <v>-</v>
      </c>
      <c r="Q26" s="2">
        <f t="shared" ca="1" si="2"/>
        <v>0</v>
      </c>
    </row>
    <row r="27" spans="2:17" hidden="1" x14ac:dyDescent="0.2">
      <c r="B27" s="192" t="str">
        <f ca="1">Tables!B77</f>
        <v>*Hide*</v>
      </c>
      <c r="C27" s="192" t="str">
        <f ca="1">Tables!C77</f>
        <v>-</v>
      </c>
      <c r="D27" s="587" t="str">
        <f ca="1">Tables!D77</f>
        <v>-</v>
      </c>
      <c r="E27" s="588" t="str">
        <f ca="1">Tables!E77</f>
        <v>-</v>
      </c>
      <c r="F27" s="220" t="str">
        <f t="shared" ca="1" si="3"/>
        <v>-</v>
      </c>
      <c r="G27" s="221" t="str">
        <f ca="1">Tables!F77</f>
        <v>-</v>
      </c>
      <c r="H27" s="589" t="str">
        <f ca="1">Tables!G77</f>
        <v>-</v>
      </c>
      <c r="I27" s="220" t="str">
        <f t="shared" ca="1" si="0"/>
        <v>-</v>
      </c>
      <c r="J27" s="221" t="str">
        <f ca="1">Tables!H77</f>
        <v>-</v>
      </c>
      <c r="K27" s="589" t="str">
        <f ca="1">Tables!I77</f>
        <v>-</v>
      </c>
      <c r="L27" s="220" t="str">
        <f t="shared" ca="1" si="1"/>
        <v>-</v>
      </c>
      <c r="M27" s="229" t="str">
        <f ca="1">Tables!J77</f>
        <v>-</v>
      </c>
      <c r="Q27" s="2">
        <f t="shared" ca="1" si="2"/>
        <v>0</v>
      </c>
    </row>
    <row r="28" spans="2:17" ht="13.5" thickBot="1" x14ac:dyDescent="0.25">
      <c r="B28" s="243" t="str">
        <f>Budgets!H26</f>
        <v>Regulatory</v>
      </c>
      <c r="C28" s="193"/>
      <c r="D28" s="587">
        <f>Budgets!I26</f>
        <v>117000</v>
      </c>
      <c r="E28" s="588">
        <f>'Actual Expenses'!I91</f>
        <v>88843.87</v>
      </c>
      <c r="F28" s="220"/>
      <c r="G28" s="221"/>
      <c r="H28" s="589"/>
      <c r="I28" s="220"/>
      <c r="J28" s="221"/>
      <c r="K28" s="589"/>
      <c r="L28" s="220"/>
      <c r="M28" s="229"/>
      <c r="Q28" s="2">
        <f>IF(SUBTOTAL(103,B28)=1,0,-1)</f>
        <v>0</v>
      </c>
    </row>
    <row r="29" spans="2:17" ht="15.75" thickBot="1" x14ac:dyDescent="0.3">
      <c r="C29" s="239" t="s">
        <v>839</v>
      </c>
      <c r="D29" s="233">
        <f ca="1">SUM(D8:D28)</f>
        <v>14305564</v>
      </c>
      <c r="E29" s="234">
        <f ca="1">SUM(E8:E28)</f>
        <v>13219430.799999999</v>
      </c>
      <c r="F29" s="235">
        <f t="shared" ca="1" si="3"/>
        <v>0.92407617064241565</v>
      </c>
      <c r="G29" s="236">
        <f ca="1">SUM(G8:G27)</f>
        <v>38312140</v>
      </c>
      <c r="H29" s="237">
        <f ca="1">SUM(H8:H27)</f>
        <v>44577760</v>
      </c>
      <c r="I29" s="235">
        <f t="shared" ca="1" si="0"/>
        <v>1.1635413735698397</v>
      </c>
      <c r="J29" s="236">
        <f ca="1">SUM(J8:J27)</f>
        <v>26851</v>
      </c>
      <c r="K29" s="237">
        <f ca="1">SUM(K8:K27)</f>
        <v>141263</v>
      </c>
      <c r="L29" s="235">
        <f t="shared" ca="1" si="1"/>
        <v>5.260995866075751</v>
      </c>
      <c r="M29" s="238">
        <f>'Cost-Benefits'!J27</f>
        <v>1.6820050651604246</v>
      </c>
      <c r="Q29" s="2">
        <f ca="1">SUM(Q8:Q28)</f>
        <v>-3</v>
      </c>
    </row>
    <row r="30" spans="2:17" ht="15.75" customHeight="1" x14ac:dyDescent="0.2">
      <c r="B30" s="334" t="str">
        <f ca="1">IF(Q29&gt;0,"Select all cells in the 'Program Name' column that contain *Hide* and press Ctrl+9 to hide rows.",IF(Q29&lt;0,"Select all cells in Program Name column and press Shift+Ctrl+9 to unhide all rows.",""))</f>
        <v>Select all cells in Program Name column and press Shift+Ctrl+9 to unhide all rows.</v>
      </c>
    </row>
  </sheetData>
  <sheetProtection password="C925" sheet="1" objects="1" scenarios="1" formatColumns="0" formatRows="0"/>
  <mergeCells count="6">
    <mergeCell ref="B2:M2"/>
    <mergeCell ref="B4:M4"/>
    <mergeCell ref="M6:M7"/>
    <mergeCell ref="D6:F6"/>
    <mergeCell ref="J6:L6"/>
    <mergeCell ref="G6:I6"/>
  </mergeCells>
  <conditionalFormatting sqref="B8:M27">
    <cfRule type="expression" dxfId="3" priority="1">
      <formula>$B8="*Hide*"</formula>
    </cfRule>
  </conditionalFormatting>
  <pageMargins left="0.25" right="0.25" top="0.75" bottom="0.75" header="0.3" footer="0.3"/>
  <pageSetup scale="87"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25"/>
  <sheetViews>
    <sheetView showGridLines="0" zoomScaleNormal="100" workbookViewId="0">
      <pane ySplit="2" topLeftCell="A3" activePane="bottomLeft" state="frozen"/>
      <selection pane="bottomLeft" activeCell="B27" sqref="B27"/>
    </sheetView>
  </sheetViews>
  <sheetFormatPr defaultColWidth="9.140625" defaultRowHeight="12.75" x14ac:dyDescent="0.2"/>
  <cols>
    <col min="1" max="1" width="1" style="2" customWidth="1"/>
    <col min="2" max="2" width="36" style="2" customWidth="1"/>
    <col min="3" max="4" width="12.140625" style="2" bestFit="1" customWidth="1"/>
    <col min="5" max="5" width="5.85546875" style="2" bestFit="1" customWidth="1"/>
    <col min="6" max="6" width="12" style="2" bestFit="1" customWidth="1"/>
    <col min="7" max="7" width="11.85546875" style="2" bestFit="1" customWidth="1"/>
    <col min="8" max="8" width="5.85546875" style="2" bestFit="1" customWidth="1"/>
    <col min="9" max="10" width="10.42578125" style="2" bestFit="1" customWidth="1"/>
    <col min="11" max="11" width="5.85546875" style="2" bestFit="1" customWidth="1"/>
    <col min="12" max="12" width="7.5703125" style="2" customWidth="1"/>
    <col min="13" max="13" width="1.140625" style="2" customWidth="1"/>
    <col min="14" max="16384" width="9.140625" style="2"/>
  </cols>
  <sheetData>
    <row r="1" spans="1:13" ht="5.0999999999999996" customHeight="1" thickBot="1" x14ac:dyDescent="0.25"/>
    <row r="2" spans="1:13" ht="38.25" customHeight="1" thickBot="1" x14ac:dyDescent="0.25">
      <c r="B2" s="671" t="s">
        <v>799</v>
      </c>
      <c r="C2" s="671"/>
      <c r="D2" s="671"/>
      <c r="E2" s="671"/>
      <c r="F2" s="671"/>
      <c r="G2" s="671"/>
      <c r="H2" s="671"/>
      <c r="I2" s="671"/>
      <c r="J2" s="671"/>
      <c r="K2" s="671"/>
      <c r="L2" s="671"/>
    </row>
    <row r="3" spans="1:13" ht="4.5" customHeight="1" x14ac:dyDescent="0.2"/>
    <row r="4" spans="1:13" ht="23.25" x14ac:dyDescent="0.35">
      <c r="B4" s="785" t="str">
        <f>Titles!F2&amp;" Portfolio Results Detail by Target Sector"</f>
        <v>2025 Portfolio Results Detail by Target Sector</v>
      </c>
      <c r="C4" s="785"/>
      <c r="D4" s="785"/>
      <c r="E4" s="785"/>
      <c r="F4" s="785"/>
      <c r="G4" s="785"/>
      <c r="H4" s="785"/>
      <c r="I4" s="785"/>
      <c r="J4" s="785"/>
      <c r="K4" s="785"/>
      <c r="L4" s="785"/>
    </row>
    <row r="5" spans="1:13" ht="4.5" customHeight="1" thickBot="1" x14ac:dyDescent="0.25"/>
    <row r="6" spans="1:13" ht="14.25" customHeight="1" thickBot="1" x14ac:dyDescent="0.25">
      <c r="C6" s="788" t="s">
        <v>213</v>
      </c>
      <c r="D6" s="789"/>
      <c r="E6" s="790"/>
      <c r="F6" s="788" t="str">
        <f>"Savings ("&amp;Titles!F13&amp;")"</f>
        <v>Savings (kWh)</v>
      </c>
      <c r="G6" s="789"/>
      <c r="H6" s="790"/>
      <c r="I6" s="788" t="s">
        <v>202</v>
      </c>
      <c r="J6" s="789"/>
      <c r="K6" s="790"/>
      <c r="L6" s="786" t="s">
        <v>776</v>
      </c>
    </row>
    <row r="7" spans="1:13" ht="17.25" customHeight="1" thickBot="1" x14ac:dyDescent="0.25">
      <c r="A7" s="489"/>
      <c r="B7" s="232" t="s">
        <v>94</v>
      </c>
      <c r="C7" s="230" t="s">
        <v>542</v>
      </c>
      <c r="D7" s="590" t="s">
        <v>543</v>
      </c>
      <c r="E7" s="231" t="s">
        <v>838</v>
      </c>
      <c r="F7" s="230" t="s">
        <v>544</v>
      </c>
      <c r="G7" s="590" t="s">
        <v>545</v>
      </c>
      <c r="H7" s="231" t="s">
        <v>838</v>
      </c>
      <c r="I7" s="230" t="s">
        <v>544</v>
      </c>
      <c r="J7" s="590" t="s">
        <v>543</v>
      </c>
      <c r="K7" s="231" t="s">
        <v>838</v>
      </c>
      <c r="L7" s="791"/>
      <c r="M7" s="489"/>
    </row>
    <row r="8" spans="1:13" x14ac:dyDescent="0.2">
      <c r="B8" s="215" t="str">
        <f>Tables!B82</f>
        <v>Residential</v>
      </c>
      <c r="C8" s="188">
        <f ca="1">Tables!D82</f>
        <v>7044343</v>
      </c>
      <c r="D8" s="586">
        <f ca="1">Tables!E82</f>
        <v>6695212.3100000005</v>
      </c>
      <c r="E8" s="189">
        <f ca="1">IF(ISERROR(D8/C8),"-",D8/C8)</f>
        <v>0.95043814731906162</v>
      </c>
      <c r="F8" s="190">
        <f ca="1">Tables!F82</f>
        <v>15077793</v>
      </c>
      <c r="G8" s="581">
        <f ca="1">Tables!G82</f>
        <v>16387870</v>
      </c>
      <c r="H8" s="189">
        <f t="shared" ref="H8:H21" ca="1" si="0">IF(ISERROR(G8/F8),"-",G8/F8)</f>
        <v>1.0868878489046772</v>
      </c>
      <c r="I8" s="190">
        <f ca="1">Tables!H82</f>
        <v>24148</v>
      </c>
      <c r="J8" s="581">
        <f ca="1">Tables!I82</f>
        <v>137895</v>
      </c>
      <c r="K8" s="189">
        <f t="shared" ref="K8:K21" ca="1" si="1">IF(ISERROR(J8/I8),"-",J8/I8)</f>
        <v>5.7104108000662581</v>
      </c>
      <c r="L8" s="191">
        <f ca="1">Tables!M82</f>
        <v>1.9951083958326674</v>
      </c>
      <c r="M8" s="489"/>
    </row>
    <row r="9" spans="1:13" x14ac:dyDescent="0.2">
      <c r="B9" s="215" t="str">
        <f>Tables!B83</f>
        <v>Small Business</v>
      </c>
      <c r="C9" s="188">
        <f ca="1">Tables!D83</f>
        <v>0</v>
      </c>
      <c r="D9" s="586">
        <f ca="1">Tables!E83</f>
        <v>0</v>
      </c>
      <c r="E9" s="189" t="str">
        <f ca="1">IF(ISERROR(D9/C9),"-",D9/C9)</f>
        <v>-</v>
      </c>
      <c r="F9" s="190">
        <f ca="1">Tables!F83</f>
        <v>0</v>
      </c>
      <c r="G9" s="581">
        <f ca="1">Tables!G83</f>
        <v>0</v>
      </c>
      <c r="H9" s="189" t="str">
        <f t="shared" ca="1" si="0"/>
        <v>-</v>
      </c>
      <c r="I9" s="190">
        <f ca="1">Tables!H83</f>
        <v>0</v>
      </c>
      <c r="J9" s="581">
        <f ca="1">Tables!I83</f>
        <v>0</v>
      </c>
      <c r="K9" s="189" t="str">
        <f t="shared" ca="1" si="1"/>
        <v>-</v>
      </c>
      <c r="L9" s="191" t="str">
        <f ca="1">Tables!M83</f>
        <v>n/a</v>
      </c>
      <c r="M9" s="489"/>
    </row>
    <row r="10" spans="1:13" x14ac:dyDescent="0.2">
      <c r="B10" s="215" t="str">
        <f>Tables!B84</f>
        <v>Commercial &amp; Industrial</v>
      </c>
      <c r="C10" s="188">
        <f ca="1">Tables!D84</f>
        <v>4091690</v>
      </c>
      <c r="D10" s="586">
        <f ca="1">Tables!E84</f>
        <v>3715126.31</v>
      </c>
      <c r="E10" s="189">
        <f ca="1">IF(ISERROR(D10/C10),"-",D10/C10)</f>
        <v>0.90796866575913626</v>
      </c>
      <c r="F10" s="190">
        <f ca="1">Tables!F84</f>
        <v>10534008</v>
      </c>
      <c r="G10" s="581">
        <f ca="1">Tables!G84</f>
        <v>8858057</v>
      </c>
      <c r="H10" s="189">
        <f t="shared" ca="1" si="0"/>
        <v>0.84090091824498325</v>
      </c>
      <c r="I10" s="190">
        <f ca="1">Tables!H84</f>
        <v>486</v>
      </c>
      <c r="J10" s="581">
        <f ca="1">Tables!I84</f>
        <v>481</v>
      </c>
      <c r="K10" s="189">
        <f t="shared" ca="1" si="1"/>
        <v>0.98971193415637859</v>
      </c>
      <c r="L10" s="191">
        <f ca="1">Tables!M84</f>
        <v>1.30402026972447</v>
      </c>
      <c r="M10" s="489"/>
    </row>
    <row r="11" spans="1:13" x14ac:dyDescent="0.2">
      <c r="B11" s="215" t="str">
        <f>Tables!B85</f>
        <v>Municipalities/Schools</v>
      </c>
      <c r="C11" s="188">
        <f ca="1">Tables!D85</f>
        <v>0</v>
      </c>
      <c r="D11" s="586">
        <f ca="1">Tables!E85</f>
        <v>0</v>
      </c>
      <c r="E11" s="189" t="str">
        <f t="shared" ref="E11:E21" ca="1" si="2">IF(ISERROR(D11/C11),"-",D11/C11)</f>
        <v>-</v>
      </c>
      <c r="F11" s="190">
        <f ca="1">Tables!F85</f>
        <v>0</v>
      </c>
      <c r="G11" s="581">
        <f ca="1">Tables!G85</f>
        <v>0</v>
      </c>
      <c r="H11" s="189" t="str">
        <f t="shared" ca="1" si="0"/>
        <v>-</v>
      </c>
      <c r="I11" s="190">
        <f ca="1">Tables!H85</f>
        <v>0</v>
      </c>
      <c r="J11" s="581">
        <f ca="1">Tables!I85</f>
        <v>0</v>
      </c>
      <c r="K11" s="189" t="str">
        <f t="shared" ca="1" si="1"/>
        <v>-</v>
      </c>
      <c r="L11" s="191" t="str">
        <f ca="1">Tables!M85</f>
        <v>n/a</v>
      </c>
      <c r="M11" s="489"/>
    </row>
    <row r="12" spans="1:13" x14ac:dyDescent="0.2">
      <c r="B12" s="215" t="str">
        <f>Tables!B86</f>
        <v>Agriculture</v>
      </c>
      <c r="C12" s="188">
        <f ca="1">Tables!D86</f>
        <v>0</v>
      </c>
      <c r="D12" s="586">
        <f ca="1">Tables!E86</f>
        <v>0</v>
      </c>
      <c r="E12" s="189" t="str">
        <f t="shared" ca="1" si="2"/>
        <v>-</v>
      </c>
      <c r="F12" s="190">
        <f ca="1">Tables!F86</f>
        <v>0</v>
      </c>
      <c r="G12" s="581">
        <f ca="1">Tables!G86</f>
        <v>0</v>
      </c>
      <c r="H12" s="189" t="str">
        <f t="shared" ca="1" si="0"/>
        <v>-</v>
      </c>
      <c r="I12" s="190">
        <f ca="1">Tables!H86</f>
        <v>0</v>
      </c>
      <c r="J12" s="581">
        <f ca="1">Tables!I86</f>
        <v>0</v>
      </c>
      <c r="K12" s="189" t="str">
        <f t="shared" ca="1" si="1"/>
        <v>-</v>
      </c>
      <c r="L12" s="191" t="str">
        <f ca="1">Tables!M86</f>
        <v>n/a</v>
      </c>
      <c r="M12" s="489"/>
    </row>
    <row r="13" spans="1:13" x14ac:dyDescent="0.2">
      <c r="B13" s="215" t="str">
        <f>Tables!B87</f>
        <v>Other</v>
      </c>
      <c r="C13" s="188">
        <f ca="1">Tables!D87</f>
        <v>0</v>
      </c>
      <c r="D13" s="586">
        <f ca="1">Tables!E87</f>
        <v>0</v>
      </c>
      <c r="E13" s="189" t="str">
        <f t="shared" ca="1" si="2"/>
        <v>-</v>
      </c>
      <c r="F13" s="190">
        <f ca="1">Tables!F87</f>
        <v>0</v>
      </c>
      <c r="G13" s="581">
        <f ca="1">Tables!G87</f>
        <v>0</v>
      </c>
      <c r="H13" s="189" t="str">
        <f t="shared" ca="1" si="0"/>
        <v>-</v>
      </c>
      <c r="I13" s="190">
        <f ca="1">Tables!H87</f>
        <v>0</v>
      </c>
      <c r="J13" s="581">
        <f ca="1">Tables!I87</f>
        <v>0</v>
      </c>
      <c r="K13" s="189" t="str">
        <f t="shared" ca="1" si="1"/>
        <v>-</v>
      </c>
      <c r="L13" s="191" t="str">
        <f ca="1">Tables!M87</f>
        <v>n/a</v>
      </c>
      <c r="M13" s="489"/>
    </row>
    <row r="14" spans="1:13" x14ac:dyDescent="0.2">
      <c r="B14" s="216"/>
      <c r="C14" s="188"/>
      <c r="D14" s="586"/>
      <c r="E14" s="189"/>
      <c r="F14" s="190"/>
      <c r="G14" s="581"/>
      <c r="H14" s="189"/>
      <c r="I14" s="190"/>
      <c r="J14" s="581"/>
      <c r="K14" s="189"/>
      <c r="L14" s="191"/>
      <c r="M14" s="489"/>
    </row>
    <row r="15" spans="1:13" x14ac:dyDescent="0.2">
      <c r="B15" s="216" t="str">
        <f>Tables!B88</f>
        <v>Res/Small Business</v>
      </c>
      <c r="C15" s="188">
        <f ca="1">Tables!D88</f>
        <v>1040188</v>
      </c>
      <c r="D15" s="586">
        <f ca="1">Tables!E88</f>
        <v>763858.51</v>
      </c>
      <c r="E15" s="189">
        <f t="shared" ca="1" si="2"/>
        <v>0.73434658927040108</v>
      </c>
      <c r="F15" s="190">
        <f ca="1">Tables!F88</f>
        <v>5911929</v>
      </c>
      <c r="G15" s="581">
        <f ca="1">Tables!G88</f>
        <v>14687623</v>
      </c>
      <c r="H15" s="189">
        <f t="shared" ca="1" si="0"/>
        <v>2.4844044980919087</v>
      </c>
      <c r="I15" s="190">
        <f ca="1">Tables!H88</f>
        <v>1389</v>
      </c>
      <c r="J15" s="581">
        <f ca="1">Tables!I88</f>
        <v>2194</v>
      </c>
      <c r="K15" s="189">
        <f t="shared" ca="1" si="1"/>
        <v>1.5795536357091433</v>
      </c>
      <c r="L15" s="191">
        <f ca="1">Tables!M88</f>
        <v>1.5143610363179556</v>
      </c>
      <c r="M15" s="489"/>
    </row>
    <row r="16" spans="1:13" x14ac:dyDescent="0.2">
      <c r="B16" s="216" t="str">
        <f>Tables!B89</f>
        <v>Res/C&amp;I</v>
      </c>
      <c r="C16" s="188">
        <f ca="1">Tables!D89</f>
        <v>415993</v>
      </c>
      <c r="D16" s="586">
        <f ca="1">Tables!E89</f>
        <v>410760.84</v>
      </c>
      <c r="E16" s="189">
        <f t="shared" ca="1" si="2"/>
        <v>0.9874224806667421</v>
      </c>
      <c r="F16" s="190">
        <f ca="1">Tables!F89</f>
        <v>727832</v>
      </c>
      <c r="G16" s="581">
        <f ca="1">Tables!G89</f>
        <v>482893</v>
      </c>
      <c r="H16" s="189">
        <f t="shared" ca="1" si="0"/>
        <v>0.66346766836302884</v>
      </c>
      <c r="I16" s="190">
        <f ca="1">Tables!H89</f>
        <v>160</v>
      </c>
      <c r="J16" s="581">
        <f ca="1">Tables!I89</f>
        <v>48</v>
      </c>
      <c r="K16" s="189">
        <f t="shared" ca="1" si="1"/>
        <v>0.3</v>
      </c>
      <c r="L16" s="191">
        <f ca="1">Tables!M89</f>
        <v>1.0696477892518721</v>
      </c>
      <c r="M16" s="489"/>
    </row>
    <row r="17" spans="2:12" x14ac:dyDescent="0.2">
      <c r="B17" s="216" t="str">
        <f>Tables!B90</f>
        <v>Small Business/C&amp;I</v>
      </c>
      <c r="C17" s="188">
        <f ca="1">Tables!D90</f>
        <v>1596350</v>
      </c>
      <c r="D17" s="586">
        <f ca="1">Tables!E90</f>
        <v>1545628.96</v>
      </c>
      <c r="E17" s="189">
        <f t="shared" ca="1" si="2"/>
        <v>0.96822686754157916</v>
      </c>
      <c r="F17" s="190">
        <f ca="1">Tables!F90</f>
        <v>6060578</v>
      </c>
      <c r="G17" s="581">
        <f ca="1">Tables!G90</f>
        <v>4161317</v>
      </c>
      <c r="H17" s="189">
        <f t="shared" ca="1" si="0"/>
        <v>0.68662048405284115</v>
      </c>
      <c r="I17" s="190">
        <f ca="1">Tables!H90</f>
        <v>668</v>
      </c>
      <c r="J17" s="581">
        <f ca="1">Tables!I90</f>
        <v>645</v>
      </c>
      <c r="K17" s="189">
        <f t="shared" ca="1" si="1"/>
        <v>0.96556886227544914</v>
      </c>
      <c r="L17" s="191">
        <f ca="1">Tables!M90</f>
        <v>1.6595268983228013</v>
      </c>
    </row>
    <row r="18" spans="2:12" x14ac:dyDescent="0.2">
      <c r="B18" s="216"/>
      <c r="C18" s="188"/>
      <c r="D18" s="586"/>
      <c r="E18" s="189"/>
      <c r="F18" s="190"/>
      <c r="G18" s="581"/>
      <c r="H18" s="189"/>
      <c r="I18" s="190"/>
      <c r="J18" s="581"/>
      <c r="K18" s="189"/>
      <c r="L18" s="191"/>
    </row>
    <row r="19" spans="2:12" x14ac:dyDescent="0.2">
      <c r="B19" s="216" t="str">
        <f>Tables!B91</f>
        <v>All Classes</v>
      </c>
      <c r="C19" s="188">
        <f ca="1">Tables!D91</f>
        <v>0</v>
      </c>
      <c r="D19" s="586">
        <f ca="1">Tables!E91</f>
        <v>0</v>
      </c>
      <c r="E19" s="189" t="str">
        <f t="shared" ca="1" si="2"/>
        <v>-</v>
      </c>
      <c r="F19" s="190">
        <f ca="1">Tables!F91</f>
        <v>0</v>
      </c>
      <c r="G19" s="581">
        <f ca="1">Tables!G91</f>
        <v>0</v>
      </c>
      <c r="H19" s="189" t="str">
        <f t="shared" ca="1" si="0"/>
        <v>-</v>
      </c>
      <c r="I19" s="190">
        <f ca="1">Tables!H91</f>
        <v>0</v>
      </c>
      <c r="J19" s="581">
        <f ca="1">Tables!I91</f>
        <v>0</v>
      </c>
      <c r="K19" s="189" t="str">
        <f t="shared" ca="1" si="1"/>
        <v>-</v>
      </c>
      <c r="L19" s="191" t="str">
        <f ca="1">Tables!M91</f>
        <v>n/a</v>
      </c>
    </row>
    <row r="20" spans="2:12" ht="13.5" thickBot="1" x14ac:dyDescent="0.25">
      <c r="B20" s="217"/>
      <c r="C20" s="219" t="str">
        <f ca="1">Tables!D77</f>
        <v>-</v>
      </c>
      <c r="D20" s="588" t="str">
        <f ca="1">Tables!E77</f>
        <v>-</v>
      </c>
      <c r="E20" s="220" t="str">
        <f t="shared" ca="1" si="2"/>
        <v>-</v>
      </c>
      <c r="F20" s="221" t="str">
        <f ca="1">Tables!F77</f>
        <v>-</v>
      </c>
      <c r="G20" s="589" t="str">
        <f ca="1">Tables!G77</f>
        <v>-</v>
      </c>
      <c r="H20" s="220" t="str">
        <f t="shared" ca="1" si="0"/>
        <v>-</v>
      </c>
      <c r="I20" s="221" t="str">
        <f ca="1">Tables!H77</f>
        <v>-</v>
      </c>
      <c r="J20" s="589" t="str">
        <f ca="1">Tables!I77</f>
        <v>-</v>
      </c>
      <c r="K20" s="220" t="str">
        <f t="shared" ca="1" si="1"/>
        <v>-</v>
      </c>
      <c r="L20" s="222" t="str">
        <f ca="1">Tables!J77</f>
        <v>-</v>
      </c>
    </row>
    <row r="21" spans="2:12" ht="15.75" thickBot="1" x14ac:dyDescent="0.3">
      <c r="B21" s="239" t="s">
        <v>840</v>
      </c>
      <c r="C21" s="233">
        <f ca="1">SUM(C8:C20)</f>
        <v>14188564</v>
      </c>
      <c r="D21" s="234">
        <f ca="1">SUM(D8:D20)</f>
        <v>13130586.93</v>
      </c>
      <c r="E21" s="235">
        <f t="shared" ca="1" si="2"/>
        <v>0.92543452106922164</v>
      </c>
      <c r="F21" s="236">
        <f ca="1">SUM(F8:F20)</f>
        <v>38312140</v>
      </c>
      <c r="G21" s="237">
        <f ca="1">SUM(G8:G20)</f>
        <v>44577760</v>
      </c>
      <c r="H21" s="235">
        <f t="shared" ca="1" si="0"/>
        <v>1.1635413735698397</v>
      </c>
      <c r="I21" s="236">
        <f ca="1">SUM(I8:I20)</f>
        <v>26851</v>
      </c>
      <c r="J21" s="237">
        <f ca="1">SUM(J8:J20)</f>
        <v>141263</v>
      </c>
      <c r="K21" s="235">
        <f t="shared" ca="1" si="1"/>
        <v>5.260995866075751</v>
      </c>
      <c r="L21" s="238">
        <f>'Cost-Benefits'!J27</f>
        <v>1.6820050651604246</v>
      </c>
    </row>
    <row r="23" spans="2:12" x14ac:dyDescent="0.2">
      <c r="B23" s="2" t="s">
        <v>841</v>
      </c>
    </row>
    <row r="24" spans="2:12" x14ac:dyDescent="0.2">
      <c r="B24" s="177" t="s">
        <v>842</v>
      </c>
      <c r="D24" s="2" t="s">
        <v>843</v>
      </c>
    </row>
    <row r="25" spans="2:12" x14ac:dyDescent="0.2">
      <c r="D25" s="2" t="str">
        <f>F6</f>
        <v>Savings (kWh)</v>
      </c>
    </row>
  </sheetData>
  <sheetProtection password="C925" sheet="1" objects="1" scenarios="1" formatColumns="0" formatRows="0"/>
  <mergeCells count="6">
    <mergeCell ref="B2:L2"/>
    <mergeCell ref="B4:L4"/>
    <mergeCell ref="C6:E6"/>
    <mergeCell ref="F6:H6"/>
    <mergeCell ref="I6:K6"/>
    <mergeCell ref="L6:L7"/>
  </mergeCells>
  <dataValidations count="1">
    <dataValidation type="list" allowBlank="1" showInputMessage="1" showErrorMessage="1" sqref="B24" xr:uid="{00000000-0002-0000-2A00-000000000000}">
      <formula1>G_List</formula1>
    </dataValidation>
  </dataValidations>
  <pageMargins left="0.25" right="0.25" top="0.75" bottom="0.75" header="0.3" footer="0.3"/>
  <pageSetup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B1:O23"/>
  <sheetViews>
    <sheetView showGridLines="0" zoomScale="110" zoomScaleNormal="110" workbookViewId="0"/>
  </sheetViews>
  <sheetFormatPr defaultRowHeight="12.75" x14ac:dyDescent="0.2"/>
  <cols>
    <col min="1" max="1" width="1.42578125" customWidth="1"/>
    <col min="2" max="2" width="1.85546875" customWidth="1"/>
    <col min="3" max="14" width="10.85546875" customWidth="1"/>
    <col min="15" max="15" width="2.85546875" customWidth="1"/>
  </cols>
  <sheetData>
    <row r="1" spans="2:15" ht="5.0999999999999996" customHeight="1" thickBot="1" x14ac:dyDescent="0.25"/>
    <row r="2" spans="2:15" ht="38.25" customHeight="1" x14ac:dyDescent="0.2">
      <c r="B2" s="798" t="s">
        <v>844</v>
      </c>
      <c r="C2" s="799"/>
      <c r="D2" s="799"/>
      <c r="E2" s="799"/>
      <c r="F2" s="799"/>
      <c r="G2" s="799"/>
      <c r="H2" s="799"/>
      <c r="I2" s="799"/>
      <c r="J2" s="799"/>
      <c r="K2" s="799"/>
      <c r="L2" s="799"/>
      <c r="M2" s="799"/>
      <c r="N2" s="799"/>
      <c r="O2" s="800"/>
    </row>
    <row r="3" spans="2:15" ht="23.25" x14ac:dyDescent="0.35">
      <c r="B3" s="801" t="s">
        <v>845</v>
      </c>
      <c r="C3" s="802"/>
      <c r="D3" s="802"/>
      <c r="E3" s="802"/>
      <c r="F3" s="802"/>
      <c r="G3" s="802"/>
      <c r="H3" s="802"/>
      <c r="I3" s="802"/>
      <c r="J3" s="802"/>
      <c r="K3" s="802"/>
      <c r="L3" s="802"/>
      <c r="M3" s="802"/>
      <c r="N3" s="802"/>
      <c r="O3" s="803"/>
    </row>
    <row r="4" spans="2:15" x14ac:dyDescent="0.2">
      <c r="B4" s="8"/>
      <c r="O4" s="19"/>
    </row>
    <row r="5" spans="2:15" ht="13.5" thickBot="1" x14ac:dyDescent="0.25">
      <c r="B5" s="8"/>
      <c r="O5" s="19"/>
    </row>
    <row r="6" spans="2:15" x14ac:dyDescent="0.2">
      <c r="B6" s="8"/>
      <c r="C6" s="40" t="s">
        <v>846</v>
      </c>
      <c r="D6" s="43" t="s">
        <v>847</v>
      </c>
      <c r="E6" s="35"/>
      <c r="F6" s="40" t="s">
        <v>848</v>
      </c>
      <c r="G6" s="40" t="s">
        <v>849</v>
      </c>
      <c r="H6" s="49"/>
      <c r="I6" s="43" t="s">
        <v>850</v>
      </c>
      <c r="J6" s="35"/>
      <c r="K6" s="43" t="s">
        <v>851</v>
      </c>
      <c r="L6" s="35"/>
      <c r="M6" s="39" t="s">
        <v>852</v>
      </c>
      <c r="N6" s="35"/>
      <c r="O6" s="19"/>
    </row>
    <row r="7" spans="2:15" ht="51" x14ac:dyDescent="0.2">
      <c r="B7" s="8"/>
      <c r="C7" s="316" t="s">
        <v>82</v>
      </c>
      <c r="D7" s="44" t="s">
        <v>853</v>
      </c>
      <c r="E7" s="45" t="s">
        <v>854</v>
      </c>
      <c r="F7" s="47" t="s">
        <v>855</v>
      </c>
      <c r="G7" s="47" t="s">
        <v>856</v>
      </c>
      <c r="H7" s="50" t="s">
        <v>857</v>
      </c>
      <c r="I7" s="52" t="s">
        <v>858</v>
      </c>
      <c r="J7" s="36" t="s">
        <v>859</v>
      </c>
      <c r="K7" s="44" t="s">
        <v>860</v>
      </c>
      <c r="L7" s="36" t="s">
        <v>859</v>
      </c>
      <c r="M7" s="591" t="s">
        <v>861</v>
      </c>
      <c r="N7" s="36" t="s">
        <v>859</v>
      </c>
      <c r="O7" s="19"/>
    </row>
    <row r="8" spans="2:15" ht="13.5" thickBot="1" x14ac:dyDescent="0.25">
      <c r="B8" s="8"/>
      <c r="C8" s="41"/>
      <c r="D8" s="37"/>
      <c r="E8" s="46"/>
      <c r="F8" s="41"/>
      <c r="G8" s="41"/>
      <c r="H8" s="51" t="s">
        <v>443</v>
      </c>
      <c r="I8" s="53" t="s">
        <v>443</v>
      </c>
      <c r="J8" s="38" t="s">
        <v>862</v>
      </c>
      <c r="K8" s="53" t="s">
        <v>443</v>
      </c>
      <c r="L8" s="38" t="s">
        <v>863</v>
      </c>
      <c r="M8" s="48" t="s">
        <v>443</v>
      </c>
      <c r="N8" s="38" t="s">
        <v>864</v>
      </c>
      <c r="O8" s="19"/>
    </row>
    <row r="9" spans="2:15" ht="13.5" thickBot="1" x14ac:dyDescent="0.25">
      <c r="B9" s="8"/>
      <c r="C9" s="42">
        <f>Prg_Year</f>
        <v>2025</v>
      </c>
      <c r="D9" s="209">
        <f>'Utility Information'!D13</f>
        <v>3</v>
      </c>
      <c r="E9" s="58">
        <f>IF(ISERROR(D9/(H9/1000)),"-",(D9/(H9/1000)))</f>
        <v>0.22693866667844731</v>
      </c>
      <c r="F9" s="312">
        <f>Training!D6</f>
        <v>32</v>
      </c>
      <c r="G9" s="312">
        <f>Training!F6</f>
        <v>134</v>
      </c>
      <c r="H9" s="309">
        <f>'Table 3'!F15/1000</f>
        <v>13219.4308</v>
      </c>
      <c r="I9" s="310">
        <f>'Table 3'!F9/1000</f>
        <v>17.506550000000001</v>
      </c>
      <c r="J9" s="59">
        <f>IF(ISERROR(I9/$H9),"-",(I9/$H9))</f>
        <v>1.3243043717131905E-3</v>
      </c>
      <c r="K9" s="60">
        <f>H9-I9-M9</f>
        <v>12717.23335</v>
      </c>
      <c r="L9" s="59">
        <f>IF(ISERROR(K9/$H9),"-",(K9/$H9))</f>
        <v>0.96201066009589464</v>
      </c>
      <c r="M9" s="311">
        <f>'Table 3'!F12/1000</f>
        <v>484.6909</v>
      </c>
      <c r="N9" s="59">
        <f>IF(ISERROR(M9/$H9),"-",(M9/$H9))</f>
        <v>3.6665035532392212E-2</v>
      </c>
      <c r="O9" s="19"/>
    </row>
    <row r="10" spans="2:15" x14ac:dyDescent="0.2">
      <c r="B10" s="8"/>
      <c r="C10" s="2"/>
      <c r="D10" s="2"/>
      <c r="E10" s="2"/>
      <c r="F10" s="2"/>
      <c r="G10" s="2"/>
      <c r="H10" s="2"/>
      <c r="I10" s="2"/>
      <c r="J10" s="2"/>
      <c r="K10" s="2"/>
      <c r="L10" s="2"/>
      <c r="M10" s="2"/>
      <c r="N10" s="2"/>
      <c r="O10" s="19"/>
    </row>
    <row r="11" spans="2:15" ht="13.5" thickBot="1" x14ac:dyDescent="0.25">
      <c r="B11" s="8"/>
      <c r="C11" s="2"/>
      <c r="D11" s="2"/>
      <c r="E11" s="2"/>
      <c r="F11" s="2"/>
      <c r="G11" s="2"/>
      <c r="H11" s="2"/>
      <c r="I11" s="2"/>
      <c r="J11" s="2"/>
      <c r="K11" s="2"/>
      <c r="L11" s="2"/>
      <c r="M11" s="2"/>
      <c r="N11" s="2"/>
      <c r="O11" s="19"/>
    </row>
    <row r="12" spans="2:15" ht="15.75" thickBot="1" x14ac:dyDescent="0.3">
      <c r="B12" s="8"/>
      <c r="C12" s="2"/>
      <c r="D12" s="792" t="s">
        <v>865</v>
      </c>
      <c r="E12" s="793"/>
      <c r="F12" s="793"/>
      <c r="G12" s="793"/>
      <c r="H12" s="793"/>
      <c r="I12" s="793"/>
      <c r="J12" s="793"/>
      <c r="K12" s="793"/>
      <c r="L12" s="793"/>
      <c r="M12" s="794"/>
      <c r="N12" s="2"/>
      <c r="O12" s="19"/>
    </row>
    <row r="13" spans="2:15" ht="13.5" thickBot="1" x14ac:dyDescent="0.25">
      <c r="B13" s="8"/>
      <c r="C13" s="2"/>
      <c r="D13" s="78" t="s">
        <v>846</v>
      </c>
      <c r="E13" s="795" t="s">
        <v>866</v>
      </c>
      <c r="F13" s="796"/>
      <c r="G13" s="796"/>
      <c r="H13" s="796"/>
      <c r="I13" s="796"/>
      <c r="J13" s="796"/>
      <c r="K13" s="797"/>
      <c r="L13" s="795" t="s">
        <v>867</v>
      </c>
      <c r="M13" s="797"/>
      <c r="N13" s="2"/>
      <c r="O13" s="19"/>
    </row>
    <row r="14" spans="2:15" x14ac:dyDescent="0.2">
      <c r="B14" s="8"/>
      <c r="C14" s="2"/>
      <c r="D14" s="79">
        <v>1</v>
      </c>
      <c r="E14" s="82" t="s">
        <v>868</v>
      </c>
      <c r="F14" s="6"/>
      <c r="G14" s="6"/>
      <c r="H14" s="6"/>
      <c r="I14" s="6"/>
      <c r="J14" s="6"/>
      <c r="K14" s="83"/>
      <c r="L14" s="82" t="s">
        <v>869</v>
      </c>
      <c r="M14" s="83"/>
      <c r="N14" s="2"/>
      <c r="O14" s="19"/>
    </row>
    <row r="15" spans="2:15" x14ac:dyDescent="0.2">
      <c r="B15" s="8"/>
      <c r="C15" s="2"/>
      <c r="D15" s="80">
        <v>2</v>
      </c>
      <c r="E15" s="84" t="s">
        <v>870</v>
      </c>
      <c r="F15" s="509"/>
      <c r="G15" s="509"/>
      <c r="H15" s="509"/>
      <c r="I15" s="509"/>
      <c r="J15" s="509"/>
      <c r="K15" s="85"/>
      <c r="L15" s="84" t="s">
        <v>869</v>
      </c>
      <c r="M15" s="85"/>
      <c r="N15" s="2"/>
      <c r="O15" s="19"/>
    </row>
    <row r="16" spans="2:15" x14ac:dyDescent="0.2">
      <c r="B16" s="8"/>
      <c r="C16" s="2"/>
      <c r="D16" s="80">
        <v>3</v>
      </c>
      <c r="E16" s="84" t="s">
        <v>871</v>
      </c>
      <c r="F16" s="509"/>
      <c r="G16" s="509"/>
      <c r="H16" s="509"/>
      <c r="I16" s="509"/>
      <c r="J16" s="509"/>
      <c r="K16" s="85"/>
      <c r="L16" s="84" t="s">
        <v>869</v>
      </c>
      <c r="M16" s="85"/>
      <c r="N16" s="2"/>
      <c r="O16" s="19"/>
    </row>
    <row r="17" spans="2:15" x14ac:dyDescent="0.2">
      <c r="B17" s="8"/>
      <c r="C17" s="2"/>
      <c r="D17" s="80">
        <v>4</v>
      </c>
      <c r="E17" s="84" t="s">
        <v>872</v>
      </c>
      <c r="F17" s="509"/>
      <c r="G17" s="509"/>
      <c r="H17" s="509"/>
      <c r="I17" s="509"/>
      <c r="J17" s="509"/>
      <c r="K17" s="85"/>
      <c r="L17" s="84" t="s">
        <v>873</v>
      </c>
      <c r="M17" s="85"/>
      <c r="N17" s="2"/>
      <c r="O17" s="19"/>
    </row>
    <row r="18" spans="2:15" x14ac:dyDescent="0.2">
      <c r="B18" s="8"/>
      <c r="C18" s="2"/>
      <c r="D18" s="80">
        <v>5</v>
      </c>
      <c r="E18" s="84" t="s">
        <v>874</v>
      </c>
      <c r="F18" s="509"/>
      <c r="G18" s="509"/>
      <c r="H18" s="509"/>
      <c r="I18" s="509"/>
      <c r="J18" s="509"/>
      <c r="K18" s="85"/>
      <c r="L18" s="84" t="s">
        <v>875</v>
      </c>
      <c r="M18" s="85"/>
      <c r="N18" s="2"/>
      <c r="O18" s="19"/>
    </row>
    <row r="19" spans="2:15" x14ac:dyDescent="0.2">
      <c r="B19" s="8"/>
      <c r="C19" s="2"/>
      <c r="D19" s="80">
        <v>6</v>
      </c>
      <c r="E19" s="84" t="s">
        <v>876</v>
      </c>
      <c r="F19" s="509"/>
      <c r="G19" s="509"/>
      <c r="H19" s="509"/>
      <c r="I19" s="509"/>
      <c r="J19" s="509"/>
      <c r="K19" s="85"/>
      <c r="L19" s="84" t="s">
        <v>873</v>
      </c>
      <c r="M19" s="85"/>
      <c r="N19" s="2"/>
      <c r="O19" s="19"/>
    </row>
    <row r="20" spans="2:15" x14ac:dyDescent="0.2">
      <c r="B20" s="8"/>
      <c r="C20" s="2"/>
      <c r="D20" s="80">
        <v>7</v>
      </c>
      <c r="E20" s="84" t="s">
        <v>877</v>
      </c>
      <c r="F20" s="509"/>
      <c r="G20" s="509"/>
      <c r="H20" s="509"/>
      <c r="I20" s="509"/>
      <c r="J20" s="509"/>
      <c r="K20" s="85"/>
      <c r="L20" s="84" t="s">
        <v>878</v>
      </c>
      <c r="M20" s="85"/>
      <c r="N20" s="2"/>
      <c r="O20" s="19"/>
    </row>
    <row r="21" spans="2:15" ht="13.5" thickBot="1" x14ac:dyDescent="0.25">
      <c r="B21" s="8"/>
      <c r="C21" s="2"/>
      <c r="D21" s="81">
        <v>8</v>
      </c>
      <c r="E21" s="86" t="s">
        <v>879</v>
      </c>
      <c r="F21" s="87"/>
      <c r="G21" s="87"/>
      <c r="H21" s="87"/>
      <c r="I21" s="87"/>
      <c r="J21" s="87"/>
      <c r="K21" s="88"/>
      <c r="L21" s="86" t="s">
        <v>878</v>
      </c>
      <c r="M21" s="88"/>
      <c r="N21" s="2"/>
      <c r="O21" s="19"/>
    </row>
    <row r="22" spans="2:15" x14ac:dyDescent="0.2">
      <c r="B22" s="8"/>
      <c r="O22" s="19"/>
    </row>
    <row r="23" spans="2:15" x14ac:dyDescent="0.2">
      <c r="B23" s="313"/>
      <c r="C23" s="314"/>
      <c r="D23" s="314"/>
      <c r="E23" s="314"/>
      <c r="F23" s="314"/>
      <c r="G23" s="314"/>
      <c r="H23" s="314"/>
      <c r="I23" s="314"/>
      <c r="J23" s="314"/>
      <c r="K23" s="314"/>
      <c r="L23" s="314"/>
      <c r="M23" s="314"/>
      <c r="N23" s="314"/>
      <c r="O23" s="315"/>
    </row>
  </sheetData>
  <sheetProtection password="C925" sheet="1" objects="1" scenarios="1"/>
  <mergeCells count="5">
    <mergeCell ref="D12:M12"/>
    <mergeCell ref="E13:K13"/>
    <mergeCell ref="L13:M13"/>
    <mergeCell ref="B2:O2"/>
    <mergeCell ref="B3:O3"/>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W27"/>
  <sheetViews>
    <sheetView showGridLines="0" zoomScale="75" zoomScaleNormal="75" workbookViewId="0">
      <pane xSplit="5" ySplit="2" topLeftCell="F3" activePane="bottomRight" state="frozen"/>
      <selection pane="topRight" activeCell="F1" sqref="F1"/>
      <selection pane="bottomLeft" activeCell="A2" sqref="A2"/>
      <selection pane="bottomRight" activeCell="A3" sqref="A3"/>
    </sheetView>
  </sheetViews>
  <sheetFormatPr defaultColWidth="9.140625" defaultRowHeight="12.75" x14ac:dyDescent="0.2"/>
  <cols>
    <col min="1" max="1" width="1" style="2" customWidth="1"/>
    <col min="2" max="2" width="36" style="2" customWidth="1"/>
    <col min="3" max="3" width="20.140625" style="2" bestFit="1" customWidth="1"/>
    <col min="4" max="4" width="26.42578125" style="2" bestFit="1" customWidth="1"/>
    <col min="5" max="5" width="28.140625" style="2" bestFit="1" customWidth="1"/>
    <col min="6" max="6" width="11.5703125" style="2" customWidth="1"/>
    <col min="7" max="7" width="12" style="2" bestFit="1" customWidth="1"/>
    <col min="8" max="11" width="13.85546875" style="2" customWidth="1"/>
    <col min="12" max="13" width="10.42578125" style="2" bestFit="1" customWidth="1"/>
    <col min="14" max="14" width="18" style="2" bestFit="1" customWidth="1"/>
    <col min="15" max="15" width="18" style="2" customWidth="1"/>
    <col min="16" max="16" width="15.85546875" style="2" bestFit="1" customWidth="1"/>
    <col min="17" max="18" width="15.85546875" style="2" customWidth="1"/>
    <col min="19" max="19" width="15.85546875" style="2" bestFit="1" customWidth="1"/>
    <col min="20" max="20" width="1.140625" style="2" customWidth="1"/>
    <col min="21" max="16384" width="9.140625" style="2"/>
  </cols>
  <sheetData>
    <row r="1" spans="1:23" ht="5.0999999999999996" customHeight="1" thickBot="1" x14ac:dyDescent="0.25"/>
    <row r="2" spans="1:23" ht="38.25" customHeight="1" thickBot="1" x14ac:dyDescent="0.25">
      <c r="B2" s="671" t="s">
        <v>74</v>
      </c>
      <c r="C2" s="671"/>
      <c r="D2" s="671"/>
      <c r="E2" s="671"/>
      <c r="F2" s="671"/>
      <c r="G2" s="671"/>
      <c r="H2" s="671"/>
      <c r="I2" s="671"/>
      <c r="J2" s="671"/>
      <c r="K2" s="671"/>
      <c r="L2" s="671"/>
      <c r="M2" s="671"/>
      <c r="N2" s="671"/>
      <c r="O2" s="671"/>
      <c r="P2" s="671"/>
      <c r="Q2" s="671"/>
      <c r="R2" s="671"/>
      <c r="S2" s="671"/>
    </row>
    <row r="3" spans="1:23" ht="4.5" customHeight="1" x14ac:dyDescent="0.2"/>
    <row r="4" spans="1:23" ht="23.25" x14ac:dyDescent="0.35">
      <c r="B4" s="785" t="str">
        <f>Titles!F2&amp;" Portfolio Data"</f>
        <v>2025 Portfolio Data</v>
      </c>
      <c r="C4" s="785"/>
      <c r="D4" s="785"/>
      <c r="E4" s="785"/>
      <c r="F4" s="785"/>
      <c r="G4" s="785"/>
      <c r="H4" s="785"/>
      <c r="I4" s="785"/>
      <c r="J4" s="785"/>
      <c r="K4" s="785"/>
      <c r="L4" s="785"/>
      <c r="M4" s="785"/>
      <c r="N4" s="785"/>
      <c r="O4" s="785"/>
      <c r="P4" s="785"/>
      <c r="Q4" s="785"/>
      <c r="R4" s="785"/>
      <c r="S4" s="785"/>
    </row>
    <row r="5" spans="1:23" ht="4.5" customHeight="1" x14ac:dyDescent="0.2"/>
    <row r="6" spans="1:23" ht="15.75" customHeight="1" x14ac:dyDescent="0.2">
      <c r="F6" s="804" t="s">
        <v>555</v>
      </c>
      <c r="G6" s="804"/>
      <c r="H6" s="804" t="str">
        <f>"Energy Savings ("&amp;Titles!F13&amp;")"</f>
        <v>Energy Savings (kWh)</v>
      </c>
      <c r="I6" s="804"/>
      <c r="J6" s="804" t="str">
        <f>"Demand Savings ("&amp;Titles!F15&amp;")"</f>
        <v>Demand Savings (kW)</v>
      </c>
      <c r="K6" s="804"/>
      <c r="L6" s="804" t="s">
        <v>202</v>
      </c>
      <c r="M6" s="804"/>
      <c r="N6" s="804" t="s">
        <v>439</v>
      </c>
      <c r="O6" s="804"/>
      <c r="P6" s="804"/>
      <c r="Q6" s="804"/>
      <c r="R6" s="804"/>
      <c r="S6" s="804"/>
      <c r="W6" s="245"/>
    </row>
    <row r="7" spans="1:23" ht="24.75" customHeight="1" x14ac:dyDescent="0.2">
      <c r="A7" s="489"/>
      <c r="B7" s="536" t="s">
        <v>93</v>
      </c>
      <c r="C7" s="536" t="s">
        <v>94</v>
      </c>
      <c r="D7" s="536" t="s">
        <v>95</v>
      </c>
      <c r="E7" s="536" t="s">
        <v>96</v>
      </c>
      <c r="F7" s="536" t="s">
        <v>542</v>
      </c>
      <c r="G7" s="536" t="s">
        <v>543</v>
      </c>
      <c r="H7" s="536" t="s">
        <v>544</v>
      </c>
      <c r="I7" s="536" t="s">
        <v>545</v>
      </c>
      <c r="J7" s="536" t="s">
        <v>544</v>
      </c>
      <c r="K7" s="536" t="s">
        <v>545</v>
      </c>
      <c r="L7" s="536" t="s">
        <v>544</v>
      </c>
      <c r="M7" s="536" t="s">
        <v>543</v>
      </c>
      <c r="N7" s="536" t="str">
        <f>"Lifetime Savings ("&amp;Titles!F14&amp;")"</f>
        <v>Lifetime Savings (MWh)</v>
      </c>
      <c r="O7" s="536" t="s">
        <v>880</v>
      </c>
      <c r="P7" s="536" t="s">
        <v>437</v>
      </c>
      <c r="Q7" s="536" t="s">
        <v>591</v>
      </c>
      <c r="R7" s="536" t="s">
        <v>442</v>
      </c>
      <c r="S7" s="536" t="s">
        <v>881</v>
      </c>
      <c r="T7" s="489"/>
      <c r="U7" s="247"/>
      <c r="V7" s="247"/>
      <c r="W7" s="247"/>
    </row>
    <row r="8" spans="1:23" x14ac:dyDescent="0.2">
      <c r="B8" s="592" t="str">
        <f>Data!B4</f>
        <v>Load Mgt (LMP)</v>
      </c>
      <c r="C8" s="592" t="str">
        <f>Data!C4</f>
        <v>Commercial &amp; Industrial</v>
      </c>
      <c r="D8" s="592" t="str">
        <f>Data!D4</f>
        <v>Demand Response</v>
      </c>
      <c r="E8" s="592" t="str">
        <f>Data!E4</f>
        <v>Utility Outreach (email/direct mail)</v>
      </c>
      <c r="F8" s="586">
        <f>Data!K4</f>
        <v>1007610</v>
      </c>
      <c r="G8" s="586">
        <f>Data!K29</f>
        <v>786371.33000000007</v>
      </c>
      <c r="H8" s="581">
        <f>Data!M4</f>
        <v>0</v>
      </c>
      <c r="I8" s="581">
        <f>Data!M29</f>
        <v>166783</v>
      </c>
      <c r="J8" s="581">
        <f>Data!L4</f>
        <v>16250</v>
      </c>
      <c r="K8" s="581">
        <f>Data!L29</f>
        <v>8209.93</v>
      </c>
      <c r="L8" s="581">
        <f>Data!N4</f>
        <v>50</v>
      </c>
      <c r="M8" s="581">
        <f>Data!N29</f>
        <v>19</v>
      </c>
      <c r="N8" s="581">
        <f>Data!O29</f>
        <v>166.78299999999999</v>
      </c>
      <c r="O8" s="586">
        <f>Data!P29</f>
        <v>366.87</v>
      </c>
      <c r="P8" s="586">
        <f>Data!Q29</f>
        <v>618.20899999999995</v>
      </c>
      <c r="Q8" s="586">
        <f>Data!R29</f>
        <v>251.33899999999994</v>
      </c>
      <c r="R8" s="593">
        <f>Data!S29</f>
        <v>1.6850900864066289</v>
      </c>
      <c r="S8" s="594">
        <f>Data!T29</f>
        <v>2.3039496711295464</v>
      </c>
      <c r="T8" s="489"/>
      <c r="U8" s="248"/>
      <c r="V8" s="246"/>
    </row>
    <row r="9" spans="1:23" x14ac:dyDescent="0.2">
      <c r="B9" s="592" t="str">
        <f>Data!B5</f>
        <v>Comm &amp; Industrial (CIEEP)</v>
      </c>
      <c r="C9" s="592" t="str">
        <f>Data!C5</f>
        <v>Commercial &amp; Industrial</v>
      </c>
      <c r="D9" s="592" t="str">
        <f>Data!D5</f>
        <v>Other</v>
      </c>
      <c r="E9" s="592" t="str">
        <f>Data!E5</f>
        <v>Trade Ally</v>
      </c>
      <c r="F9" s="586">
        <f>Data!K5</f>
        <v>3084080</v>
      </c>
      <c r="G9" s="586">
        <f>Data!K30</f>
        <v>2928754.98</v>
      </c>
      <c r="H9" s="581">
        <f>Data!M5</f>
        <v>10534008</v>
      </c>
      <c r="I9" s="581">
        <f>Data!M30</f>
        <v>8691274</v>
      </c>
      <c r="J9" s="581">
        <f>Data!L5</f>
        <v>2367.4</v>
      </c>
      <c r="K9" s="581">
        <f>Data!L30</f>
        <v>1270.3900000000001</v>
      </c>
      <c r="L9" s="581">
        <f>Data!N5</f>
        <v>436</v>
      </c>
      <c r="M9" s="581">
        <f>Data!N30</f>
        <v>462</v>
      </c>
      <c r="N9" s="581">
        <f>Data!O30</f>
        <v>127814.393</v>
      </c>
      <c r="O9" s="586">
        <f>Data!P30</f>
        <v>4399.2529999999997</v>
      </c>
      <c r="P9" s="586">
        <f>Data!Q30</f>
        <v>5596.9120000000003</v>
      </c>
      <c r="Q9" s="586">
        <f>Data!R30</f>
        <v>1197.6590000000006</v>
      </c>
      <c r="R9" s="593">
        <f>Data!S30</f>
        <v>1.2722414464455671</v>
      </c>
      <c r="S9" s="594">
        <f>Data!T30</f>
        <v>4.8575973103719493E-2</v>
      </c>
      <c r="T9" s="489"/>
      <c r="U9" s="248"/>
      <c r="V9" s="246"/>
    </row>
    <row r="10" spans="1:23" x14ac:dyDescent="0.2">
      <c r="B10" s="592" t="str">
        <f>Data!B6</f>
        <v>Small Business (SBP)</v>
      </c>
      <c r="C10" s="592" t="str">
        <f>Data!C6</f>
        <v>Small Business/C&amp;I</v>
      </c>
      <c r="D10" s="592" t="str">
        <f>Data!D6</f>
        <v>Prescriptive/Standard Offer</v>
      </c>
      <c r="E10" s="592" t="str">
        <f>Data!E6</f>
        <v>Trade Ally</v>
      </c>
      <c r="F10" s="586">
        <f>Data!K6</f>
        <v>1596350</v>
      </c>
      <c r="G10" s="586">
        <f>Data!K31</f>
        <v>1545628.96</v>
      </c>
      <c r="H10" s="581">
        <f>Data!M6</f>
        <v>6060578</v>
      </c>
      <c r="I10" s="581">
        <f>Data!M31</f>
        <v>4161317</v>
      </c>
      <c r="J10" s="581">
        <f>Data!L6</f>
        <v>1414.55</v>
      </c>
      <c r="K10" s="581">
        <f>Data!L31</f>
        <v>1068.72</v>
      </c>
      <c r="L10" s="581">
        <f>Data!N6</f>
        <v>668</v>
      </c>
      <c r="M10" s="581">
        <f>Data!N31</f>
        <v>645</v>
      </c>
      <c r="N10" s="581">
        <f>Data!O31</f>
        <v>45473.733</v>
      </c>
      <c r="O10" s="586">
        <f>Data!P31</f>
        <v>1507.752</v>
      </c>
      <c r="P10" s="586">
        <f>Data!Q31</f>
        <v>2502.1550000000002</v>
      </c>
      <c r="Q10" s="586">
        <f>Data!R31</f>
        <v>994.40300000000025</v>
      </c>
      <c r="R10" s="593">
        <f>Data!S31</f>
        <v>1.6595268983228013</v>
      </c>
      <c r="S10" s="594">
        <f>Data!T31</f>
        <v>4.3244623189936021E-2</v>
      </c>
      <c r="T10" s="489"/>
      <c r="U10" s="248"/>
      <c r="V10" s="246"/>
    </row>
    <row r="11" spans="1:23" x14ac:dyDescent="0.2">
      <c r="B11" s="592" t="str">
        <f>Data!B7</f>
        <v>Efficient Products (EPP)</v>
      </c>
      <c r="C11" s="592" t="str">
        <f>Data!C7</f>
        <v>Residential</v>
      </c>
      <c r="D11" s="592" t="str">
        <f>Data!D7</f>
        <v>Consumer Product Rebate</v>
      </c>
      <c r="E11" s="592" t="str">
        <f>Data!E7</f>
        <v>Retail Outlets</v>
      </c>
      <c r="F11" s="586">
        <f>Data!K7</f>
        <v>720823</v>
      </c>
      <c r="G11" s="586">
        <f>Data!K32</f>
        <v>675653.44</v>
      </c>
      <c r="H11" s="581">
        <f>Data!M7</f>
        <v>1294116</v>
      </c>
      <c r="I11" s="581">
        <f>Data!M32</f>
        <v>3792328</v>
      </c>
      <c r="J11" s="581">
        <f>Data!L7</f>
        <v>115.6</v>
      </c>
      <c r="K11" s="581">
        <f>Data!L32</f>
        <v>290.13</v>
      </c>
      <c r="L11" s="581">
        <f>Data!N7</f>
        <v>14665</v>
      </c>
      <c r="M11" s="581">
        <f>Data!N32</f>
        <v>129782</v>
      </c>
      <c r="N11" s="581">
        <f>Data!O32</f>
        <v>45597.411</v>
      </c>
      <c r="O11" s="586">
        <f>Data!P32</f>
        <v>1002.715</v>
      </c>
      <c r="P11" s="586">
        <f>Data!Q32</f>
        <v>2356.4169999999999</v>
      </c>
      <c r="Q11" s="586">
        <f>Data!R32</f>
        <v>1353.7019999999998</v>
      </c>
      <c r="R11" s="593">
        <f>Data!S32</f>
        <v>2.3500366504939088</v>
      </c>
      <c r="S11" s="594">
        <f>Data!T32</f>
        <v>2.9352760018344817E-2</v>
      </c>
      <c r="T11" s="489"/>
      <c r="U11" s="248"/>
      <c r="V11" s="246"/>
    </row>
    <row r="12" spans="1:23" x14ac:dyDescent="0.2">
      <c r="B12" s="592" t="str">
        <f>Data!B8</f>
        <v>Res Energy Imprv (REIP)</v>
      </c>
      <c r="C12" s="592" t="str">
        <f>Data!C8</f>
        <v>Residential</v>
      </c>
      <c r="D12" s="592" t="str">
        <f>Data!D8</f>
        <v>Prescriptive/Standard Offer</v>
      </c>
      <c r="E12" s="592" t="str">
        <f>Data!E8</f>
        <v>Trade Ally</v>
      </c>
      <c r="F12" s="586">
        <f>Data!K8</f>
        <v>2864054</v>
      </c>
      <c r="G12" s="586">
        <f>Data!K33</f>
        <v>2841826.0799999996</v>
      </c>
      <c r="H12" s="581">
        <f>Data!M8</f>
        <v>5602155</v>
      </c>
      <c r="I12" s="581">
        <f>Data!M33</f>
        <v>7788226</v>
      </c>
      <c r="J12" s="581">
        <f>Data!L8</f>
        <v>1131.674</v>
      </c>
      <c r="K12" s="581">
        <f>Data!L33</f>
        <v>642.01</v>
      </c>
      <c r="L12" s="581">
        <f>Data!N8</f>
        <v>7033</v>
      </c>
      <c r="M12" s="581">
        <f>Data!N33</f>
        <v>6238</v>
      </c>
      <c r="N12" s="581">
        <f>Data!O33</f>
        <v>117124.44500000001</v>
      </c>
      <c r="O12" s="586">
        <f>Data!P33</f>
        <v>2982.0630000000001</v>
      </c>
      <c r="P12" s="586">
        <f>Data!Q33</f>
        <v>4615.1509999999998</v>
      </c>
      <c r="Q12" s="586">
        <f>Data!R33</f>
        <v>1633.0879999999997</v>
      </c>
      <c r="R12" s="593">
        <f>Data!S33</f>
        <v>1.5476369882192293</v>
      </c>
      <c r="S12" s="594">
        <f>Data!T33</f>
        <v>3.6178898194397867E-2</v>
      </c>
      <c r="T12" s="489"/>
      <c r="U12" s="248"/>
      <c r="V12" s="246"/>
    </row>
    <row r="13" spans="1:23" x14ac:dyDescent="0.2">
      <c r="B13" s="592" t="str">
        <f>Data!B9</f>
        <v>Home Weatherization (HWP)</v>
      </c>
      <c r="C13" s="592" t="str">
        <f>Data!C9</f>
        <v>Residential</v>
      </c>
      <c r="D13" s="592" t="str">
        <f>Data!D9</f>
        <v>Whole Home</v>
      </c>
      <c r="E13" s="592" t="str">
        <f>Data!E9</f>
        <v>Trade Ally</v>
      </c>
      <c r="F13" s="586">
        <f>Data!K9</f>
        <v>2361354</v>
      </c>
      <c r="G13" s="586">
        <f>Data!K34</f>
        <v>2066144.0100000002</v>
      </c>
      <c r="H13" s="581">
        <f>Data!M9</f>
        <v>6645777</v>
      </c>
      <c r="I13" s="581">
        <f>Data!M34</f>
        <v>3106874</v>
      </c>
      <c r="J13" s="581">
        <f>Data!L9</f>
        <v>2359.4059999999999</v>
      </c>
      <c r="K13" s="581">
        <f>Data!L34</f>
        <v>1194.19</v>
      </c>
      <c r="L13" s="581">
        <f>Data!N9</f>
        <v>2200</v>
      </c>
      <c r="M13" s="581">
        <f>Data!N34</f>
        <v>1180</v>
      </c>
      <c r="N13" s="581">
        <f>Data!O34</f>
        <v>72756.159</v>
      </c>
      <c r="O13" s="586">
        <f>Data!P34</f>
        <v>2069.826</v>
      </c>
      <c r="P13" s="586">
        <f>Data!Q34</f>
        <v>4858.973</v>
      </c>
      <c r="Q13" s="586">
        <f>Data!R34</f>
        <v>2789.1469999999999</v>
      </c>
      <c r="R13" s="593">
        <f>Data!S34</f>
        <v>2.3475272800708851</v>
      </c>
      <c r="S13" s="594">
        <f>Data!T34</f>
        <v>4.7706448672980427E-2</v>
      </c>
      <c r="T13" s="489"/>
      <c r="U13" s="248"/>
      <c r="V13" s="246"/>
    </row>
    <row r="14" spans="1:23" x14ac:dyDescent="0.2">
      <c r="B14" s="592" t="str">
        <f>Data!B10</f>
        <v>Discont'd EE AR (EEA)</v>
      </c>
      <c r="C14" s="592" t="str">
        <f>Data!C10</f>
        <v>All Classes</v>
      </c>
      <c r="D14" s="592" t="str">
        <f>Data!D10</f>
        <v>Behavior/Education</v>
      </c>
      <c r="E14" s="592" t="str">
        <f>Data!E10</f>
        <v>Statewide Administrator</v>
      </c>
      <c r="F14" s="586">
        <f>Data!K10</f>
        <v>0</v>
      </c>
      <c r="G14" s="586">
        <f>Data!K35</f>
        <v>0</v>
      </c>
      <c r="H14" s="581">
        <f>Data!M10</f>
        <v>0</v>
      </c>
      <c r="I14" s="581">
        <f>Data!M35</f>
        <v>0</v>
      </c>
      <c r="J14" s="581">
        <f>Data!L10</f>
        <v>0</v>
      </c>
      <c r="K14" s="581">
        <f>Data!L35</f>
        <v>0</v>
      </c>
      <c r="L14" s="581" t="str">
        <f>Data!N10</f>
        <v>N/A</v>
      </c>
      <c r="M14" s="581">
        <f>Data!N35</f>
        <v>0</v>
      </c>
      <c r="N14" s="581">
        <f>Data!O35</f>
        <v>0</v>
      </c>
      <c r="O14" s="586">
        <f>Data!P35</f>
        <v>0</v>
      </c>
      <c r="P14" s="586">
        <f>Data!Q35</f>
        <v>0</v>
      </c>
      <c r="Q14" s="586">
        <f>Data!R35</f>
        <v>0</v>
      </c>
      <c r="R14" s="593" t="str">
        <f>Data!S35</f>
        <v>n/a</v>
      </c>
      <c r="S14" s="594" t="str">
        <f>Data!T35</f>
        <v>n/a</v>
      </c>
      <c r="T14" s="489"/>
      <c r="U14" s="248"/>
      <c r="V14" s="246"/>
    </row>
    <row r="15" spans="1:23" x14ac:dyDescent="0.2">
      <c r="B15" s="592" t="str">
        <f>Data!B11</f>
        <v>Discont'd Onlne Audt(OLA)</v>
      </c>
      <c r="C15" s="592" t="str">
        <f>Data!C11</f>
        <v>Residential</v>
      </c>
      <c r="D15" s="592" t="str">
        <f>Data!D11</f>
        <v>Behavior/Education</v>
      </c>
      <c r="E15" s="592" t="str">
        <f>Data!E11</f>
        <v>Website</v>
      </c>
      <c r="F15" s="586">
        <f>Data!K11</f>
        <v>0</v>
      </c>
      <c r="G15" s="586">
        <f>Data!K36</f>
        <v>0</v>
      </c>
      <c r="H15" s="581">
        <f>Data!M11</f>
        <v>0</v>
      </c>
      <c r="I15" s="581">
        <f>Data!M36</f>
        <v>0</v>
      </c>
      <c r="J15" s="581">
        <f>Data!L11</f>
        <v>0</v>
      </c>
      <c r="K15" s="581">
        <f>Data!L36</f>
        <v>0</v>
      </c>
      <c r="L15" s="581" t="str">
        <f>Data!N11</f>
        <v>N/A</v>
      </c>
      <c r="M15" s="581">
        <f>Data!N36</f>
        <v>0</v>
      </c>
      <c r="N15" s="581">
        <f>Data!O36</f>
        <v>0</v>
      </c>
      <c r="O15" s="586">
        <f>Data!P36</f>
        <v>0</v>
      </c>
      <c r="P15" s="586">
        <f>Data!Q36</f>
        <v>0</v>
      </c>
      <c r="Q15" s="586">
        <f>Data!R36</f>
        <v>0</v>
      </c>
      <c r="R15" s="593" t="str">
        <f>Data!S36</f>
        <v>n/a</v>
      </c>
      <c r="S15" s="594" t="str">
        <f>Data!T36</f>
        <v>n/a</v>
      </c>
      <c r="T15" s="489"/>
      <c r="U15" s="248"/>
      <c r="V15" s="246"/>
    </row>
    <row r="16" spans="1:23" x14ac:dyDescent="0.2">
      <c r="B16" s="592" t="str">
        <f>Data!B12</f>
        <v>Income Qualified (IQW)</v>
      </c>
      <c r="C16" s="592" t="str">
        <f>Data!C12</f>
        <v>Residential</v>
      </c>
      <c r="D16" s="592" t="str">
        <f>Data!D12</f>
        <v>Whole Home</v>
      </c>
      <c r="E16" s="592" t="str">
        <f>Data!E12</f>
        <v>Trade Ally</v>
      </c>
      <c r="F16" s="586">
        <f>Data!K12</f>
        <v>1098112</v>
      </c>
      <c r="G16" s="586">
        <f>Data!K37</f>
        <v>1111588.78</v>
      </c>
      <c r="H16" s="581">
        <f>Data!M12</f>
        <v>1535745</v>
      </c>
      <c r="I16" s="581">
        <f>Data!M37</f>
        <v>1700442</v>
      </c>
      <c r="J16" s="581">
        <f>Data!L12</f>
        <v>609</v>
      </c>
      <c r="K16" s="581">
        <f>Data!L37</f>
        <v>605.71</v>
      </c>
      <c r="L16" s="581">
        <f>Data!N12</f>
        <v>250</v>
      </c>
      <c r="M16" s="581">
        <f>Data!N37</f>
        <v>695</v>
      </c>
      <c r="N16" s="581">
        <f>Data!O37</f>
        <v>32264.522000000001</v>
      </c>
      <c r="O16" s="586">
        <f>Data!P37</f>
        <v>1110.9390000000001</v>
      </c>
      <c r="P16" s="586">
        <f>Data!Q37</f>
        <v>2465.4940000000001</v>
      </c>
      <c r="Q16" s="586">
        <f>Data!R37</f>
        <v>1354.5550000000001</v>
      </c>
      <c r="R16" s="593">
        <f>Data!S37</f>
        <v>2.2192883677681672</v>
      </c>
      <c r="S16" s="594">
        <f>Data!T37</f>
        <v>5.2964706420890954E-2</v>
      </c>
      <c r="T16" s="489"/>
      <c r="U16" s="248"/>
      <c r="V16" s="246"/>
    </row>
    <row r="17" spans="2:22" x14ac:dyDescent="0.2">
      <c r="B17" s="592" t="str">
        <f>Data!B13</f>
        <v>Discont'd Ele Veh (EVE)</v>
      </c>
      <c r="C17" s="592" t="str">
        <f>Data!C13</f>
        <v>Res/Small Business</v>
      </c>
      <c r="D17" s="592" t="str">
        <f>Data!D13</f>
        <v>Measure/Technology Focus</v>
      </c>
      <c r="E17" s="592" t="str">
        <f>Data!E13</f>
        <v>Utility Outreach (email/direct mail)</v>
      </c>
      <c r="F17" s="586">
        <f>Data!K13</f>
        <v>0</v>
      </c>
      <c r="G17" s="586">
        <f>Data!K38</f>
        <v>15.399999999999999</v>
      </c>
      <c r="H17" s="581">
        <f>Data!M13</f>
        <v>0</v>
      </c>
      <c r="I17" s="581">
        <f>Data!M38</f>
        <v>0</v>
      </c>
      <c r="J17" s="581">
        <f>Data!L13</f>
        <v>0</v>
      </c>
      <c r="K17" s="581">
        <f>Data!L38</f>
        <v>0</v>
      </c>
      <c r="L17" s="581" t="str">
        <f>Data!N13</f>
        <v>N/A</v>
      </c>
      <c r="M17" s="581">
        <f>Data!N38</f>
        <v>0</v>
      </c>
      <c r="N17" s="581">
        <f>Data!O38</f>
        <v>0</v>
      </c>
      <c r="O17" s="586">
        <f>Data!P38</f>
        <v>0</v>
      </c>
      <c r="P17" s="586">
        <f>Data!Q38</f>
        <v>0</v>
      </c>
      <c r="Q17" s="586">
        <f>Data!R38</f>
        <v>0</v>
      </c>
      <c r="R17" s="593" t="str">
        <f>Data!S38</f>
        <v>n/a</v>
      </c>
      <c r="S17" s="594" t="str">
        <f>Data!T38</f>
        <v>n/a</v>
      </c>
      <c r="U17" s="248"/>
      <c r="V17" s="246"/>
    </row>
    <row r="18" spans="2:22" x14ac:dyDescent="0.2">
      <c r="B18" s="592" t="str">
        <f>Data!B14</f>
        <v>Discont'd Comm Solutions</v>
      </c>
      <c r="C18" s="592" t="str">
        <f>Data!C14</f>
        <v>Commercial &amp; Industrial</v>
      </c>
      <c r="D18" s="592" t="str">
        <f>Data!D14</f>
        <v>Other</v>
      </c>
      <c r="E18" s="592" t="str">
        <f>Data!E14</f>
        <v>Trade Ally</v>
      </c>
      <c r="F18" s="586">
        <f>Data!K14</f>
        <v>0</v>
      </c>
      <c r="G18" s="586">
        <f>Data!K39</f>
        <v>0</v>
      </c>
      <c r="H18" s="581">
        <f>Data!M14</f>
        <v>0</v>
      </c>
      <c r="I18" s="581">
        <f>Data!M39</f>
        <v>0</v>
      </c>
      <c r="J18" s="581">
        <f>Data!L14</f>
        <v>0</v>
      </c>
      <c r="K18" s="581">
        <f>Data!L39</f>
        <v>0</v>
      </c>
      <c r="L18" s="581" t="str">
        <f>Data!N14</f>
        <v>N/A</v>
      </c>
      <c r="M18" s="581">
        <f>Data!N39</f>
        <v>0</v>
      </c>
      <c r="N18" s="581">
        <f>Data!O39</f>
        <v>0</v>
      </c>
      <c r="O18" s="586">
        <f>Data!P39</f>
        <v>0</v>
      </c>
      <c r="P18" s="586">
        <f>Data!Q39</f>
        <v>0</v>
      </c>
      <c r="Q18" s="586">
        <f>Data!R39</f>
        <v>0</v>
      </c>
      <c r="R18" s="593" t="str">
        <f>Data!S39</f>
        <v>n/a</v>
      </c>
      <c r="S18" s="594" t="str">
        <f>Data!T39</f>
        <v>n/a</v>
      </c>
      <c r="U18" s="248"/>
      <c r="V18" s="246"/>
    </row>
    <row r="19" spans="2:22" x14ac:dyDescent="0.2">
      <c r="B19" s="592" t="str">
        <f>Data!B15</f>
        <v>Discont'd Res Appliance</v>
      </c>
      <c r="C19" s="592" t="str">
        <f>Data!C15</f>
        <v>Residential</v>
      </c>
      <c r="D19" s="592" t="str">
        <f>Data!D15</f>
        <v>Consumer Product Rebate</v>
      </c>
      <c r="E19" s="592" t="str">
        <f>Data!E15</f>
        <v>Coupon Redemption</v>
      </c>
      <c r="F19" s="586">
        <f>Data!K15</f>
        <v>0</v>
      </c>
      <c r="G19" s="586">
        <f>Data!K40</f>
        <v>0</v>
      </c>
      <c r="H19" s="581">
        <f>Data!M15</f>
        <v>0</v>
      </c>
      <c r="I19" s="581">
        <f>Data!M40</f>
        <v>0</v>
      </c>
      <c r="J19" s="581">
        <f>Data!L15</f>
        <v>0</v>
      </c>
      <c r="K19" s="581">
        <f>Data!L40</f>
        <v>0</v>
      </c>
      <c r="L19" s="581" t="str">
        <f>Data!N15</f>
        <v>N/A</v>
      </c>
      <c r="M19" s="581">
        <f>Data!N40</f>
        <v>0</v>
      </c>
      <c r="N19" s="581">
        <f>Data!O40</f>
        <v>0</v>
      </c>
      <c r="O19" s="586">
        <f>Data!P40</f>
        <v>0</v>
      </c>
      <c r="P19" s="586">
        <f>Data!Q40</f>
        <v>0</v>
      </c>
      <c r="Q19" s="586">
        <f>Data!R40</f>
        <v>0</v>
      </c>
      <c r="R19" s="593" t="str">
        <f>Data!S40</f>
        <v>n/a</v>
      </c>
      <c r="S19" s="594" t="str">
        <f>Data!T40</f>
        <v>n/a</v>
      </c>
      <c r="U19" s="248"/>
      <c r="V19" s="246"/>
    </row>
    <row r="20" spans="2:22" x14ac:dyDescent="0.2">
      <c r="B20" s="592" t="str">
        <f>Data!B16</f>
        <v>Discont'd Res Solutions</v>
      </c>
      <c r="C20" s="592" t="str">
        <f>Data!C16</f>
        <v>Residential</v>
      </c>
      <c r="D20" s="592" t="str">
        <f>Data!D16</f>
        <v>Prescriptive/Standard Offer</v>
      </c>
      <c r="E20" s="592" t="str">
        <f>Data!E16</f>
        <v>Trade Ally</v>
      </c>
      <c r="F20" s="586">
        <f>Data!K16</f>
        <v>0</v>
      </c>
      <c r="G20" s="586">
        <f>Data!K41</f>
        <v>0</v>
      </c>
      <c r="H20" s="581">
        <f>Data!M16</f>
        <v>0</v>
      </c>
      <c r="I20" s="581">
        <f>Data!M41</f>
        <v>0</v>
      </c>
      <c r="J20" s="581">
        <f>Data!L16</f>
        <v>0</v>
      </c>
      <c r="K20" s="581">
        <f>Data!L41</f>
        <v>0</v>
      </c>
      <c r="L20" s="581" t="str">
        <f>Data!N16</f>
        <v>N/A</v>
      </c>
      <c r="M20" s="581">
        <f>Data!N41</f>
        <v>0</v>
      </c>
      <c r="N20" s="581">
        <f>Data!O41</f>
        <v>0</v>
      </c>
      <c r="O20" s="586">
        <f>Data!P41</f>
        <v>0</v>
      </c>
      <c r="P20" s="586">
        <f>Data!Q41</f>
        <v>0</v>
      </c>
      <c r="Q20" s="586">
        <f>Data!R41</f>
        <v>0</v>
      </c>
      <c r="R20" s="593" t="str">
        <f>Data!S41</f>
        <v>n/a</v>
      </c>
      <c r="S20" s="594" t="str">
        <f>Data!T41</f>
        <v>n/a</v>
      </c>
      <c r="U20" s="248"/>
      <c r="V20" s="246"/>
    </row>
    <row r="21" spans="2:22" x14ac:dyDescent="0.2">
      <c r="B21" s="592" t="str">
        <f>Data!B17</f>
        <v>Discont'd R ES Appliance</v>
      </c>
      <c r="C21" s="592" t="str">
        <f>Data!C17</f>
        <v>Residential</v>
      </c>
      <c r="D21" s="592" t="str">
        <f>Data!D17</f>
        <v>Consumer Product Rebate</v>
      </c>
      <c r="E21" s="592" t="str">
        <f>Data!E17</f>
        <v>Retail Outlets</v>
      </c>
      <c r="F21" s="586">
        <f>Data!K17</f>
        <v>0</v>
      </c>
      <c r="G21" s="586">
        <f>Data!K42</f>
        <v>0</v>
      </c>
      <c r="H21" s="581">
        <f>Data!M17</f>
        <v>0</v>
      </c>
      <c r="I21" s="581">
        <f>Data!M42</f>
        <v>0</v>
      </c>
      <c r="J21" s="581">
        <f>Data!L17</f>
        <v>0</v>
      </c>
      <c r="K21" s="581">
        <f>Data!L42</f>
        <v>0</v>
      </c>
      <c r="L21" s="581" t="str">
        <f>Data!N17</f>
        <v>N/A</v>
      </c>
      <c r="M21" s="581">
        <f>Data!N42</f>
        <v>0</v>
      </c>
      <c r="N21" s="581">
        <f>Data!O42</f>
        <v>0</v>
      </c>
      <c r="O21" s="586">
        <f>Data!P42</f>
        <v>0</v>
      </c>
      <c r="P21" s="586">
        <f>Data!Q42</f>
        <v>0</v>
      </c>
      <c r="Q21" s="586">
        <f>Data!R42</f>
        <v>0</v>
      </c>
      <c r="R21" s="593" t="str">
        <f>Data!S42</f>
        <v>n/a</v>
      </c>
      <c r="S21" s="594" t="str">
        <f>Data!T42</f>
        <v>n/a</v>
      </c>
      <c r="U21" s="248"/>
      <c r="V21" s="246"/>
    </row>
    <row r="22" spans="2:22" x14ac:dyDescent="0.2">
      <c r="B22" s="592" t="str">
        <f>Data!B18</f>
        <v>Discont'd ARWX (AWIP)</v>
      </c>
      <c r="C22" s="592" t="str">
        <f>Data!C18</f>
        <v>Residential</v>
      </c>
      <c r="D22" s="592" t="str">
        <f>Data!D18</f>
        <v>Whole Home</v>
      </c>
      <c r="E22" s="592" t="str">
        <f>Data!E18</f>
        <v>Statewide Administrator</v>
      </c>
      <c r="F22" s="586">
        <f>Data!K18</f>
        <v>0</v>
      </c>
      <c r="G22" s="586">
        <f>Data!K43</f>
        <v>0</v>
      </c>
      <c r="H22" s="581">
        <f>Data!M18</f>
        <v>0</v>
      </c>
      <c r="I22" s="581">
        <f>Data!M43</f>
        <v>0</v>
      </c>
      <c r="J22" s="581">
        <f>Data!L18</f>
        <v>0</v>
      </c>
      <c r="K22" s="581">
        <f>Data!L43</f>
        <v>0</v>
      </c>
      <c r="L22" s="581" t="str">
        <f>Data!N18</f>
        <v>N/A</v>
      </c>
      <c r="M22" s="581">
        <f>Data!N43</f>
        <v>0</v>
      </c>
      <c r="N22" s="581">
        <f>Data!O43</f>
        <v>0</v>
      </c>
      <c r="O22" s="586">
        <f>Data!P43</f>
        <v>0</v>
      </c>
      <c r="P22" s="586">
        <f>Data!Q43</f>
        <v>0</v>
      </c>
      <c r="Q22" s="586">
        <f>Data!R43</f>
        <v>0</v>
      </c>
      <c r="R22" s="593" t="str">
        <f>Data!S43</f>
        <v>n/a</v>
      </c>
      <c r="S22" s="594" t="str">
        <f>Data!T43</f>
        <v>n/a</v>
      </c>
      <c r="U22" s="248"/>
      <c r="V22" s="246"/>
    </row>
    <row r="23" spans="2:22" x14ac:dyDescent="0.2">
      <c r="B23" s="592" t="str">
        <f>Data!B19</f>
        <v>New Construction (NCP)</v>
      </c>
      <c r="C23" s="592" t="str">
        <f>Data!C19</f>
        <v>Res/C&amp;I</v>
      </c>
      <c r="D23" s="592" t="str">
        <f>Data!D19</f>
        <v>Prescriptive/Standard Offer</v>
      </c>
      <c r="E23" s="592" t="str">
        <f>Data!E19</f>
        <v>Trade Ally</v>
      </c>
      <c r="F23" s="586">
        <f>Data!K19</f>
        <v>415993</v>
      </c>
      <c r="G23" s="586">
        <f>Data!K44</f>
        <v>410760.84</v>
      </c>
      <c r="H23" s="581">
        <f>Data!M19</f>
        <v>727832</v>
      </c>
      <c r="I23" s="581">
        <f>Data!M44</f>
        <v>482893</v>
      </c>
      <c r="J23" s="581">
        <f>Data!L19</f>
        <v>120.19799999999999</v>
      </c>
      <c r="K23" s="581">
        <f>Data!L44</f>
        <v>72.8</v>
      </c>
      <c r="L23" s="581">
        <f>Data!N19</f>
        <v>160</v>
      </c>
      <c r="M23" s="581">
        <f>Data!N44</f>
        <v>48</v>
      </c>
      <c r="N23" s="581">
        <f>Data!O44</f>
        <v>6927.4669999999996</v>
      </c>
      <c r="O23" s="586">
        <f>Data!P44</f>
        <v>300.87099999999998</v>
      </c>
      <c r="P23" s="586">
        <f>Data!Q44</f>
        <v>321.82600000000002</v>
      </c>
      <c r="Q23" s="586">
        <f>Data!R44</f>
        <v>20.955000000000041</v>
      </c>
      <c r="R23" s="593">
        <f>Data!S44</f>
        <v>1.0696477892518721</v>
      </c>
      <c r="S23" s="594">
        <f>Data!T44</f>
        <v>6.0842650135005359E-2</v>
      </c>
      <c r="U23" s="248"/>
      <c r="V23" s="246"/>
    </row>
    <row r="24" spans="2:22" x14ac:dyDescent="0.2">
      <c r="B24" s="592" t="str">
        <f>Data!B20</f>
        <v>Strat Energy Mgmt (SEMP)</v>
      </c>
      <c r="C24" s="592" t="str">
        <f>Data!C20</f>
        <v>Res/Small Business</v>
      </c>
      <c r="D24" s="592" t="str">
        <f>Data!D20</f>
        <v>Behavior/Education</v>
      </c>
      <c r="E24" s="592" t="str">
        <f>Data!E20</f>
        <v>Utility Outreach (email/direct mail)</v>
      </c>
      <c r="F24" s="586">
        <f>Data!K20</f>
        <v>559109</v>
      </c>
      <c r="G24" s="586">
        <f>Data!K45</f>
        <v>574855.58000000007</v>
      </c>
      <c r="H24" s="581">
        <f>Data!M20</f>
        <v>5850291</v>
      </c>
      <c r="I24" s="581">
        <f>Data!M45</f>
        <v>14670946</v>
      </c>
      <c r="J24" s="581">
        <f>Data!L20</f>
        <v>643</v>
      </c>
      <c r="K24" s="581">
        <f>Data!L45</f>
        <v>894.55</v>
      </c>
      <c r="L24" s="581">
        <f>Data!N20</f>
        <v>51</v>
      </c>
      <c r="M24" s="581">
        <f>Data!N45</f>
        <v>17</v>
      </c>
      <c r="N24" s="581">
        <f>Data!O45</f>
        <v>14670.946</v>
      </c>
      <c r="O24" s="586">
        <f>Data!P45</f>
        <v>365.2</v>
      </c>
      <c r="P24" s="586">
        <f>Data!Q45</f>
        <v>430.791</v>
      </c>
      <c r="Q24" s="586">
        <f>Data!R45</f>
        <v>65.591000000000008</v>
      </c>
      <c r="R24" s="593">
        <f>Data!S45</f>
        <v>1.1796029572836801</v>
      </c>
      <c r="S24" s="594">
        <f>Data!T45</f>
        <v>2.6072652711011217E-2</v>
      </c>
      <c r="U24" s="248"/>
      <c r="V24" s="246"/>
    </row>
    <row r="25" spans="2:22" x14ac:dyDescent="0.2">
      <c r="B25" s="592" t="str">
        <f>Data!B21</f>
        <v>Bring Y/Otstat (BYOT)</v>
      </c>
      <c r="C25" s="592" t="str">
        <f>Data!C21</f>
        <v>Res/Small Business</v>
      </c>
      <c r="D25" s="592" t="str">
        <f>Data!D21</f>
        <v>Demand Response</v>
      </c>
      <c r="E25" s="592" t="str">
        <f>Data!E21</f>
        <v>Utility Outreach (email/direct mail)</v>
      </c>
      <c r="F25" s="586">
        <f>Data!K21</f>
        <v>481079</v>
      </c>
      <c r="G25" s="586">
        <f>Data!K46</f>
        <v>188987.53</v>
      </c>
      <c r="H25" s="581">
        <f>Data!M21</f>
        <v>61638</v>
      </c>
      <c r="I25" s="581">
        <f>Data!M46</f>
        <v>16677</v>
      </c>
      <c r="J25" s="581">
        <f>Data!L21</f>
        <v>4320.3599999999997</v>
      </c>
      <c r="K25" s="581">
        <f>Data!L46</f>
        <v>3228.35</v>
      </c>
      <c r="L25" s="581">
        <f>Data!N21</f>
        <v>1338</v>
      </c>
      <c r="M25" s="581">
        <f>Data!N46</f>
        <v>2177</v>
      </c>
      <c r="N25" s="581">
        <f>Data!O46</f>
        <v>16.677</v>
      </c>
      <c r="O25" s="586">
        <f>Data!P46</f>
        <v>78.988</v>
      </c>
      <c r="P25" s="586">
        <f>Data!Q46</f>
        <v>241.87</v>
      </c>
      <c r="Q25" s="586">
        <f>Data!R46</f>
        <v>162.88200000000001</v>
      </c>
      <c r="R25" s="593">
        <f>Data!S46</f>
        <v>3.0621107003595482</v>
      </c>
      <c r="S25" s="594">
        <f>Data!T46</f>
        <v>4.9608461473886072</v>
      </c>
      <c r="U25" s="248"/>
      <c r="V25" s="246"/>
    </row>
    <row r="26" spans="2:22" x14ac:dyDescent="0.2">
      <c r="B26" s="592" t="str">
        <f>Data!B22</f>
        <v>Empty</v>
      </c>
      <c r="C26" s="592" t="str">
        <f>Data!C22</f>
        <v/>
      </c>
      <c r="D26" s="592" t="str">
        <f>Data!D22</f>
        <v/>
      </c>
      <c r="E26" s="592" t="str">
        <f>Data!E22</f>
        <v/>
      </c>
      <c r="F26" s="586">
        <f>Data!K22</f>
        <v>0</v>
      </c>
      <c r="G26" s="586">
        <f>Data!K47</f>
        <v>0</v>
      </c>
      <c r="H26" s="581">
        <f>Data!M22</f>
        <v>0</v>
      </c>
      <c r="I26" s="581">
        <f>Data!M47</f>
        <v>0</v>
      </c>
      <c r="J26" s="581">
        <f>Data!L22</f>
        <v>0</v>
      </c>
      <c r="K26" s="581">
        <f>Data!L47</f>
        <v>0</v>
      </c>
      <c r="L26" s="581">
        <f>Data!N22</f>
        <v>0</v>
      </c>
      <c r="M26" s="581">
        <f>Data!N47</f>
        <v>0</v>
      </c>
      <c r="N26" s="581">
        <f>Data!O47</f>
        <v>0</v>
      </c>
      <c r="O26" s="586">
        <f>Data!P47</f>
        <v>0</v>
      </c>
      <c r="P26" s="586">
        <f>Data!Q47</f>
        <v>0</v>
      </c>
      <c r="Q26" s="586">
        <f>Data!R47</f>
        <v>0</v>
      </c>
      <c r="R26" s="593" t="str">
        <f>Data!S47</f>
        <v>n/a</v>
      </c>
      <c r="S26" s="594" t="str">
        <f>Data!T47</f>
        <v>n/a</v>
      </c>
      <c r="U26" s="248"/>
      <c r="V26" s="246"/>
    </row>
    <row r="27" spans="2:22" x14ac:dyDescent="0.2">
      <c r="B27" s="592" t="str">
        <f>Data!B23</f>
        <v>Empty</v>
      </c>
      <c r="C27" s="592" t="str">
        <f>Data!C23</f>
        <v/>
      </c>
      <c r="D27" s="592" t="str">
        <f>Data!D23</f>
        <v/>
      </c>
      <c r="E27" s="592" t="str">
        <f>Data!E23</f>
        <v/>
      </c>
      <c r="F27" s="586">
        <f>Data!K23</f>
        <v>0</v>
      </c>
      <c r="G27" s="586">
        <f>Data!K48</f>
        <v>0</v>
      </c>
      <c r="H27" s="581">
        <f>Data!M23</f>
        <v>0</v>
      </c>
      <c r="I27" s="581">
        <f>Data!M48</f>
        <v>0</v>
      </c>
      <c r="J27" s="581">
        <f>Data!L23</f>
        <v>0</v>
      </c>
      <c r="K27" s="581">
        <f>Data!L48</f>
        <v>0</v>
      </c>
      <c r="L27" s="581">
        <f>Data!N23</f>
        <v>0</v>
      </c>
      <c r="M27" s="581">
        <f>Data!N48</f>
        <v>0</v>
      </c>
      <c r="N27" s="581">
        <f>Data!O48</f>
        <v>0</v>
      </c>
      <c r="O27" s="586">
        <f>Data!P48</f>
        <v>0</v>
      </c>
      <c r="P27" s="586">
        <f>Data!Q48</f>
        <v>0</v>
      </c>
      <c r="Q27" s="586">
        <f>Data!R48</f>
        <v>0</v>
      </c>
      <c r="R27" s="593" t="str">
        <f>Data!S48</f>
        <v>n/a</v>
      </c>
      <c r="S27" s="594" t="str">
        <f>Data!T48</f>
        <v>n/a</v>
      </c>
      <c r="U27" s="248"/>
      <c r="V27" s="246"/>
    </row>
  </sheetData>
  <sheetProtection password="C925" sheet="1" objects="1" scenarios="1" formatColumns="0" formatRows="0"/>
  <mergeCells count="7">
    <mergeCell ref="B2:S2"/>
    <mergeCell ref="B4:S4"/>
    <mergeCell ref="F6:G6"/>
    <mergeCell ref="H6:I6"/>
    <mergeCell ref="L6:M6"/>
    <mergeCell ref="J6:K6"/>
    <mergeCell ref="N6:S6"/>
  </mergeCells>
  <pageMargins left="0.5" right="0.5" top="0.75" bottom="0.75" header="0.3" footer="0.3"/>
  <pageSetup scale="95" orientation="landscape" r:id="rId1"/>
  <colBreaks count="2" manualBreakCount="2">
    <brk id="5" max="1048575" man="1"/>
    <brk id="13" min="1" max="26"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B1:U44"/>
  <sheetViews>
    <sheetView showGridLines="0" showRowColHeaders="0" zoomScale="110" zoomScaleNormal="110" workbookViewId="0">
      <pane ySplit="2" topLeftCell="A5" activePane="bottomLeft" state="frozen"/>
      <selection pane="bottomLeft" activeCell="H8" sqref="H8"/>
    </sheetView>
  </sheetViews>
  <sheetFormatPr defaultColWidth="9.140625" defaultRowHeight="12.75" x14ac:dyDescent="0.2"/>
  <cols>
    <col min="1" max="1" width="1" style="2" customWidth="1"/>
    <col min="2" max="2" width="4" style="2" customWidth="1"/>
    <col min="3" max="3" width="36.140625" style="2" bestFit="1" customWidth="1"/>
    <col min="4" max="4" width="21.85546875" style="2" customWidth="1"/>
    <col min="5" max="5" width="1.85546875" style="2" customWidth="1"/>
    <col min="6" max="9" width="13.85546875" style="2" customWidth="1"/>
    <col min="10" max="10" width="1.85546875" style="2" customWidth="1"/>
    <col min="11" max="14" width="10.85546875" style="2" customWidth="1"/>
    <col min="15" max="15" width="1.85546875" style="2" customWidth="1"/>
    <col min="16" max="19" width="10.85546875" style="2" customWidth="1"/>
    <col min="20" max="20" width="3.42578125" style="2" customWidth="1"/>
    <col min="21" max="21" width="3.140625" style="2" customWidth="1"/>
    <col min="22" max="22" width="1" style="2" customWidth="1"/>
    <col min="23" max="16384" width="9.140625" style="2"/>
  </cols>
  <sheetData>
    <row r="1" spans="2:21" ht="5.0999999999999996" customHeight="1" thickBot="1" x14ac:dyDescent="0.25"/>
    <row r="2" spans="2:21" ht="38.25" customHeight="1" x14ac:dyDescent="0.2">
      <c r="B2" s="728" t="s">
        <v>882</v>
      </c>
      <c r="C2" s="728"/>
      <c r="D2" s="728"/>
      <c r="E2" s="728"/>
      <c r="F2" s="728"/>
      <c r="G2" s="728"/>
      <c r="H2" s="728"/>
      <c r="I2" s="728"/>
      <c r="J2" s="728"/>
      <c r="K2" s="728"/>
      <c r="L2" s="728"/>
      <c r="M2" s="728"/>
      <c r="N2" s="728"/>
      <c r="O2" s="728"/>
      <c r="P2" s="728"/>
      <c r="Q2" s="728"/>
      <c r="R2" s="728"/>
      <c r="S2" s="728"/>
      <c r="T2" s="728"/>
      <c r="U2" s="728"/>
    </row>
    <row r="3" spans="2:21" x14ac:dyDescent="0.2">
      <c r="B3" s="511"/>
      <c r="C3" s="347"/>
      <c r="D3" s="347"/>
      <c r="E3" s="347"/>
      <c r="F3" s="347"/>
      <c r="G3" s="347"/>
      <c r="H3" s="347"/>
      <c r="I3" s="347"/>
      <c r="J3" s="347"/>
      <c r="K3" s="347"/>
      <c r="L3" s="347"/>
      <c r="M3" s="347"/>
      <c r="N3" s="347"/>
      <c r="O3" s="347"/>
      <c r="P3" s="347"/>
      <c r="Q3" s="347"/>
      <c r="R3" s="347"/>
      <c r="S3" s="347"/>
      <c r="T3" s="347"/>
      <c r="U3" s="512"/>
    </row>
    <row r="4" spans="2:21" x14ac:dyDescent="0.2">
      <c r="B4" s="3"/>
      <c r="U4" s="4"/>
    </row>
    <row r="5" spans="2:21" ht="16.5" thickBot="1" x14ac:dyDescent="0.3">
      <c r="B5" s="3"/>
      <c r="F5" s="740" t="s">
        <v>540</v>
      </c>
      <c r="G5" s="740"/>
      <c r="H5" s="740"/>
      <c r="I5" s="740"/>
      <c r="K5" s="740" t="str">
        <f>"Annual Net Energy Savings ("&amp;Energy_1&amp;")"</f>
        <v>Annual Net Energy Savings (kWh)</v>
      </c>
      <c r="L5" s="740"/>
      <c r="M5" s="740"/>
      <c r="N5" s="740"/>
      <c r="P5" s="740" t="str">
        <f>"Annual Net Demand Savings ("&amp;Demand_1&amp;")"</f>
        <v>Annual Net Demand Savings (kW)</v>
      </c>
      <c r="Q5" s="740"/>
      <c r="R5" s="740"/>
      <c r="S5" s="740"/>
      <c r="U5" s="4"/>
    </row>
    <row r="6" spans="2:21" x14ac:dyDescent="0.2">
      <c r="B6" s="3"/>
      <c r="F6" s="737">
        <f>Titles!F2-1</f>
        <v>2024</v>
      </c>
      <c r="G6" s="738"/>
      <c r="H6" s="737">
        <f>F6+1</f>
        <v>2025</v>
      </c>
      <c r="I6" s="738"/>
      <c r="K6" s="737">
        <f>F6</f>
        <v>2024</v>
      </c>
      <c r="L6" s="738"/>
      <c r="M6" s="737">
        <f>H6</f>
        <v>2025</v>
      </c>
      <c r="N6" s="738"/>
      <c r="P6" s="737">
        <f>K6</f>
        <v>2024</v>
      </c>
      <c r="Q6" s="738"/>
      <c r="R6" s="737">
        <f>M6</f>
        <v>2025</v>
      </c>
      <c r="S6" s="738"/>
      <c r="U6" s="4"/>
    </row>
    <row r="7" spans="2:21" ht="12.75" customHeight="1" thickBot="1" x14ac:dyDescent="0.3">
      <c r="B7" s="8"/>
      <c r="C7" s="9" t="s">
        <v>93</v>
      </c>
      <c r="D7" s="9" t="s">
        <v>94</v>
      </c>
      <c r="E7" s="9"/>
      <c r="F7" s="130" t="s">
        <v>542</v>
      </c>
      <c r="G7" s="131" t="s">
        <v>543</v>
      </c>
      <c r="H7" s="130" t="s">
        <v>542</v>
      </c>
      <c r="I7" s="131" t="s">
        <v>543</v>
      </c>
      <c r="J7" s="9"/>
      <c r="K7" s="130" t="s">
        <v>544</v>
      </c>
      <c r="L7" s="131" t="s">
        <v>545</v>
      </c>
      <c r="M7" s="130" t="s">
        <v>544</v>
      </c>
      <c r="N7" s="131" t="s">
        <v>545</v>
      </c>
      <c r="O7" s="9"/>
      <c r="P7" s="130" t="s">
        <v>544</v>
      </c>
      <c r="Q7" s="131" t="s">
        <v>545</v>
      </c>
      <c r="R7" s="130" t="s">
        <v>544</v>
      </c>
      <c r="S7" s="131" t="s">
        <v>545</v>
      </c>
      <c r="T7" s="9"/>
      <c r="U7" s="4"/>
    </row>
    <row r="8" spans="2:21" ht="12.75" customHeight="1" x14ac:dyDescent="0.25">
      <c r="B8" s="272">
        <v>1</v>
      </c>
      <c r="C8" s="273" t="str">
        <f>'Program Descriptions'!C5</f>
        <v>Load Mgt (LMP)</v>
      </c>
      <c r="D8" s="273" t="str">
        <f>IF(ISBLANK('Program Descriptions'!E5),"",'Program Descriptions'!E5)</f>
        <v>Commercial &amp; Industrial</v>
      </c>
      <c r="E8" s="273"/>
      <c r="F8" s="199">
        <f>'Prior Year Progam'!H9</f>
        <v>840020</v>
      </c>
      <c r="G8" s="211">
        <f>'Prior Year Progam'!I9</f>
        <v>472989</v>
      </c>
      <c r="H8" s="199">
        <f>Data!K4</f>
        <v>1007610</v>
      </c>
      <c r="I8" s="200">
        <f>Data!K29</f>
        <v>786371.33000000007</v>
      </c>
      <c r="J8" s="9"/>
      <c r="K8" s="205">
        <f>'Prior Year Progam'!M9</f>
        <v>0</v>
      </c>
      <c r="L8" s="213">
        <f>'Prior Year Progam'!N9</f>
        <v>80324</v>
      </c>
      <c r="M8" s="205">
        <f>Data!M4</f>
        <v>0</v>
      </c>
      <c r="N8" s="206">
        <f>Data!M29</f>
        <v>166783</v>
      </c>
      <c r="O8" s="9"/>
      <c r="P8" s="205">
        <f>'Prior Year Progam'!R9</f>
        <v>10695</v>
      </c>
      <c r="Q8" s="213">
        <f>'Prior Year Progam'!S9</f>
        <v>6390.41</v>
      </c>
      <c r="R8" s="205">
        <f>Data!L4</f>
        <v>16250</v>
      </c>
      <c r="S8" s="206">
        <f>Data!L29</f>
        <v>8209.93</v>
      </c>
      <c r="T8" s="9"/>
      <c r="U8" s="4"/>
    </row>
    <row r="9" spans="2:21" ht="12.75" customHeight="1" x14ac:dyDescent="0.25">
      <c r="B9" s="272">
        <v>2</v>
      </c>
      <c r="C9" s="273" t="str">
        <f>'Program Descriptions'!C6</f>
        <v>Comm &amp; Industrial (CIEEP)</v>
      </c>
      <c r="D9" s="273" t="str">
        <f>IF(ISBLANK('Program Descriptions'!E6),"",'Program Descriptions'!E6)</f>
        <v>Commercial &amp; Industrial</v>
      </c>
      <c r="E9" s="273"/>
      <c r="F9" s="201">
        <f>'Prior Year Progam'!H10</f>
        <v>3098985</v>
      </c>
      <c r="G9" s="595">
        <f>'Prior Year Progam'!I10</f>
        <v>3096961</v>
      </c>
      <c r="H9" s="201">
        <f>Data!K5</f>
        <v>3084080</v>
      </c>
      <c r="I9" s="202">
        <f>Data!K30</f>
        <v>2928754.98</v>
      </c>
      <c r="J9" s="9"/>
      <c r="K9" s="207">
        <f>'Prior Year Progam'!M10</f>
        <v>11730533</v>
      </c>
      <c r="L9" s="596">
        <f>'Prior Year Progam'!N10</f>
        <v>10710161</v>
      </c>
      <c r="M9" s="207">
        <f>Data!M5</f>
        <v>10534008</v>
      </c>
      <c r="N9" s="208">
        <f>Data!M30</f>
        <v>8691274</v>
      </c>
      <c r="O9" s="9"/>
      <c r="P9" s="207">
        <f>'Prior Year Progam'!R10</f>
        <v>2642</v>
      </c>
      <c r="Q9" s="596">
        <f>'Prior Year Progam'!S10</f>
        <v>2718</v>
      </c>
      <c r="R9" s="207">
        <f>Data!L5</f>
        <v>2367.4</v>
      </c>
      <c r="S9" s="208">
        <f>Data!L30</f>
        <v>1270.3900000000001</v>
      </c>
      <c r="T9" s="9"/>
      <c r="U9" s="4"/>
    </row>
    <row r="10" spans="2:21" ht="12.75" customHeight="1" x14ac:dyDescent="0.25">
      <c r="B10" s="272">
        <v>3</v>
      </c>
      <c r="C10" s="273" t="str">
        <f>'Program Descriptions'!C7</f>
        <v>Small Business (SBP)</v>
      </c>
      <c r="D10" s="273" t="str">
        <f>IF(ISBLANK('Program Descriptions'!E7),"",'Program Descriptions'!E7)</f>
        <v>Small Business/C&amp;I</v>
      </c>
      <c r="E10" s="273"/>
      <c r="F10" s="201">
        <f>'Prior Year Progam'!H11</f>
        <v>1758433</v>
      </c>
      <c r="G10" s="595">
        <f>'Prior Year Progam'!I11</f>
        <v>1728280</v>
      </c>
      <c r="H10" s="201">
        <f>Data!K6</f>
        <v>1596350</v>
      </c>
      <c r="I10" s="202">
        <f>Data!K31</f>
        <v>1545628.96</v>
      </c>
      <c r="J10" s="9"/>
      <c r="K10" s="207">
        <f>'Prior Year Progam'!M11</f>
        <v>6060578</v>
      </c>
      <c r="L10" s="596">
        <f>'Prior Year Progam'!N11</f>
        <v>4765274</v>
      </c>
      <c r="M10" s="207">
        <f>Data!M6</f>
        <v>6060578</v>
      </c>
      <c r="N10" s="208">
        <f>Data!M31</f>
        <v>4161317</v>
      </c>
      <c r="O10" s="9"/>
      <c r="P10" s="207">
        <f>'Prior Year Progam'!R11</f>
        <v>1489</v>
      </c>
      <c r="Q10" s="596">
        <f>'Prior Year Progam'!S11</f>
        <v>987.9</v>
      </c>
      <c r="R10" s="207">
        <f>Data!L6</f>
        <v>1414.55</v>
      </c>
      <c r="S10" s="208">
        <f>Data!L31</f>
        <v>1068.72</v>
      </c>
      <c r="T10" s="9"/>
      <c r="U10" s="4"/>
    </row>
    <row r="11" spans="2:21" ht="12.75" customHeight="1" x14ac:dyDescent="0.25">
      <c r="B11" s="272">
        <v>4</v>
      </c>
      <c r="C11" s="273" t="str">
        <f>'Program Descriptions'!C8</f>
        <v>Efficient Products (EPP)</v>
      </c>
      <c r="D11" s="273" t="str">
        <f>IF(ISBLANK('Program Descriptions'!E8),"",'Program Descriptions'!E8)</f>
        <v>Residential</v>
      </c>
      <c r="E11" s="273"/>
      <c r="F11" s="201">
        <f>'Prior Year Progam'!H12</f>
        <v>729211</v>
      </c>
      <c r="G11" s="595">
        <f>'Prior Year Progam'!I12</f>
        <v>723092</v>
      </c>
      <c r="H11" s="201">
        <f>Data!K7</f>
        <v>720823</v>
      </c>
      <c r="I11" s="202">
        <f>Data!K32</f>
        <v>675653.44</v>
      </c>
      <c r="J11" s="9"/>
      <c r="K11" s="207">
        <f>'Prior Year Progam'!M12</f>
        <v>1298780</v>
      </c>
      <c r="L11" s="596">
        <f>'Prior Year Progam'!N12</f>
        <v>3578685</v>
      </c>
      <c r="M11" s="207">
        <f>Data!M7</f>
        <v>1294116</v>
      </c>
      <c r="N11" s="208">
        <f>Data!M32</f>
        <v>3792328</v>
      </c>
      <c r="O11" s="9"/>
      <c r="P11" s="207">
        <f>'Prior Year Progam'!R12</f>
        <v>265</v>
      </c>
      <c r="Q11" s="596">
        <f>'Prior Year Progam'!S12</f>
        <v>510.53</v>
      </c>
      <c r="R11" s="207">
        <f>Data!L7</f>
        <v>115.6</v>
      </c>
      <c r="S11" s="208">
        <f>Data!L32</f>
        <v>290.13</v>
      </c>
      <c r="T11" s="9"/>
      <c r="U11" s="4"/>
    </row>
    <row r="12" spans="2:21" ht="12.75" customHeight="1" x14ac:dyDescent="0.25">
      <c r="B12" s="272">
        <v>5</v>
      </c>
      <c r="C12" s="273" t="str">
        <f>'Program Descriptions'!C9</f>
        <v>Res Energy Imprv (REIP)</v>
      </c>
      <c r="D12" s="273" t="str">
        <f>IF(ISBLANK('Program Descriptions'!E9),"",'Program Descriptions'!E9)</f>
        <v>Residential</v>
      </c>
      <c r="E12" s="273"/>
      <c r="F12" s="201">
        <f>'Prior Year Progam'!H13</f>
        <v>2220490</v>
      </c>
      <c r="G12" s="595">
        <f>'Prior Year Progam'!I13</f>
        <v>2085123</v>
      </c>
      <c r="H12" s="201">
        <f>Data!K8</f>
        <v>2864054</v>
      </c>
      <c r="I12" s="202">
        <f>Data!K33</f>
        <v>2841826.0799999996</v>
      </c>
      <c r="J12" s="9"/>
      <c r="K12" s="207">
        <f>'Prior Year Progam'!M13</f>
        <v>5733934</v>
      </c>
      <c r="L12" s="596">
        <f>'Prior Year Progam'!N13</f>
        <v>7918988</v>
      </c>
      <c r="M12" s="207">
        <f>Data!M8</f>
        <v>5602155</v>
      </c>
      <c r="N12" s="208">
        <f>Data!M33</f>
        <v>7788226</v>
      </c>
      <c r="O12" s="9"/>
      <c r="P12" s="207">
        <f>'Prior Year Progam'!R13</f>
        <v>1446</v>
      </c>
      <c r="Q12" s="596">
        <f>'Prior Year Progam'!S13</f>
        <v>1165.1600000000001</v>
      </c>
      <c r="R12" s="207">
        <f>Data!L8</f>
        <v>1131.674</v>
      </c>
      <c r="S12" s="208">
        <f>Data!L33</f>
        <v>642.01</v>
      </c>
      <c r="T12" s="9"/>
      <c r="U12" s="4"/>
    </row>
    <row r="13" spans="2:21" ht="12.75" customHeight="1" x14ac:dyDescent="0.25">
      <c r="B13" s="272">
        <v>6</v>
      </c>
      <c r="C13" s="273" t="str">
        <f>'Program Descriptions'!C10</f>
        <v>Home Weatherization (HWP)</v>
      </c>
      <c r="D13" s="273" t="str">
        <f>IF(ISBLANK('Program Descriptions'!E10),"",'Program Descriptions'!E10)</f>
        <v>Residential</v>
      </c>
      <c r="E13" s="273"/>
      <c r="F13" s="201">
        <f>'Prior Year Progam'!H14</f>
        <v>3026926</v>
      </c>
      <c r="G13" s="595">
        <f>'Prior Year Progam'!I14</f>
        <v>2102565</v>
      </c>
      <c r="H13" s="201">
        <f>Data!K9</f>
        <v>2361354</v>
      </c>
      <c r="I13" s="202">
        <f>Data!K34</f>
        <v>2066144.0100000002</v>
      </c>
      <c r="J13" s="9"/>
      <c r="K13" s="207">
        <f>'Prior Year Progam'!M14</f>
        <v>6642648</v>
      </c>
      <c r="L13" s="596">
        <f>'Prior Year Progam'!N14</f>
        <v>4042064</v>
      </c>
      <c r="M13" s="207">
        <f>Data!M9</f>
        <v>6645777</v>
      </c>
      <c r="N13" s="208">
        <f>Data!M34</f>
        <v>3106874</v>
      </c>
      <c r="O13" s="9"/>
      <c r="P13" s="207">
        <f>'Prior Year Progam'!R14</f>
        <v>2200</v>
      </c>
      <c r="Q13" s="596">
        <f>'Prior Year Progam'!S14</f>
        <v>1416.46</v>
      </c>
      <c r="R13" s="207">
        <f>Data!L9</f>
        <v>2359.4059999999999</v>
      </c>
      <c r="S13" s="208">
        <f>Data!L34</f>
        <v>1194.19</v>
      </c>
      <c r="T13" s="9"/>
      <c r="U13" s="4"/>
    </row>
    <row r="14" spans="2:21" ht="12.75" customHeight="1" x14ac:dyDescent="0.25">
      <c r="B14" s="272">
        <v>7</v>
      </c>
      <c r="C14" s="273" t="str">
        <f>'Program Descriptions'!C11</f>
        <v>Discont'd EE AR (EEA)</v>
      </c>
      <c r="D14" s="273" t="str">
        <f>IF(ISBLANK('Program Descriptions'!E11),"",'Program Descriptions'!E11)</f>
        <v>All Classes</v>
      </c>
      <c r="E14" s="273"/>
      <c r="F14" s="201">
        <f>'Prior Year Progam'!H15</f>
        <v>0</v>
      </c>
      <c r="G14" s="595">
        <f>'Prior Year Progam'!I15</f>
        <v>-6422</v>
      </c>
      <c r="H14" s="201">
        <f>Data!K10</f>
        <v>0</v>
      </c>
      <c r="I14" s="202">
        <f>Data!K35</f>
        <v>0</v>
      </c>
      <c r="J14" s="9"/>
      <c r="K14" s="207">
        <f>'Prior Year Progam'!M15</f>
        <v>0</v>
      </c>
      <c r="L14" s="596">
        <f>'Prior Year Progam'!N15</f>
        <v>0</v>
      </c>
      <c r="M14" s="207">
        <f>Data!M10</f>
        <v>0</v>
      </c>
      <c r="N14" s="208">
        <f>Data!M35</f>
        <v>0</v>
      </c>
      <c r="O14" s="9"/>
      <c r="P14" s="207">
        <f>'Prior Year Progam'!R15</f>
        <v>0</v>
      </c>
      <c r="Q14" s="596">
        <f>'Prior Year Progam'!S15</f>
        <v>0</v>
      </c>
      <c r="R14" s="207">
        <f>Data!L10</f>
        <v>0</v>
      </c>
      <c r="S14" s="208">
        <f>Data!L35</f>
        <v>0</v>
      </c>
      <c r="T14" s="9"/>
      <c r="U14" s="4"/>
    </row>
    <row r="15" spans="2:21" ht="12.75" customHeight="1" x14ac:dyDescent="0.25">
      <c r="B15" s="272">
        <v>8</v>
      </c>
      <c r="C15" s="273" t="str">
        <f>'Program Descriptions'!C12</f>
        <v>Discont'd Onlne Audt(OLA)</v>
      </c>
      <c r="D15" s="273" t="str">
        <f>IF(ISBLANK('Program Descriptions'!E12),"",'Program Descriptions'!E12)</f>
        <v>Residential</v>
      </c>
      <c r="E15" s="273"/>
      <c r="F15" s="201">
        <f>'Prior Year Progam'!H16</f>
        <v>0</v>
      </c>
      <c r="G15" s="595">
        <f>'Prior Year Progam'!I16</f>
        <v>0</v>
      </c>
      <c r="H15" s="201">
        <f>Data!K11</f>
        <v>0</v>
      </c>
      <c r="I15" s="202">
        <f>Data!K36</f>
        <v>0</v>
      </c>
      <c r="J15" s="9"/>
      <c r="K15" s="207">
        <f>'Prior Year Progam'!M16</f>
        <v>0</v>
      </c>
      <c r="L15" s="596">
        <f>'Prior Year Progam'!N16</f>
        <v>0</v>
      </c>
      <c r="M15" s="207">
        <f>Data!M11</f>
        <v>0</v>
      </c>
      <c r="N15" s="208">
        <f>Data!M36</f>
        <v>0</v>
      </c>
      <c r="O15" s="9"/>
      <c r="P15" s="207">
        <f>'Prior Year Progam'!R16</f>
        <v>0</v>
      </c>
      <c r="Q15" s="596">
        <f>'Prior Year Progam'!S16</f>
        <v>0</v>
      </c>
      <c r="R15" s="207">
        <f>Data!L11</f>
        <v>0</v>
      </c>
      <c r="S15" s="208">
        <f>Data!L36</f>
        <v>0</v>
      </c>
      <c r="T15" s="9"/>
      <c r="U15" s="4"/>
    </row>
    <row r="16" spans="2:21" ht="12.75" customHeight="1" x14ac:dyDescent="0.25">
      <c r="B16" s="272">
        <v>9</v>
      </c>
      <c r="C16" s="273" t="str">
        <f>'Program Descriptions'!C13</f>
        <v>Income Qualified (IQW)</v>
      </c>
      <c r="D16" s="273" t="str">
        <f>IF(ISBLANK('Program Descriptions'!E13),"",'Program Descriptions'!E13)</f>
        <v>Residential</v>
      </c>
      <c r="E16" s="273"/>
      <c r="F16" s="201">
        <f>'Prior Year Progam'!H17</f>
        <v>896616</v>
      </c>
      <c r="G16" s="595">
        <f>'Prior Year Progam'!I17</f>
        <v>881993</v>
      </c>
      <c r="H16" s="201">
        <f>Data!K12</f>
        <v>1098112</v>
      </c>
      <c r="I16" s="202">
        <f>Data!K37</f>
        <v>1111588.78</v>
      </c>
      <c r="J16" s="9"/>
      <c r="K16" s="207">
        <f>'Prior Year Progam'!M17</f>
        <v>1071667</v>
      </c>
      <c r="L16" s="596">
        <f>'Prior Year Progam'!N17</f>
        <v>1006861</v>
      </c>
      <c r="M16" s="207">
        <f>Data!M12</f>
        <v>1535745</v>
      </c>
      <c r="N16" s="208">
        <f>Data!M37</f>
        <v>1700442</v>
      </c>
      <c r="O16" s="9"/>
      <c r="P16" s="207">
        <f>'Prior Year Progam'!R17</f>
        <v>435</v>
      </c>
      <c r="Q16" s="596">
        <f>'Prior Year Progam'!S17</f>
        <v>373</v>
      </c>
      <c r="R16" s="207">
        <f>Data!L12</f>
        <v>609</v>
      </c>
      <c r="S16" s="208">
        <f>Data!L37</f>
        <v>605.71</v>
      </c>
      <c r="T16" s="9"/>
      <c r="U16" s="4"/>
    </row>
    <row r="17" spans="2:21" ht="12.75" customHeight="1" x14ac:dyDescent="0.25">
      <c r="B17" s="272">
        <v>10</v>
      </c>
      <c r="C17" s="273" t="str">
        <f>'Program Descriptions'!C14</f>
        <v>Discont'd Ele Veh (EVE)</v>
      </c>
      <c r="D17" s="273" t="str">
        <f>IF(ISBLANK('Program Descriptions'!E14),"",'Program Descriptions'!E14)</f>
        <v>Res/Small Business</v>
      </c>
      <c r="E17" s="273"/>
      <c r="F17" s="201">
        <f>'Prior Year Progam'!H18</f>
        <v>0</v>
      </c>
      <c r="G17" s="595">
        <f>'Prior Year Progam'!I18</f>
        <v>0</v>
      </c>
      <c r="H17" s="201">
        <f>Data!K13</f>
        <v>0</v>
      </c>
      <c r="I17" s="202">
        <f>Data!K38</f>
        <v>15.399999999999999</v>
      </c>
      <c r="J17" s="9"/>
      <c r="K17" s="207">
        <f>'Prior Year Progam'!M18</f>
        <v>0</v>
      </c>
      <c r="L17" s="596">
        <f>'Prior Year Progam'!N18</f>
        <v>0</v>
      </c>
      <c r="M17" s="207">
        <f>Data!M13</f>
        <v>0</v>
      </c>
      <c r="N17" s="208">
        <f>Data!M38</f>
        <v>0</v>
      </c>
      <c r="O17" s="9"/>
      <c r="P17" s="207">
        <f>'Prior Year Progam'!R18</f>
        <v>0</v>
      </c>
      <c r="Q17" s="596">
        <f>'Prior Year Progam'!S18</f>
        <v>0</v>
      </c>
      <c r="R17" s="207">
        <f>Data!L13</f>
        <v>0</v>
      </c>
      <c r="S17" s="208">
        <f>Data!L38</f>
        <v>0</v>
      </c>
      <c r="T17" s="9"/>
      <c r="U17" s="4"/>
    </row>
    <row r="18" spans="2:21" ht="12.75" customHeight="1" x14ac:dyDescent="0.25">
      <c r="B18" s="272">
        <v>11</v>
      </c>
      <c r="C18" s="273" t="str">
        <f>'Program Descriptions'!C15</f>
        <v>Discont'd Comm Solutions</v>
      </c>
      <c r="D18" s="273" t="str">
        <f>IF(ISBLANK('Program Descriptions'!E15),"",'Program Descriptions'!E15)</f>
        <v>Commercial &amp; Industrial</v>
      </c>
      <c r="E18" s="273"/>
      <c r="F18" s="201">
        <f>'Prior Year Progam'!H19</f>
        <v>0</v>
      </c>
      <c r="G18" s="595">
        <f>'Prior Year Progam'!I19</f>
        <v>0</v>
      </c>
      <c r="H18" s="201">
        <f>Data!K14</f>
        <v>0</v>
      </c>
      <c r="I18" s="202">
        <f>Data!K39</f>
        <v>0</v>
      </c>
      <c r="J18" s="9"/>
      <c r="K18" s="207">
        <f>'Prior Year Progam'!M19</f>
        <v>0</v>
      </c>
      <c r="L18" s="596">
        <f>'Prior Year Progam'!N19</f>
        <v>0</v>
      </c>
      <c r="M18" s="207">
        <f>Data!M14</f>
        <v>0</v>
      </c>
      <c r="N18" s="208">
        <f>Data!M39</f>
        <v>0</v>
      </c>
      <c r="O18" s="9"/>
      <c r="P18" s="207">
        <f>'Prior Year Progam'!R19</f>
        <v>0</v>
      </c>
      <c r="Q18" s="596">
        <f>'Prior Year Progam'!S19</f>
        <v>0</v>
      </c>
      <c r="R18" s="207">
        <f>Data!L14</f>
        <v>0</v>
      </c>
      <c r="S18" s="208">
        <f>Data!L39</f>
        <v>0</v>
      </c>
      <c r="T18" s="9"/>
      <c r="U18" s="4"/>
    </row>
    <row r="19" spans="2:21" ht="12.75" customHeight="1" x14ac:dyDescent="0.25">
      <c r="B19" s="272">
        <v>12</v>
      </c>
      <c r="C19" s="273" t="str">
        <f>'Program Descriptions'!C16</f>
        <v>Discont'd Res Appliance</v>
      </c>
      <c r="D19" s="273" t="str">
        <f>IF(ISBLANK('Program Descriptions'!E16),"",'Program Descriptions'!E16)</f>
        <v>Residential</v>
      </c>
      <c r="E19" s="273"/>
      <c r="F19" s="201">
        <f>'Prior Year Progam'!H20</f>
        <v>0</v>
      </c>
      <c r="G19" s="595">
        <f>'Prior Year Progam'!I20</f>
        <v>0</v>
      </c>
      <c r="H19" s="201">
        <f>Data!K15</f>
        <v>0</v>
      </c>
      <c r="I19" s="202">
        <f>Data!K40</f>
        <v>0</v>
      </c>
      <c r="J19" s="9"/>
      <c r="K19" s="207">
        <f>'Prior Year Progam'!M20</f>
        <v>0</v>
      </c>
      <c r="L19" s="596">
        <f>'Prior Year Progam'!N20</f>
        <v>0</v>
      </c>
      <c r="M19" s="207">
        <f>Data!M15</f>
        <v>0</v>
      </c>
      <c r="N19" s="208">
        <f>Data!M40</f>
        <v>0</v>
      </c>
      <c r="O19" s="9"/>
      <c r="P19" s="207">
        <f>'Prior Year Progam'!R20</f>
        <v>0</v>
      </c>
      <c r="Q19" s="596">
        <f>'Prior Year Progam'!S20</f>
        <v>0</v>
      </c>
      <c r="R19" s="207">
        <f>Data!L15</f>
        <v>0</v>
      </c>
      <c r="S19" s="208">
        <f>Data!L40</f>
        <v>0</v>
      </c>
      <c r="T19" s="9"/>
      <c r="U19" s="4"/>
    </row>
    <row r="20" spans="2:21" ht="12.75" customHeight="1" x14ac:dyDescent="0.25">
      <c r="B20" s="272">
        <v>13</v>
      </c>
      <c r="C20" s="273" t="str">
        <f>'Program Descriptions'!C17</f>
        <v>Discont'd Res Solutions</v>
      </c>
      <c r="D20" s="273" t="str">
        <f>IF(ISBLANK('Program Descriptions'!E17),"",'Program Descriptions'!E17)</f>
        <v>Residential</v>
      </c>
      <c r="E20" s="273"/>
      <c r="F20" s="201">
        <f>'Prior Year Progam'!H21</f>
        <v>0</v>
      </c>
      <c r="G20" s="595">
        <f>'Prior Year Progam'!I21</f>
        <v>0</v>
      </c>
      <c r="H20" s="201">
        <f>Data!K16</f>
        <v>0</v>
      </c>
      <c r="I20" s="202">
        <f>Data!K41</f>
        <v>0</v>
      </c>
      <c r="J20" s="9"/>
      <c r="K20" s="207">
        <f>'Prior Year Progam'!M21</f>
        <v>0</v>
      </c>
      <c r="L20" s="596">
        <f>'Prior Year Progam'!N21</f>
        <v>0</v>
      </c>
      <c r="M20" s="207">
        <f>Data!M16</f>
        <v>0</v>
      </c>
      <c r="N20" s="208">
        <f>Data!M41</f>
        <v>0</v>
      </c>
      <c r="O20" s="9"/>
      <c r="P20" s="207">
        <f>'Prior Year Progam'!R21</f>
        <v>0</v>
      </c>
      <c r="Q20" s="596">
        <f>'Prior Year Progam'!S21</f>
        <v>0</v>
      </c>
      <c r="R20" s="207">
        <f>Data!L16</f>
        <v>0</v>
      </c>
      <c r="S20" s="208">
        <f>Data!L41</f>
        <v>0</v>
      </c>
      <c r="T20" s="9"/>
      <c r="U20" s="4"/>
    </row>
    <row r="21" spans="2:21" ht="12.75" customHeight="1" x14ac:dyDescent="0.25">
      <c r="B21" s="272">
        <v>14</v>
      </c>
      <c r="C21" s="273" t="str">
        <f>'Program Descriptions'!C18</f>
        <v>Discont'd R ES Appliance</v>
      </c>
      <c r="D21" s="273" t="str">
        <f>IF(ISBLANK('Program Descriptions'!E18),"",'Program Descriptions'!E18)</f>
        <v>Residential</v>
      </c>
      <c r="E21" s="273"/>
      <c r="F21" s="201">
        <f>'Prior Year Progam'!H22</f>
        <v>0</v>
      </c>
      <c r="G21" s="595">
        <f>'Prior Year Progam'!I22</f>
        <v>0</v>
      </c>
      <c r="H21" s="201">
        <f>Data!K17</f>
        <v>0</v>
      </c>
      <c r="I21" s="202">
        <f>Data!K42</f>
        <v>0</v>
      </c>
      <c r="J21" s="9"/>
      <c r="K21" s="207">
        <f>'Prior Year Progam'!M22</f>
        <v>0</v>
      </c>
      <c r="L21" s="596">
        <f>'Prior Year Progam'!N22</f>
        <v>0</v>
      </c>
      <c r="M21" s="207">
        <f>Data!M17</f>
        <v>0</v>
      </c>
      <c r="N21" s="208">
        <f>Data!M42</f>
        <v>0</v>
      </c>
      <c r="O21" s="9"/>
      <c r="P21" s="207">
        <f>'Prior Year Progam'!R22</f>
        <v>0</v>
      </c>
      <c r="Q21" s="596">
        <f>'Prior Year Progam'!S22</f>
        <v>0</v>
      </c>
      <c r="R21" s="207">
        <f>Data!L17</f>
        <v>0</v>
      </c>
      <c r="S21" s="208">
        <f>Data!L42</f>
        <v>0</v>
      </c>
      <c r="T21" s="9"/>
      <c r="U21" s="4"/>
    </row>
    <row r="22" spans="2:21" ht="12.75" customHeight="1" x14ac:dyDescent="0.25">
      <c r="B22" s="272">
        <v>15</v>
      </c>
      <c r="C22" s="273" t="str">
        <f>'Program Descriptions'!C19</f>
        <v>Discont'd ARWX (AWIP)</v>
      </c>
      <c r="D22" s="273" t="str">
        <f>IF(ISBLANK('Program Descriptions'!E19),"",'Program Descriptions'!E19)</f>
        <v>Residential</v>
      </c>
      <c r="E22" s="273"/>
      <c r="F22" s="201">
        <f>'Prior Year Progam'!H23</f>
        <v>0</v>
      </c>
      <c r="G22" s="595">
        <f>'Prior Year Progam'!I23</f>
        <v>0</v>
      </c>
      <c r="H22" s="201">
        <f>Data!K18</f>
        <v>0</v>
      </c>
      <c r="I22" s="202">
        <f>Data!K43</f>
        <v>0</v>
      </c>
      <c r="J22" s="9"/>
      <c r="K22" s="207">
        <f>'Prior Year Progam'!M23</f>
        <v>0</v>
      </c>
      <c r="L22" s="596">
        <f>'Prior Year Progam'!N23</f>
        <v>0</v>
      </c>
      <c r="M22" s="207">
        <f>Data!M18</f>
        <v>0</v>
      </c>
      <c r="N22" s="208">
        <f>Data!M43</f>
        <v>0</v>
      </c>
      <c r="O22" s="9"/>
      <c r="P22" s="207">
        <f>'Prior Year Progam'!R23</f>
        <v>0</v>
      </c>
      <c r="Q22" s="596">
        <f>'Prior Year Progam'!S23</f>
        <v>0</v>
      </c>
      <c r="R22" s="207">
        <f>Data!L18</f>
        <v>0</v>
      </c>
      <c r="S22" s="208">
        <f>Data!L43</f>
        <v>0</v>
      </c>
      <c r="T22" s="9"/>
      <c r="U22" s="4"/>
    </row>
    <row r="23" spans="2:21" ht="12.75" customHeight="1" x14ac:dyDescent="0.25">
      <c r="B23" s="272">
        <v>16</v>
      </c>
      <c r="C23" s="273" t="str">
        <f>'Program Descriptions'!C20</f>
        <v>New Construction (NCP)</v>
      </c>
      <c r="D23" s="273" t="str">
        <f>IF(ISBLANK('Program Descriptions'!E20),"",'Program Descriptions'!E20)</f>
        <v>Res/C&amp;I</v>
      </c>
      <c r="E23" s="273"/>
      <c r="F23" s="201">
        <f>'Prior Year Progam'!H24</f>
        <v>310240</v>
      </c>
      <c r="G23" s="595">
        <f>'Prior Year Progam'!I24</f>
        <v>303533</v>
      </c>
      <c r="H23" s="201">
        <f>Data!K19</f>
        <v>415993</v>
      </c>
      <c r="I23" s="202">
        <f>Data!K44</f>
        <v>410760.84</v>
      </c>
      <c r="J23" s="9"/>
      <c r="K23" s="207">
        <f>'Prior Year Progam'!M24</f>
        <v>674219</v>
      </c>
      <c r="L23" s="596">
        <f>'Prior Year Progam'!N24</f>
        <v>410315</v>
      </c>
      <c r="M23" s="207">
        <f>Data!M19</f>
        <v>727832</v>
      </c>
      <c r="N23" s="208">
        <f>Data!M44</f>
        <v>482893</v>
      </c>
      <c r="O23" s="9"/>
      <c r="P23" s="207">
        <f>'Prior Year Progam'!R24</f>
        <v>140</v>
      </c>
      <c r="Q23" s="596">
        <f>'Prior Year Progam'!S24</f>
        <v>65.959999999999994</v>
      </c>
      <c r="R23" s="207">
        <f>Data!L19</f>
        <v>120.19799999999999</v>
      </c>
      <c r="S23" s="208">
        <f>Data!L44</f>
        <v>72.8</v>
      </c>
      <c r="T23" s="9"/>
      <c r="U23" s="4"/>
    </row>
    <row r="24" spans="2:21" ht="12.75" customHeight="1" x14ac:dyDescent="0.25">
      <c r="B24" s="272">
        <v>17</v>
      </c>
      <c r="C24" s="273" t="str">
        <f>'Program Descriptions'!C21</f>
        <v>Strat Energy Mgmt (SEMP)</v>
      </c>
      <c r="D24" s="273" t="str">
        <f>IF(ISBLANK('Program Descriptions'!E21),"",'Program Descriptions'!E21)</f>
        <v>Res/Small Business</v>
      </c>
      <c r="E24" s="273"/>
      <c r="F24" s="201">
        <f>'Prior Year Progam'!H25</f>
        <v>491812</v>
      </c>
      <c r="G24" s="595">
        <f>'Prior Year Progam'!I25</f>
        <v>510180</v>
      </c>
      <c r="H24" s="201">
        <f>Data!K20</f>
        <v>559109</v>
      </c>
      <c r="I24" s="202">
        <f>Data!K45</f>
        <v>574855.58000000007</v>
      </c>
      <c r="J24" s="9"/>
      <c r="K24" s="207">
        <f>'Prior Year Progam'!M25</f>
        <v>4385936</v>
      </c>
      <c r="L24" s="596">
        <f>'Prior Year Progam'!N25</f>
        <v>8555881</v>
      </c>
      <c r="M24" s="207">
        <f>Data!M20</f>
        <v>5850291</v>
      </c>
      <c r="N24" s="208">
        <f>Data!M45</f>
        <v>14670946</v>
      </c>
      <c r="O24" s="9"/>
      <c r="P24" s="207">
        <f>'Prior Year Progam'!R25</f>
        <v>478</v>
      </c>
      <c r="Q24" s="596">
        <f>'Prior Year Progam'!S25</f>
        <v>1283.5</v>
      </c>
      <c r="R24" s="207">
        <f>Data!L20</f>
        <v>643</v>
      </c>
      <c r="S24" s="208">
        <f>Data!L45</f>
        <v>894.55</v>
      </c>
      <c r="T24" s="9"/>
      <c r="U24" s="4"/>
    </row>
    <row r="25" spans="2:21" ht="12.75" customHeight="1" x14ac:dyDescent="0.25">
      <c r="B25" s="272">
        <v>18</v>
      </c>
      <c r="C25" s="273" t="str">
        <f>'Program Descriptions'!C22</f>
        <v>Bring Y/Otstat (BYOT)</v>
      </c>
      <c r="D25" s="273" t="str">
        <f>IF(ISBLANK('Program Descriptions'!E22),"",'Program Descriptions'!E22)</f>
        <v>Res/Small Business</v>
      </c>
      <c r="E25" s="273"/>
      <c r="F25" s="201">
        <f>'Prior Year Progam'!H26</f>
        <v>413577</v>
      </c>
      <c r="G25" s="595">
        <f>'Prior Year Progam'!I26</f>
        <v>180135</v>
      </c>
      <c r="H25" s="201">
        <f>Data!K21</f>
        <v>481079</v>
      </c>
      <c r="I25" s="202">
        <f>Data!K46</f>
        <v>188987.53</v>
      </c>
      <c r="J25" s="9"/>
      <c r="K25" s="207">
        <f>'Prior Year Progam'!M26</f>
        <v>55984</v>
      </c>
      <c r="L25" s="596">
        <f>'Prior Year Progam'!N26</f>
        <v>0</v>
      </c>
      <c r="M25" s="207">
        <f>Data!M21</f>
        <v>61638</v>
      </c>
      <c r="N25" s="208">
        <f>Data!M46</f>
        <v>16677</v>
      </c>
      <c r="O25" s="9"/>
      <c r="P25" s="207">
        <f>'Prior Year Progam'!R26</f>
        <v>2165</v>
      </c>
      <c r="Q25" s="596">
        <f>'Prior Year Progam'!S26</f>
        <v>2412.4699999999998</v>
      </c>
      <c r="R25" s="207">
        <f>Data!L21</f>
        <v>4320.3599999999997</v>
      </c>
      <c r="S25" s="208">
        <f>Data!L46</f>
        <v>3228.35</v>
      </c>
      <c r="T25" s="9"/>
      <c r="U25" s="4"/>
    </row>
    <row r="26" spans="2:21" ht="12.75" customHeight="1" x14ac:dyDescent="0.25">
      <c r="B26" s="272">
        <v>19</v>
      </c>
      <c r="C26" s="273" t="str">
        <f>'Program Descriptions'!C23</f>
        <v>Empty</v>
      </c>
      <c r="D26" s="273" t="str">
        <f>IF(ISBLANK('Program Descriptions'!E23),"",'Program Descriptions'!E23)</f>
        <v/>
      </c>
      <c r="E26" s="273"/>
      <c r="F26" s="201">
        <f>'Prior Year Progam'!H27</f>
        <v>0</v>
      </c>
      <c r="G26" s="595">
        <f>'Prior Year Progam'!I27</f>
        <v>0</v>
      </c>
      <c r="H26" s="201">
        <f>Data!K22</f>
        <v>0</v>
      </c>
      <c r="I26" s="202">
        <f>Data!K47</f>
        <v>0</v>
      </c>
      <c r="J26" s="9"/>
      <c r="K26" s="207">
        <f>'Prior Year Progam'!M27</f>
        <v>0</v>
      </c>
      <c r="L26" s="596">
        <f>'Prior Year Progam'!N27</f>
        <v>0</v>
      </c>
      <c r="M26" s="207">
        <f>Data!M22</f>
        <v>0</v>
      </c>
      <c r="N26" s="208">
        <f>Data!M47</f>
        <v>0</v>
      </c>
      <c r="O26" s="9"/>
      <c r="P26" s="207">
        <f>'Prior Year Progam'!R27</f>
        <v>0</v>
      </c>
      <c r="Q26" s="596">
        <f>'Prior Year Progam'!S27</f>
        <v>0</v>
      </c>
      <c r="R26" s="207">
        <f>Data!L22</f>
        <v>0</v>
      </c>
      <c r="S26" s="208">
        <f>Data!L47</f>
        <v>0</v>
      </c>
      <c r="T26" s="9"/>
      <c r="U26" s="4"/>
    </row>
    <row r="27" spans="2:21" ht="12.75" customHeight="1" thickBot="1" x14ac:dyDescent="0.3">
      <c r="B27" s="272">
        <v>20</v>
      </c>
      <c r="C27" s="273" t="str">
        <f>'Program Descriptions'!C24</f>
        <v>Empty</v>
      </c>
      <c r="D27" s="273" t="str">
        <f>IF(ISBLANK('Program Descriptions'!E24),"",'Program Descriptions'!E24)</f>
        <v/>
      </c>
      <c r="E27" s="273"/>
      <c r="F27" s="201">
        <f>'Prior Year Progam'!H28</f>
        <v>0</v>
      </c>
      <c r="G27" s="595">
        <f>'Prior Year Progam'!I28</f>
        <v>0</v>
      </c>
      <c r="H27" s="201">
        <f>Data!K23</f>
        <v>0</v>
      </c>
      <c r="I27" s="202">
        <f>Data!K48</f>
        <v>0</v>
      </c>
      <c r="J27" s="9"/>
      <c r="K27" s="209">
        <f>'Prior Year Progam'!M28</f>
        <v>0</v>
      </c>
      <c r="L27" s="214">
        <f>'Prior Year Progam'!N28</f>
        <v>0</v>
      </c>
      <c r="M27" s="209">
        <f>Data!M23</f>
        <v>0</v>
      </c>
      <c r="N27" s="210">
        <f>Data!M48</f>
        <v>0</v>
      </c>
      <c r="O27" s="9"/>
      <c r="P27" s="209">
        <f>'Prior Year Progam'!R28</f>
        <v>0</v>
      </c>
      <c r="Q27" s="214">
        <f>'Prior Year Progam'!S28</f>
        <v>0</v>
      </c>
      <c r="R27" s="209">
        <f>Data!L23</f>
        <v>0</v>
      </c>
      <c r="S27" s="210">
        <f>Data!L48</f>
        <v>0</v>
      </c>
      <c r="T27" s="9"/>
      <c r="U27" s="4"/>
    </row>
    <row r="28" spans="2:21" ht="12.75" customHeight="1" thickBot="1" x14ac:dyDescent="0.3">
      <c r="B28" s="8"/>
      <c r="C28" s="273" t="s">
        <v>547</v>
      </c>
      <c r="D28" s="273"/>
      <c r="E28" s="273"/>
      <c r="F28" s="203">
        <f>'Prior Year Progam'!H29</f>
        <v>117000</v>
      </c>
      <c r="G28" s="212">
        <f>'Prior Year Progam'!I29</f>
        <v>97007</v>
      </c>
      <c r="H28" s="203">
        <f>'Table 2'!F29</f>
        <v>117000</v>
      </c>
      <c r="I28" s="204">
        <f>'Table 2'!G29</f>
        <v>88843.87</v>
      </c>
      <c r="J28" s="9"/>
      <c r="K28" s="9"/>
      <c r="L28" s="9"/>
      <c r="M28" s="9"/>
      <c r="N28" s="9"/>
      <c r="O28" s="9"/>
      <c r="P28" s="9"/>
      <c r="Q28" s="9"/>
      <c r="R28" s="9"/>
      <c r="S28" s="9"/>
      <c r="T28" s="9"/>
      <c r="U28" s="4"/>
    </row>
    <row r="29" spans="2:21" ht="12.75" customHeight="1" x14ac:dyDescent="0.25">
      <c r="B29" s="8"/>
      <c r="C29" s="285"/>
      <c r="D29" s="285"/>
      <c r="E29" s="285"/>
      <c r="F29" s="11"/>
      <c r="G29" s="11"/>
      <c r="H29" s="11"/>
      <c r="I29" s="11"/>
      <c r="U29" s="4"/>
    </row>
    <row r="30" spans="2:21" ht="12.75" customHeight="1" x14ac:dyDescent="0.25">
      <c r="B30" s="8"/>
      <c r="C30"/>
      <c r="D30" s="285" t="s">
        <v>548</v>
      </c>
      <c r="E30" s="285"/>
      <c r="F30" s="11">
        <f>SUM(F8:F28)</f>
        <v>13903310</v>
      </c>
      <c r="G30" s="11">
        <f>SUM(G8:G28)</f>
        <v>12175436</v>
      </c>
      <c r="H30" s="11">
        <f>SUM(H8:H28)</f>
        <v>14305564</v>
      </c>
      <c r="I30" s="11">
        <f>SUM(I8:I28)</f>
        <v>13219430.799999997</v>
      </c>
      <c r="K30" s="132">
        <f>SUM(K8:K27)</f>
        <v>37654279</v>
      </c>
      <c r="L30" s="132">
        <f t="shared" ref="L30:S30" si="0">SUM(L8:L27)</f>
        <v>41068553</v>
      </c>
      <c r="M30" s="132">
        <f t="shared" si="0"/>
        <v>38312140</v>
      </c>
      <c r="N30" s="132">
        <f t="shared" si="0"/>
        <v>44577760</v>
      </c>
      <c r="P30" s="132">
        <f t="shared" si="0"/>
        <v>21955</v>
      </c>
      <c r="Q30" s="132">
        <f t="shared" si="0"/>
        <v>17323.39</v>
      </c>
      <c r="R30" s="132">
        <f t="shared" si="0"/>
        <v>29331.187999999998</v>
      </c>
      <c r="S30" s="132">
        <f t="shared" si="0"/>
        <v>17476.779999999995</v>
      </c>
      <c r="U30" s="4"/>
    </row>
    <row r="31" spans="2:21" ht="12.75" customHeight="1" x14ac:dyDescent="0.2">
      <c r="B31" s="8"/>
      <c r="C31"/>
      <c r="D31"/>
      <c r="E31"/>
      <c r="U31" s="4"/>
    </row>
    <row r="32" spans="2:21" ht="12.75" customHeight="1" x14ac:dyDescent="0.2">
      <c r="B32" s="8"/>
      <c r="C32"/>
      <c r="D32"/>
      <c r="E32"/>
      <c r="U32" s="4"/>
    </row>
    <row r="33" spans="2:21" ht="12.75" customHeight="1" x14ac:dyDescent="0.25">
      <c r="B33" s="8"/>
      <c r="C33" s="295"/>
      <c r="D33" s="295"/>
      <c r="E33" s="295"/>
      <c r="F33" s="296"/>
      <c r="G33" s="296"/>
      <c r="H33" s="296"/>
      <c r="I33" s="296"/>
      <c r="J33" s="297"/>
      <c r="K33" s="297"/>
      <c r="L33" s="297"/>
      <c r="M33" s="297"/>
      <c r="N33" s="297"/>
      <c r="O33" s="297"/>
      <c r="P33" s="297"/>
      <c r="Q33" s="297"/>
      <c r="R33" s="297"/>
      <c r="S33" s="297"/>
      <c r="U33" s="4"/>
    </row>
    <row r="34" spans="2:21" ht="12.75" customHeight="1" x14ac:dyDescent="0.2">
      <c r="B34" s="8"/>
      <c r="C34"/>
      <c r="D34"/>
      <c r="E34"/>
      <c r="H34" s="745" t="s">
        <v>69</v>
      </c>
      <c r="I34" s="745"/>
      <c r="K34" s="746" t="s">
        <v>553</v>
      </c>
      <c r="L34" s="746"/>
      <c r="M34" s="746"/>
      <c r="N34" s="746"/>
      <c r="U34" s="4"/>
    </row>
    <row r="35" spans="2:21" ht="12.75" customHeight="1" x14ac:dyDescent="0.2">
      <c r="B35" s="8"/>
      <c r="C35"/>
      <c r="D35"/>
      <c r="E35"/>
      <c r="H35" s="745" t="s">
        <v>554</v>
      </c>
      <c r="I35" s="745"/>
      <c r="K35" s="745" t="s">
        <v>555</v>
      </c>
      <c r="L35" s="745"/>
      <c r="M35" s="745" t="str">
        <f>"Savings ("&amp;Energy_1&amp;")"</f>
        <v>Savings (kWh)</v>
      </c>
      <c r="N35" s="745"/>
      <c r="U35" s="4"/>
    </row>
    <row r="36" spans="2:21" ht="12.75" customHeight="1" x14ac:dyDescent="0.25">
      <c r="B36" s="8"/>
      <c r="C36"/>
      <c r="D36"/>
      <c r="E36"/>
      <c r="G36" s="285" t="s">
        <v>82</v>
      </c>
      <c r="H36" s="642" t="s">
        <v>557</v>
      </c>
      <c r="I36" s="642" t="str">
        <f>"Sales ("&amp;Energy_1&amp;")"</f>
        <v>Sales (kWh)</v>
      </c>
      <c r="K36" s="642" t="s">
        <v>542</v>
      </c>
      <c r="L36" s="642" t="s">
        <v>543</v>
      </c>
      <c r="M36" s="642" t="s">
        <v>542</v>
      </c>
      <c r="N36" s="642" t="s">
        <v>543</v>
      </c>
      <c r="U36" s="4"/>
    </row>
    <row r="37" spans="2:21" ht="12.75" customHeight="1" x14ac:dyDescent="0.2">
      <c r="B37" s="8"/>
      <c r="C37"/>
      <c r="D37"/>
      <c r="E37"/>
      <c r="G37" s="300">
        <f>Prg_Year</f>
        <v>2025</v>
      </c>
      <c r="H37" s="597">
        <f>'Utility Information'!F8</f>
        <v>356715526</v>
      </c>
      <c r="I37" s="598">
        <f>'Utility Information'!F11</f>
        <v>3496150</v>
      </c>
      <c r="K37" s="597">
        <f>Budgets!I27</f>
        <v>14305564</v>
      </c>
      <c r="L37" s="597">
        <f>'Actual Expenses'!J91</f>
        <v>13219430.800000001</v>
      </c>
      <c r="M37" s="598">
        <f>'Savings &amp; Participants'!E26</f>
        <v>38312140</v>
      </c>
      <c r="N37" s="598">
        <f>'Evaluated Savings'!E26</f>
        <v>44577760</v>
      </c>
      <c r="U37" s="4"/>
    </row>
    <row r="38" spans="2:21" ht="12.75" customHeight="1" x14ac:dyDescent="0.2">
      <c r="B38" s="8"/>
      <c r="C38"/>
      <c r="D38"/>
      <c r="E38"/>
      <c r="G38" s="300">
        <f>G37-1</f>
        <v>2024</v>
      </c>
      <c r="H38" s="597">
        <f>'Prior Year Portfolio'!D10</f>
        <v>368846477</v>
      </c>
      <c r="I38" s="598">
        <f>'Prior Year Portfolio'!E10</f>
        <v>3521026</v>
      </c>
      <c r="K38" s="597">
        <f>'Prior Year Portfolio'!G10</f>
        <v>13903310</v>
      </c>
      <c r="L38" s="597">
        <f>'Prior Year Portfolio'!H10</f>
        <v>12175436</v>
      </c>
      <c r="M38" s="598">
        <f>'Prior Year Portfolio'!I10</f>
        <v>37654</v>
      </c>
      <c r="N38" s="598">
        <f>'Prior Year Portfolio'!J10</f>
        <v>41069</v>
      </c>
      <c r="U38" s="4"/>
    </row>
    <row r="39" spans="2:21" ht="12.75" customHeight="1" x14ac:dyDescent="0.2">
      <c r="B39" s="8"/>
      <c r="C39"/>
      <c r="D39"/>
      <c r="E39"/>
      <c r="G39" s="300">
        <f t="shared" ref="G39:G40" si="1">G38-1</f>
        <v>2023</v>
      </c>
      <c r="H39" s="597">
        <f>'Prior Year Portfolio'!D11</f>
        <v>323835316</v>
      </c>
      <c r="I39" s="598">
        <f>'Prior Year Portfolio'!E11</f>
        <v>3548497</v>
      </c>
      <c r="K39" s="597">
        <f>'Prior Year Portfolio'!G11</f>
        <v>11667200</v>
      </c>
      <c r="L39" s="597">
        <f>'Prior Year Portfolio'!H11</f>
        <v>10221097</v>
      </c>
      <c r="M39" s="598">
        <f>'Prior Year Portfolio'!I11</f>
        <v>34506</v>
      </c>
      <c r="N39" s="598">
        <f>'Prior Year Portfolio'!J11</f>
        <v>38666.748</v>
      </c>
      <c r="U39" s="4"/>
    </row>
    <row r="40" spans="2:21" ht="12.75" customHeight="1" x14ac:dyDescent="0.2">
      <c r="B40" s="8"/>
      <c r="C40"/>
      <c r="D40"/>
      <c r="E40"/>
      <c r="G40" s="300">
        <f t="shared" si="1"/>
        <v>2022</v>
      </c>
      <c r="H40" s="597">
        <f>'Prior Year Portfolio'!D12</f>
        <v>396826431</v>
      </c>
      <c r="I40" s="598">
        <f>'Prior Year Portfolio'!E12</f>
        <v>3680403.3879999998</v>
      </c>
      <c r="K40" s="597">
        <f>'Prior Year Portfolio'!G12</f>
        <v>11667200</v>
      </c>
      <c r="L40" s="597">
        <f>'Prior Year Portfolio'!H12</f>
        <v>10157434.340000002</v>
      </c>
      <c r="M40" s="598">
        <f>'Prior Year Portfolio'!I12</f>
        <v>34505.559000000001</v>
      </c>
      <c r="N40" s="598">
        <f>'Prior Year Portfolio'!J12</f>
        <v>38163.632644999998</v>
      </c>
      <c r="U40" s="4"/>
    </row>
    <row r="41" spans="2:21" ht="12.75" customHeight="1" x14ac:dyDescent="0.2">
      <c r="B41" s="8"/>
      <c r="C41"/>
      <c r="D41"/>
      <c r="E41"/>
      <c r="U41" s="4"/>
    </row>
    <row r="42" spans="2:21" ht="12.75" customHeight="1" x14ac:dyDescent="0.2">
      <c r="B42" s="8"/>
      <c r="C42"/>
      <c r="D42"/>
      <c r="E42"/>
      <c r="U42" s="4"/>
    </row>
    <row r="43" spans="2:21" ht="12.75" customHeight="1" x14ac:dyDescent="0.2">
      <c r="B43" s="8"/>
      <c r="C43"/>
      <c r="D43"/>
      <c r="E43"/>
      <c r="U43" s="4"/>
    </row>
    <row r="44" spans="2:21" ht="12.75" customHeight="1" x14ac:dyDescent="0.2">
      <c r="B44" s="5"/>
      <c r="C44" s="6"/>
      <c r="D44" s="6"/>
      <c r="E44" s="6"/>
      <c r="F44" s="6"/>
      <c r="G44" s="6"/>
      <c r="H44" s="6"/>
      <c r="I44" s="6"/>
      <c r="J44" s="6"/>
      <c r="K44" s="6"/>
      <c r="L44" s="6"/>
      <c r="M44" s="6"/>
      <c r="N44" s="6"/>
      <c r="O44" s="6"/>
      <c r="P44" s="6"/>
      <c r="Q44" s="6"/>
      <c r="R44" s="6"/>
      <c r="S44" s="6"/>
      <c r="T44" s="6"/>
      <c r="U44" s="7"/>
    </row>
  </sheetData>
  <sheetProtection password="C925" sheet="1" objects="1" scenarios="1"/>
  <mergeCells count="15">
    <mergeCell ref="H35:I35"/>
    <mergeCell ref="K35:L35"/>
    <mergeCell ref="M35:N35"/>
    <mergeCell ref="B2:U2"/>
    <mergeCell ref="F5:I5"/>
    <mergeCell ref="K5:N5"/>
    <mergeCell ref="P5:S5"/>
    <mergeCell ref="H34:I34"/>
    <mergeCell ref="K34:N34"/>
    <mergeCell ref="F6:G6"/>
    <mergeCell ref="H6:I6"/>
    <mergeCell ref="K6:L6"/>
    <mergeCell ref="M6:N6"/>
    <mergeCell ref="P6:Q6"/>
    <mergeCell ref="R6:S6"/>
  </mergeCells>
  <conditionalFormatting sqref="F8:I27 K8:N27 P8:S27">
    <cfRule type="expression" dxfId="2" priority="2">
      <formula>$B8&gt;Programs</formula>
    </cfRule>
  </conditionalFormatting>
  <conditionalFormatting sqref="P8:S27">
    <cfRule type="expression" dxfId="1" priority="1">
      <formula>Demand_1=NG_Demand</formula>
    </cfRule>
  </conditionalFormatting>
  <pageMargins left="0.25" right="0.25" top="0.5" bottom="0.5" header="0.3" footer="0.3"/>
  <pageSetup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FF0000"/>
  </sheetPr>
  <dimension ref="A1:F33"/>
  <sheetViews>
    <sheetView workbookViewId="0">
      <selection activeCell="E30" sqref="E30"/>
    </sheetView>
  </sheetViews>
  <sheetFormatPr defaultRowHeight="12.75" x14ac:dyDescent="0.2"/>
  <cols>
    <col min="1" max="1" width="10.85546875" bestFit="1" customWidth="1"/>
    <col min="2" max="2" width="20.140625" bestFit="1" customWidth="1"/>
    <col min="3" max="3" width="28.140625" customWidth="1"/>
    <col min="5" max="5" width="12.42578125" customWidth="1"/>
    <col min="6" max="6" width="47.5703125" bestFit="1" customWidth="1"/>
  </cols>
  <sheetData>
    <row r="1" spans="1:6" x14ac:dyDescent="0.2">
      <c r="A1" s="489" t="s">
        <v>883</v>
      </c>
      <c r="B1" s="489" t="s">
        <v>15</v>
      </c>
      <c r="E1" s="489" t="s">
        <v>416</v>
      </c>
      <c r="F1" s="28" t="str">
        <f>'Utility Information'!D6</f>
        <v>SWEPCO</v>
      </c>
    </row>
    <row r="2" spans="1:6" x14ac:dyDescent="0.2">
      <c r="A2">
        <v>1</v>
      </c>
      <c r="B2" s="177" t="s">
        <v>17</v>
      </c>
      <c r="E2" s="489" t="s">
        <v>793</v>
      </c>
      <c r="F2" s="28">
        <f>'Utility Information'!D7</f>
        <v>2025</v>
      </c>
    </row>
    <row r="3" spans="1:6" x14ac:dyDescent="0.2">
      <c r="A3">
        <v>2</v>
      </c>
      <c r="B3" s="177" t="s">
        <v>19</v>
      </c>
      <c r="E3" s="489" t="s">
        <v>76</v>
      </c>
      <c r="F3" s="28" t="str">
        <f>'Utility Information'!F5</f>
        <v>Electric</v>
      </c>
    </row>
    <row r="4" spans="1:6" x14ac:dyDescent="0.2">
      <c r="A4">
        <v>3</v>
      </c>
      <c r="B4" s="177" t="s">
        <v>22</v>
      </c>
    </row>
    <row r="5" spans="1:6" x14ac:dyDescent="0.2">
      <c r="A5">
        <v>4</v>
      </c>
      <c r="B5" s="177" t="s">
        <v>25</v>
      </c>
      <c r="E5" s="489" t="s">
        <v>884</v>
      </c>
      <c r="F5" s="28" t="str">
        <f>F1&amp;" - "&amp;F2&amp;" "&amp;B1</f>
        <v>SWEPCO - 2025 EE Portfolio Information</v>
      </c>
    </row>
    <row r="6" spans="1:6" x14ac:dyDescent="0.2">
      <c r="A6">
        <v>5</v>
      </c>
      <c r="B6" s="177" t="s">
        <v>27</v>
      </c>
      <c r="E6" s="489" t="s">
        <v>885</v>
      </c>
      <c r="F6" s="28" t="str">
        <f>F1&amp;" - "&amp;F2&amp;" "&amp;B11</f>
        <v>SWEPCO - 2025 Program Year Evaluation</v>
      </c>
    </row>
    <row r="7" spans="1:6" x14ac:dyDescent="0.2">
      <c r="A7">
        <v>6</v>
      </c>
      <c r="B7" s="177" t="s">
        <v>886</v>
      </c>
    </row>
    <row r="8" spans="1:6" x14ac:dyDescent="0.2">
      <c r="E8" s="489" t="s">
        <v>887</v>
      </c>
      <c r="F8" t="str">
        <f>F2&amp;" "&amp;B1</f>
        <v>2025 EE Portfolio Information</v>
      </c>
    </row>
    <row r="9" spans="1:6" x14ac:dyDescent="0.2">
      <c r="E9" s="489" t="s">
        <v>888</v>
      </c>
      <c r="F9" t="str">
        <f>F2&amp;" "&amp;B11</f>
        <v>2025 Program Year Evaluation</v>
      </c>
    </row>
    <row r="10" spans="1:6" x14ac:dyDescent="0.2">
      <c r="E10" s="489" t="s">
        <v>889</v>
      </c>
      <c r="F10" s="489" t="s">
        <v>41</v>
      </c>
    </row>
    <row r="11" spans="1:6" x14ac:dyDescent="0.2">
      <c r="A11" s="489" t="s">
        <v>883</v>
      </c>
      <c r="B11" s="489" t="s">
        <v>771</v>
      </c>
    </row>
    <row r="12" spans="1:6" x14ac:dyDescent="0.2">
      <c r="A12">
        <v>1</v>
      </c>
      <c r="B12" s="177" t="s">
        <v>31</v>
      </c>
      <c r="E12" s="90" t="str">
        <f>F3</f>
        <v>Electric</v>
      </c>
    </row>
    <row r="13" spans="1:6" x14ac:dyDescent="0.2">
      <c r="A13">
        <v>2</v>
      </c>
      <c r="B13" s="177" t="s">
        <v>33</v>
      </c>
      <c r="E13" s="489" t="s">
        <v>890</v>
      </c>
      <c r="F13" t="str">
        <f>INDEX($B$24:$C$25,MATCH(E$12,$A$24:$A$25,0),MATCH($E13,$B$23:$C$23,0))</f>
        <v>kWh</v>
      </c>
    </row>
    <row r="14" spans="1:6" x14ac:dyDescent="0.2">
      <c r="A14">
        <v>3</v>
      </c>
      <c r="B14" s="177" t="s">
        <v>35</v>
      </c>
      <c r="E14" s="489" t="s">
        <v>891</v>
      </c>
      <c r="F14" t="str">
        <f>INDEX($B$24:$C$25,MATCH(E$12,$A$24:$A$25,0),MATCH($E14,$B$23:$C$23,0))</f>
        <v>MWh</v>
      </c>
    </row>
    <row r="15" spans="1:6" x14ac:dyDescent="0.2">
      <c r="A15">
        <v>4</v>
      </c>
      <c r="B15" s="177" t="s">
        <v>39</v>
      </c>
      <c r="C15" s="489" t="s">
        <v>892</v>
      </c>
      <c r="E15" s="489" t="s">
        <v>893</v>
      </c>
      <c r="F15" t="str">
        <f>INDEX($B$28:$C$29,MATCH(E$12,$A$28:$A$29,0),MATCH($E15,$B$27:$C$27,0))</f>
        <v>kW</v>
      </c>
    </row>
    <row r="16" spans="1:6" x14ac:dyDescent="0.2">
      <c r="A16">
        <v>5</v>
      </c>
      <c r="B16" s="177" t="s">
        <v>40</v>
      </c>
      <c r="C16" s="489" t="s">
        <v>894</v>
      </c>
      <c r="E16" s="489" t="s">
        <v>895</v>
      </c>
      <c r="F16" t="str">
        <f>INDEX($B$28:$C$29,MATCH(E$12,$A$28:$A$29,0),MATCH($E16,$B$27:$C$27,0))</f>
        <v>MW</v>
      </c>
    </row>
    <row r="17" spans="1:3" x14ac:dyDescent="0.2">
      <c r="A17">
        <v>6</v>
      </c>
      <c r="B17" s="177" t="s">
        <v>886</v>
      </c>
      <c r="C17" s="489"/>
    </row>
    <row r="19" spans="1:3" x14ac:dyDescent="0.2">
      <c r="B19" s="489" t="s">
        <v>896</v>
      </c>
    </row>
    <row r="20" spans="1:3" x14ac:dyDescent="0.2">
      <c r="B20" s="177" t="s">
        <v>79</v>
      </c>
    </row>
    <row r="21" spans="1:3" x14ac:dyDescent="0.2">
      <c r="B21" s="177" t="s">
        <v>897</v>
      </c>
    </row>
    <row r="23" spans="1:3" x14ac:dyDescent="0.2">
      <c r="B23" s="489" t="str">
        <f>E13</f>
        <v>Energy 1</v>
      </c>
      <c r="C23" s="489" t="str">
        <f>E14</f>
        <v>Energy 2</v>
      </c>
    </row>
    <row r="24" spans="1:3" x14ac:dyDescent="0.2">
      <c r="A24" t="str">
        <f>B20</f>
        <v>Electric</v>
      </c>
      <c r="B24" s="177" t="s">
        <v>582</v>
      </c>
      <c r="C24" s="177" t="s">
        <v>898</v>
      </c>
    </row>
    <row r="25" spans="1:3" x14ac:dyDescent="0.2">
      <c r="A25" t="str">
        <f>B21</f>
        <v>Natural Gas</v>
      </c>
      <c r="B25" s="177" t="s">
        <v>899</v>
      </c>
      <c r="C25" s="177" t="s">
        <v>899</v>
      </c>
    </row>
    <row r="27" spans="1:3" x14ac:dyDescent="0.2">
      <c r="B27" s="489" t="str">
        <f>E15</f>
        <v>Demand 1</v>
      </c>
      <c r="C27" s="489" t="str">
        <f>E16</f>
        <v>Demand 2</v>
      </c>
    </row>
    <row r="28" spans="1:3" x14ac:dyDescent="0.2">
      <c r="A28" t="str">
        <f>B20</f>
        <v>Electric</v>
      </c>
      <c r="B28" s="177" t="s">
        <v>580</v>
      </c>
      <c r="C28" s="177" t="s">
        <v>900</v>
      </c>
    </row>
    <row r="29" spans="1:3" x14ac:dyDescent="0.2">
      <c r="A29" t="str">
        <f>B21</f>
        <v>Natural Gas</v>
      </c>
      <c r="B29" s="177" t="s">
        <v>899</v>
      </c>
      <c r="C29" s="177" t="s">
        <v>899</v>
      </c>
    </row>
    <row r="32" spans="1:3" x14ac:dyDescent="0.2">
      <c r="B32" s="489" t="s">
        <v>901</v>
      </c>
    </row>
    <row r="33" spans="2:2" x14ac:dyDescent="0.2">
      <c r="B33" s="177"/>
    </row>
  </sheetData>
  <phoneticPr fontId="0" type="noConversion"/>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FF0000"/>
  </sheetPr>
  <dimension ref="B1:K30"/>
  <sheetViews>
    <sheetView showGridLines="0" showRowColHeaders="0" topLeftCell="A3" zoomScale="110" zoomScaleNormal="110" workbookViewId="0">
      <selection activeCell="F19" sqref="F19"/>
    </sheetView>
  </sheetViews>
  <sheetFormatPr defaultRowHeight="12.75" x14ac:dyDescent="0.2"/>
  <cols>
    <col min="1" max="1" width="1.85546875" customWidth="1"/>
    <col min="2" max="2" width="2.42578125" bestFit="1" customWidth="1"/>
    <col min="3" max="3" width="8" customWidth="1"/>
    <col min="4" max="4" width="26.5703125" bestFit="1" customWidth="1"/>
    <col min="5" max="5" width="15.5703125" hidden="1" customWidth="1"/>
    <col min="6" max="7" width="6.85546875" customWidth="1"/>
    <col min="8" max="8" width="9.85546875" customWidth="1"/>
    <col min="9" max="9" width="15.140625" hidden="1" customWidth="1"/>
    <col min="10" max="10" width="6.42578125" bestFit="1" customWidth="1"/>
    <col min="11" max="11" width="2.5703125" customWidth="1"/>
  </cols>
  <sheetData>
    <row r="1" spans="2:11" ht="9" customHeight="1" thickBot="1" x14ac:dyDescent="0.25"/>
    <row r="2" spans="2:11" ht="36.75" customHeight="1" x14ac:dyDescent="0.2">
      <c r="B2" s="798" t="s">
        <v>902</v>
      </c>
      <c r="C2" s="799"/>
      <c r="D2" s="799"/>
      <c r="E2" s="799"/>
      <c r="F2" s="799"/>
      <c r="G2" s="799"/>
      <c r="H2" s="799"/>
      <c r="I2" s="799"/>
      <c r="J2" s="799"/>
      <c r="K2" s="800"/>
    </row>
    <row r="3" spans="2:11" ht="60" customHeight="1" x14ac:dyDescent="0.2">
      <c r="B3" s="416"/>
      <c r="C3" s="417"/>
      <c r="D3" s="417"/>
      <c r="E3" s="417"/>
      <c r="F3" s="417"/>
      <c r="G3" s="417"/>
      <c r="H3" s="417"/>
      <c r="I3" s="417"/>
      <c r="J3" s="417"/>
      <c r="K3" s="418"/>
    </row>
    <row r="4" spans="2:11" x14ac:dyDescent="0.2">
      <c r="B4" s="8"/>
      <c r="K4" s="19"/>
    </row>
    <row r="5" spans="2:11" x14ac:dyDescent="0.2">
      <c r="B5" s="407">
        <v>1</v>
      </c>
      <c r="C5" s="24" t="s">
        <v>15</v>
      </c>
      <c r="D5" s="24"/>
      <c r="E5" s="24" t="s">
        <v>903</v>
      </c>
      <c r="F5" s="490" t="s">
        <v>904</v>
      </c>
      <c r="I5" s="24" t="s">
        <v>903</v>
      </c>
      <c r="J5" s="490" t="s">
        <v>904</v>
      </c>
      <c r="K5" s="19"/>
    </row>
    <row r="6" spans="2:11" ht="15.75" x14ac:dyDescent="0.25">
      <c r="B6" s="408"/>
      <c r="C6" s="339" t="s">
        <v>16</v>
      </c>
      <c r="D6" s="403" t="s">
        <v>17</v>
      </c>
      <c r="E6" s="409">
        <f>'Utility Information'!N14</f>
        <v>0</v>
      </c>
      <c r="F6" s="411" t="str">
        <f>IF(E6=0,"ü","û")</f>
        <v>ü</v>
      </c>
      <c r="H6" s="410" t="s">
        <v>783</v>
      </c>
      <c r="I6" s="409"/>
      <c r="J6" s="415" t="s">
        <v>191</v>
      </c>
      <c r="K6" s="19"/>
    </row>
    <row r="7" spans="2:11" ht="15" x14ac:dyDescent="0.2">
      <c r="B7" s="408"/>
      <c r="C7" s="339" t="s">
        <v>18</v>
      </c>
      <c r="D7" s="337" t="s">
        <v>19</v>
      </c>
      <c r="E7" s="402">
        <f>'Program Descriptions'!L25</f>
        <v>0</v>
      </c>
      <c r="F7" s="412" t="str">
        <f>IF(E7=0,"ü","û")</f>
        <v>ü</v>
      </c>
      <c r="H7" s="401" t="s">
        <v>790</v>
      </c>
      <c r="I7" s="402">
        <f ca="1">'Table 2'!L30</f>
        <v>-7</v>
      </c>
      <c r="J7" s="412" t="str">
        <f ca="1">IF(I7=0,"ü","û")</f>
        <v>û</v>
      </c>
      <c r="K7" s="19"/>
    </row>
    <row r="8" spans="2:11" ht="15.75" x14ac:dyDescent="0.25">
      <c r="B8" s="408"/>
      <c r="C8" s="339"/>
      <c r="D8" s="404" t="s">
        <v>20</v>
      </c>
      <c r="E8" s="599"/>
      <c r="F8" s="414" t="s">
        <v>191</v>
      </c>
      <c r="H8" s="410" t="s">
        <v>791</v>
      </c>
      <c r="I8" s="409"/>
      <c r="J8" s="415" t="s">
        <v>191</v>
      </c>
      <c r="K8" s="19"/>
    </row>
    <row r="9" spans="2:11" ht="15.75" x14ac:dyDescent="0.25">
      <c r="B9" s="408"/>
      <c r="C9" s="339" t="s">
        <v>21</v>
      </c>
      <c r="D9" s="337" t="s">
        <v>22</v>
      </c>
      <c r="E9" s="402">
        <f>Budgets!N27</f>
        <v>0</v>
      </c>
      <c r="F9" s="412" t="str">
        <f>IF(E9=0,"ü","û")</f>
        <v>ü</v>
      </c>
      <c r="H9" s="401" t="s">
        <v>792</v>
      </c>
      <c r="I9" s="402"/>
      <c r="J9" s="419" t="s">
        <v>191</v>
      </c>
      <c r="K9" s="19"/>
    </row>
    <row r="10" spans="2:11" ht="15.75" x14ac:dyDescent="0.25">
      <c r="B10" s="408"/>
      <c r="C10" s="339"/>
      <c r="D10" s="404" t="s">
        <v>23</v>
      </c>
      <c r="E10" s="409">
        <f>'Rec1'!N29</f>
        <v>0</v>
      </c>
      <c r="F10" s="411" t="str">
        <f>IF(E10=0,"ü","û")</f>
        <v>ü</v>
      </c>
      <c r="H10" s="410" t="s">
        <v>835</v>
      </c>
      <c r="I10" s="409"/>
      <c r="J10" s="415" t="s">
        <v>191</v>
      </c>
      <c r="K10" s="19"/>
    </row>
    <row r="11" spans="2:11" ht="15" x14ac:dyDescent="0.2">
      <c r="B11" s="408"/>
      <c r="C11" s="339" t="s">
        <v>24</v>
      </c>
      <c r="D11" s="337" t="s">
        <v>25</v>
      </c>
      <c r="E11" s="402">
        <f>'Savings &amp; Participants'!N26</f>
        <v>8</v>
      </c>
      <c r="F11" s="412" t="str">
        <f>IF(E11=0,"ü","û")</f>
        <v>û</v>
      </c>
      <c r="H11" s="401" t="s">
        <v>797</v>
      </c>
      <c r="I11" s="402">
        <f ca="1">'Report 1'!Q29</f>
        <v>-3</v>
      </c>
      <c r="J11" s="412" t="str">
        <f ca="1">IF(I11=0,"ü","û")</f>
        <v>û</v>
      </c>
      <c r="K11" s="19"/>
    </row>
    <row r="12" spans="2:11" ht="15.75" x14ac:dyDescent="0.25">
      <c r="B12" s="408"/>
      <c r="C12" s="339" t="s">
        <v>26</v>
      </c>
      <c r="D12" s="405" t="s">
        <v>27</v>
      </c>
      <c r="E12" s="600"/>
      <c r="F12" s="413" t="s">
        <v>191</v>
      </c>
      <c r="H12" s="410" t="s">
        <v>799</v>
      </c>
      <c r="I12" s="409"/>
      <c r="J12" s="415" t="s">
        <v>191</v>
      </c>
      <c r="K12" s="19"/>
    </row>
    <row r="13" spans="2:11" ht="15.75" x14ac:dyDescent="0.25">
      <c r="B13" s="408"/>
      <c r="C13" s="339"/>
      <c r="D13" s="340" t="s">
        <v>28</v>
      </c>
      <c r="E13" s="402">
        <f>External!D273</f>
        <v>0</v>
      </c>
      <c r="F13" s="412" t="str">
        <f>IF(E13=0,"ü","û")</f>
        <v>ü</v>
      </c>
      <c r="H13" s="401" t="s">
        <v>844</v>
      </c>
      <c r="I13" s="402"/>
      <c r="J13" s="419" t="s">
        <v>191</v>
      </c>
      <c r="K13" s="19"/>
    </row>
    <row r="14" spans="2:11" ht="15.75" x14ac:dyDescent="0.25">
      <c r="B14" s="408"/>
      <c r="C14" s="339"/>
      <c r="D14" s="404" t="s">
        <v>29</v>
      </c>
      <c r="E14" s="409">
        <f>Internal!B47</f>
        <v>0</v>
      </c>
      <c r="F14" s="411" t="str">
        <f>IF(E14=0,"ü","û")</f>
        <v>ü</v>
      </c>
      <c r="H14" s="410" t="s">
        <v>905</v>
      </c>
      <c r="I14" s="409"/>
      <c r="J14" s="415" t="s">
        <v>191</v>
      </c>
      <c r="K14" s="19"/>
    </row>
    <row r="15" spans="2:11" ht="15" x14ac:dyDescent="0.2">
      <c r="B15" s="407">
        <v>2</v>
      </c>
      <c r="C15" s="24" t="s">
        <v>30</v>
      </c>
      <c r="D15" s="25"/>
      <c r="E15" s="489"/>
      <c r="F15" s="406"/>
      <c r="K15" s="19"/>
    </row>
    <row r="16" spans="2:11" ht="15.75" x14ac:dyDescent="0.25">
      <c r="B16" s="408"/>
      <c r="C16" s="339" t="s">
        <v>16</v>
      </c>
      <c r="D16" s="403" t="s">
        <v>31</v>
      </c>
      <c r="E16" s="600"/>
      <c r="F16" s="415" t="s">
        <v>191</v>
      </c>
      <c r="K16" s="19"/>
    </row>
    <row r="17" spans="2:11" ht="15" x14ac:dyDescent="0.2">
      <c r="B17" s="408"/>
      <c r="C17" s="339"/>
      <c r="D17" s="340" t="s">
        <v>32</v>
      </c>
      <c r="E17" s="402">
        <f>'Rec2'!L11</f>
        <v>0</v>
      </c>
      <c r="F17" s="412" t="str">
        <f>IF(E17=0,"ü","û")</f>
        <v>ü</v>
      </c>
      <c r="K17" s="19"/>
    </row>
    <row r="18" spans="2:11" ht="15" x14ac:dyDescent="0.2">
      <c r="B18" s="408"/>
      <c r="C18" s="339" t="s">
        <v>18</v>
      </c>
      <c r="D18" s="405" t="s">
        <v>33</v>
      </c>
      <c r="E18" s="409">
        <f>'Evaluated Savings'!N26</f>
        <v>0</v>
      </c>
      <c r="F18" s="411" t="str">
        <f>IF(E18=0,"ü","û")</f>
        <v>ü</v>
      </c>
      <c r="K18" s="19"/>
    </row>
    <row r="19" spans="2:11" ht="15" x14ac:dyDescent="0.2">
      <c r="B19" s="408"/>
      <c r="C19" s="339"/>
      <c r="D19" s="340" t="s">
        <v>34</v>
      </c>
      <c r="E19" s="402">
        <f>'Savings Methodology'!N26</f>
        <v>3</v>
      </c>
      <c r="F19" s="412" t="str">
        <f>IF(E19=0,"ü","û")</f>
        <v>û</v>
      </c>
      <c r="K19" s="19"/>
    </row>
    <row r="20" spans="2:11" ht="15" x14ac:dyDescent="0.2">
      <c r="B20" s="408"/>
      <c r="C20" s="339" t="s">
        <v>21</v>
      </c>
      <c r="D20" s="405" t="s">
        <v>35</v>
      </c>
      <c r="E20" s="409">
        <f>'Cost-Benefits'!P27</f>
        <v>0</v>
      </c>
      <c r="F20" s="411" t="str">
        <f>IF(E20=0,"ü","û")</f>
        <v>ü</v>
      </c>
      <c r="K20" s="19"/>
    </row>
    <row r="21" spans="2:11" ht="15" x14ac:dyDescent="0.2">
      <c r="B21" s="408"/>
      <c r="C21" s="339"/>
      <c r="D21" s="340" t="s">
        <v>36</v>
      </c>
      <c r="E21" s="402">
        <f>'Key Assumptions'!N6</f>
        <v>0</v>
      </c>
      <c r="F21" s="412" t="str">
        <f>IF(E21=0,"ü","û")</f>
        <v>ü</v>
      </c>
      <c r="K21" s="19"/>
    </row>
    <row r="22" spans="2:11" ht="15.75" x14ac:dyDescent="0.25">
      <c r="B22" s="408"/>
      <c r="C22" s="339"/>
      <c r="D22" s="404" t="s">
        <v>37</v>
      </c>
      <c r="E22" s="600"/>
      <c r="F22" s="415" t="s">
        <v>191</v>
      </c>
      <c r="K22" s="19"/>
    </row>
    <row r="23" spans="2:11" ht="15" x14ac:dyDescent="0.2">
      <c r="B23" s="408"/>
      <c r="C23" s="339"/>
      <c r="D23" s="340" t="s">
        <v>38</v>
      </c>
      <c r="E23" s="402">
        <f>'Other CB Test'!O27</f>
        <v>0</v>
      </c>
      <c r="F23" s="412" t="str">
        <f>IF(E23=0,"ü","û")</f>
        <v>ü</v>
      </c>
      <c r="K23" s="19"/>
    </row>
    <row r="24" spans="2:11" ht="15.75" x14ac:dyDescent="0.25">
      <c r="B24" s="408"/>
      <c r="C24" s="339" t="s">
        <v>24</v>
      </c>
      <c r="D24" s="405" t="s">
        <v>39</v>
      </c>
      <c r="E24" s="600"/>
      <c r="F24" s="415" t="s">
        <v>191</v>
      </c>
      <c r="K24" s="19"/>
    </row>
    <row r="25" spans="2:11" ht="15" x14ac:dyDescent="0.2">
      <c r="B25" s="408"/>
      <c r="C25" s="339" t="s">
        <v>26</v>
      </c>
      <c r="D25" s="337" t="s">
        <v>40</v>
      </c>
      <c r="E25" s="402">
        <f>Incentives!O7</f>
        <v>0</v>
      </c>
      <c r="F25" s="412" t="str">
        <f>IF(E25=0,"ü","û")</f>
        <v>ü</v>
      </c>
      <c r="K25" s="19"/>
    </row>
    <row r="26" spans="2:11" ht="15" x14ac:dyDescent="0.2">
      <c r="B26" s="407">
        <v>3</v>
      </c>
      <c r="C26" s="651" t="s">
        <v>41</v>
      </c>
      <c r="D26" s="651"/>
      <c r="E26" s="651"/>
      <c r="F26" s="406"/>
      <c r="K26" s="19"/>
    </row>
    <row r="27" spans="2:11" ht="15.75" x14ac:dyDescent="0.25">
      <c r="B27" s="408"/>
      <c r="C27" s="339" t="s">
        <v>16</v>
      </c>
      <c r="D27" s="403" t="s">
        <v>42</v>
      </c>
      <c r="E27" s="600"/>
      <c r="F27" s="415" t="s">
        <v>191</v>
      </c>
      <c r="K27" s="19"/>
    </row>
    <row r="28" spans="2:11" ht="15" x14ac:dyDescent="0.2">
      <c r="B28" s="23"/>
      <c r="C28" s="25"/>
      <c r="D28" s="340" t="s">
        <v>43</v>
      </c>
      <c r="E28" s="402">
        <f>'Prior Year Portfolio'!N14</f>
        <v>0</v>
      </c>
      <c r="F28" s="412" t="str">
        <f>IF(E28=0,"ü","û")</f>
        <v>ü</v>
      </c>
      <c r="K28" s="19"/>
    </row>
    <row r="29" spans="2:11" hidden="1" x14ac:dyDescent="0.2">
      <c r="B29" s="8"/>
      <c r="D29" s="601" t="s">
        <v>906</v>
      </c>
      <c r="E29" s="402">
        <f ca="1">SUM(E6:E28)+SUM(I6:I14)</f>
        <v>1</v>
      </c>
      <c r="K29" s="19"/>
    </row>
    <row r="30" spans="2:11" x14ac:dyDescent="0.2">
      <c r="B30" s="313"/>
      <c r="C30" s="314"/>
      <c r="D30" s="314"/>
      <c r="E30" s="314"/>
      <c r="F30" s="314"/>
      <c r="G30" s="314"/>
      <c r="H30" s="314"/>
      <c r="I30" s="314"/>
      <c r="J30" s="314"/>
      <c r="K30" s="315"/>
    </row>
  </sheetData>
  <sheetProtection password="C925" sheet="1" objects="1" scenarios="1"/>
  <mergeCells count="2">
    <mergeCell ref="C26:E26"/>
    <mergeCell ref="B2:K2"/>
  </mergeCells>
  <conditionalFormatting sqref="J6:J14 F6:F28">
    <cfRule type="expression" dxfId="0" priority="1">
      <formula>E6=0</formula>
    </cfRule>
  </conditionalFormatting>
  <hyperlinks>
    <hyperlink ref="F6" location="'Utility Information'!A3" tooltip="Go to" display="'Utility Information'!A3" xr:uid="{00000000-0004-0000-2F00-000000000000}"/>
    <hyperlink ref="F7" location="'Program Descriptions'!A5" tooltip="Go to" display="'Program Descriptions'!A5" xr:uid="{00000000-0004-0000-2F00-000001000000}"/>
    <hyperlink ref="F10" location="'Rec1'!A1" tooltip="Go to" display="'Rec1'!A1" xr:uid="{00000000-0004-0000-2F00-000002000000}"/>
    <hyperlink ref="F9" location="Budgets!A5" tooltip="Go to" display="Budgets!A5" xr:uid="{00000000-0004-0000-2F00-000003000000}"/>
    <hyperlink ref="F11" location="'Savings &amp; Participants'!A6" tooltip="Go to" display="'Savings &amp; Participants'!A6" xr:uid="{00000000-0004-0000-2F00-000004000000}"/>
    <hyperlink ref="F12" location="Training!A3" tooltip="Go to" display="-" xr:uid="{00000000-0004-0000-2F00-000005000000}"/>
    <hyperlink ref="F13" location="External!A7" tooltip="Go to" display="External!A7" xr:uid="{00000000-0004-0000-2F00-000006000000}"/>
    <hyperlink ref="F14" location="Internal!A7" tooltip="Go to" display="Internal!A7" xr:uid="{00000000-0004-0000-2F00-000007000000}"/>
    <hyperlink ref="F8" location="'Program Detail'!A4" tooltip="Go to" display="-" xr:uid="{00000000-0004-0000-2F00-000008000000}"/>
    <hyperlink ref="F16" location="'Actual Expenses'!A5" tooltip="Go to" display="-" xr:uid="{00000000-0004-0000-2F00-000009000000}"/>
    <hyperlink ref="F17" location="'Rec2'!A1" tooltip="Go to" display="'Rec2'!A1" xr:uid="{00000000-0004-0000-2F00-00000A000000}"/>
    <hyperlink ref="F18" location="'Evaluated Savings'!A6" tooltip="Go to" display="'Evaluated Savings'!A6" xr:uid="{00000000-0004-0000-2F00-00000B000000}"/>
    <hyperlink ref="F19" location="'Savings Methodology'!A1" tooltip="Go to" display="'Savings Methodology'!A1" xr:uid="{00000000-0004-0000-2F00-00000C000000}"/>
    <hyperlink ref="F20" location="'Cost-Benefits'!A7" tooltip="Go to" display="'Cost-Benefits'!A7" xr:uid="{00000000-0004-0000-2F00-00000D000000}"/>
    <hyperlink ref="F21" location="'Key Assumptions'!A4" tooltip="Go to" display="'Key Assumptions'!A4" xr:uid="{00000000-0004-0000-2F00-00000E000000}"/>
    <hyperlink ref="F22" location="NEBs!A4" tooltip="Go to" display="-" xr:uid="{00000000-0004-0000-2F00-00000F000000}"/>
    <hyperlink ref="F23" location="'Other CB Test'!A1" tooltip="Go to" display="'Other CB Test'!A1" xr:uid="{00000000-0004-0000-2F00-000010000000}"/>
    <hyperlink ref="F24" location="LCFC!A3" tooltip="Go to" display="-" xr:uid="{00000000-0004-0000-2F00-000011000000}"/>
    <hyperlink ref="F25" location="Incentives!A3" tooltip="Go to" display="Incentives!A3" xr:uid="{00000000-0004-0000-2F00-000012000000}"/>
    <hyperlink ref="F27" location="'Prior Year Progam'!A5" tooltip="Go to" display="-" xr:uid="{00000000-0004-0000-2F00-000013000000}"/>
    <hyperlink ref="F28" location="'Prior Year Portfolio'!A1" tooltip="Go to" display="'Prior Year Portfolio'!A1" xr:uid="{00000000-0004-0000-2F00-000014000000}"/>
    <hyperlink ref="J6" location="'Table 1'!A1" display="-" xr:uid="{00000000-0004-0000-2F00-000015000000}"/>
    <hyperlink ref="J7" location="'Table 2'!A1" display="'Table 2'!A1" xr:uid="{00000000-0004-0000-2F00-000016000000}"/>
    <hyperlink ref="J8" location="'Table 3'!A1" display="-" xr:uid="{00000000-0004-0000-2F00-000017000000}"/>
    <hyperlink ref="J9" location="'Table 4'!A1" display="-" xr:uid="{00000000-0004-0000-2F00-000018000000}"/>
    <hyperlink ref="J10" location="'Table 5'!A1" display="-" xr:uid="{00000000-0004-0000-2F00-000019000000}"/>
    <hyperlink ref="J11" location="'Report 1'!A1" display="'Report 1'!A1" xr:uid="{00000000-0004-0000-2F00-00001A000000}"/>
    <hyperlink ref="J12" location="'Report 2'!A1" display="-" xr:uid="{00000000-0004-0000-2F00-00001B000000}"/>
    <hyperlink ref="J13" location="'Report 3'!A1" display="-" xr:uid="{00000000-0004-0000-2F00-00001C000000}"/>
    <hyperlink ref="J14" location="'PY Data'!A1" display="-" xr:uid="{00000000-0004-0000-2F00-00001D00000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FF0000"/>
  </sheetPr>
  <dimension ref="B2:G22"/>
  <sheetViews>
    <sheetView workbookViewId="0">
      <selection activeCell="L34" sqref="L34"/>
    </sheetView>
  </sheetViews>
  <sheetFormatPr defaultRowHeight="12.75" x14ac:dyDescent="0.2"/>
  <cols>
    <col min="1" max="1" width="2.140625" customWidth="1"/>
    <col min="2" max="2" width="10.5703125" customWidth="1"/>
    <col min="3" max="3" width="7.85546875" customWidth="1"/>
    <col min="4" max="4" width="9.42578125" customWidth="1"/>
    <col min="5" max="5" width="11.140625" customWidth="1"/>
    <col min="6" max="6" width="8.85546875" customWidth="1"/>
    <col min="7" max="7" width="7.85546875" customWidth="1"/>
  </cols>
  <sheetData>
    <row r="2" spans="2:7" ht="26.1" customHeight="1" x14ac:dyDescent="0.2">
      <c r="B2" s="602" t="s">
        <v>82</v>
      </c>
      <c r="C2" s="602" t="str">
        <f>Titles!B20</f>
        <v>Electric</v>
      </c>
      <c r="D2" s="602" t="str">
        <f>Titles!B21</f>
        <v>Natural Gas</v>
      </c>
      <c r="E2" s="602" t="s">
        <v>907</v>
      </c>
      <c r="F2" s="602" t="s">
        <v>908</v>
      </c>
      <c r="G2" s="602" t="s">
        <v>909</v>
      </c>
    </row>
    <row r="3" spans="2:7" x14ac:dyDescent="0.2">
      <c r="B3" s="545">
        <v>2011</v>
      </c>
      <c r="C3" s="603">
        <v>2.5000000000000001E-3</v>
      </c>
      <c r="D3" s="603">
        <v>2E-3</v>
      </c>
      <c r="E3" s="545">
        <v>2010</v>
      </c>
      <c r="F3" s="604" t="s">
        <v>910</v>
      </c>
      <c r="G3" s="604">
        <v>15</v>
      </c>
    </row>
    <row r="4" spans="2:7" x14ac:dyDescent="0.2">
      <c r="B4" s="545">
        <v>2012</v>
      </c>
      <c r="C4" s="603">
        <v>5.0000000000000001E-3</v>
      </c>
      <c r="D4" s="603">
        <v>3.0000000000000001E-3</v>
      </c>
      <c r="E4" s="545">
        <v>2010</v>
      </c>
      <c r="F4" s="604" t="s">
        <v>910</v>
      </c>
      <c r="G4" s="604">
        <v>15</v>
      </c>
    </row>
    <row r="5" spans="2:7" x14ac:dyDescent="0.2">
      <c r="B5" s="545">
        <v>2013</v>
      </c>
      <c r="C5" s="603">
        <v>7.4999999999999997E-3</v>
      </c>
      <c r="D5" s="603">
        <v>4.0000000000000001E-3</v>
      </c>
      <c r="E5" s="545">
        <v>2010</v>
      </c>
      <c r="F5" s="604" t="s">
        <v>910</v>
      </c>
      <c r="G5" s="604">
        <v>15</v>
      </c>
    </row>
    <row r="6" spans="2:7" x14ac:dyDescent="0.2">
      <c r="B6" s="545">
        <v>2014</v>
      </c>
      <c r="C6" s="603">
        <v>7.4999999999999997E-3</v>
      </c>
      <c r="D6" s="603">
        <v>4.0000000000000001E-3</v>
      </c>
      <c r="E6" s="545">
        <v>2010</v>
      </c>
      <c r="F6" s="604" t="s">
        <v>911</v>
      </c>
      <c r="G6" s="604">
        <v>2</v>
      </c>
    </row>
    <row r="7" spans="2:7" x14ac:dyDescent="0.2">
      <c r="B7" s="545">
        <v>2015</v>
      </c>
      <c r="C7" s="603">
        <v>8.9999999999999993E-3</v>
      </c>
      <c r="D7" s="603">
        <v>5.0000000000000001E-3</v>
      </c>
      <c r="E7" s="545">
        <v>2013</v>
      </c>
      <c r="F7" s="604" t="s">
        <v>911</v>
      </c>
      <c r="G7" s="604">
        <v>15</v>
      </c>
    </row>
    <row r="8" spans="2:7" x14ac:dyDescent="0.2">
      <c r="B8" s="545">
        <v>2016</v>
      </c>
      <c r="C8" s="603">
        <v>8.9999999999999993E-3</v>
      </c>
      <c r="D8" s="603">
        <v>5.0000000000000001E-3</v>
      </c>
      <c r="E8" s="545">
        <v>2014</v>
      </c>
      <c r="F8" s="604" t="s">
        <v>911</v>
      </c>
      <c r="G8" s="604">
        <v>25</v>
      </c>
    </row>
    <row r="9" spans="2:7" x14ac:dyDescent="0.2">
      <c r="B9" s="545">
        <v>2017</v>
      </c>
      <c r="C9" s="603">
        <v>8.9999999999999993E-3</v>
      </c>
      <c r="D9" s="603">
        <v>5.0000000000000001E-3</v>
      </c>
      <c r="E9" s="545">
        <v>2015</v>
      </c>
      <c r="F9" s="604" t="s">
        <v>911</v>
      </c>
      <c r="G9" s="604">
        <v>31</v>
      </c>
    </row>
    <row r="10" spans="2:7" x14ac:dyDescent="0.2">
      <c r="B10" s="545">
        <v>2018</v>
      </c>
      <c r="C10" s="603">
        <v>8.9999999999999993E-3</v>
      </c>
      <c r="D10" s="603">
        <v>5.0000000000000001E-3</v>
      </c>
      <c r="E10" s="545">
        <v>2015</v>
      </c>
      <c r="F10" s="604" t="s">
        <v>911</v>
      </c>
      <c r="G10" s="604">
        <v>31</v>
      </c>
    </row>
    <row r="11" spans="2:7" x14ac:dyDescent="0.2">
      <c r="B11" s="545">
        <v>2019</v>
      </c>
      <c r="C11" s="603">
        <v>0.01</v>
      </c>
      <c r="D11" s="603">
        <v>5.0000000000000001E-3</v>
      </c>
      <c r="E11" s="545">
        <v>2015</v>
      </c>
      <c r="F11" s="604" t="s">
        <v>911</v>
      </c>
      <c r="G11" s="604">
        <v>31</v>
      </c>
    </row>
    <row r="12" spans="2:7" x14ac:dyDescent="0.2">
      <c r="B12" s="545">
        <v>2020</v>
      </c>
      <c r="C12" s="603">
        <v>1.2E-2</v>
      </c>
      <c r="D12" s="603">
        <v>5.0000000000000001E-3</v>
      </c>
      <c r="E12" s="604">
        <v>2018</v>
      </c>
      <c r="F12" s="604" t="s">
        <v>911</v>
      </c>
      <c r="G12" s="604">
        <v>43</v>
      </c>
    </row>
    <row r="13" spans="2:7" x14ac:dyDescent="0.2">
      <c r="B13" s="545">
        <v>2021</v>
      </c>
      <c r="C13" s="603">
        <v>1.2E-2</v>
      </c>
      <c r="D13" s="603">
        <v>5.0000000000000001E-3</v>
      </c>
      <c r="E13" s="604">
        <v>2018</v>
      </c>
      <c r="F13" s="604" t="s">
        <v>911</v>
      </c>
      <c r="G13" s="604">
        <v>43</v>
      </c>
    </row>
    <row r="14" spans="2:7" x14ac:dyDescent="0.2">
      <c r="B14" s="545">
        <v>2022</v>
      </c>
      <c r="C14" s="603">
        <v>1.2E-2</v>
      </c>
      <c r="D14" s="603">
        <v>5.0000000000000001E-3</v>
      </c>
      <c r="E14" s="604">
        <v>2018</v>
      </c>
      <c r="F14" s="604" t="s">
        <v>911</v>
      </c>
      <c r="G14" s="604">
        <v>43</v>
      </c>
    </row>
    <row r="15" spans="2:7" x14ac:dyDescent="0.2">
      <c r="B15" s="545">
        <v>2023</v>
      </c>
      <c r="C15" s="603">
        <v>1.2E-2</v>
      </c>
      <c r="D15" s="603">
        <v>5.0000000000000001E-3</v>
      </c>
      <c r="E15" s="604">
        <v>2018</v>
      </c>
      <c r="F15" s="604" t="s">
        <v>911</v>
      </c>
      <c r="G15" s="604">
        <v>62</v>
      </c>
    </row>
    <row r="16" spans="2:7" x14ac:dyDescent="0.2">
      <c r="B16" s="545">
        <v>2024</v>
      </c>
      <c r="C16" s="603">
        <v>1.2E-2</v>
      </c>
      <c r="D16" s="603">
        <v>5.0000000000000001E-3</v>
      </c>
      <c r="E16" s="604">
        <v>2022</v>
      </c>
      <c r="F16" s="604" t="s">
        <v>911</v>
      </c>
      <c r="G16" s="604">
        <v>68</v>
      </c>
    </row>
    <row r="17" spans="2:7" x14ac:dyDescent="0.2">
      <c r="B17" s="545">
        <v>2025</v>
      </c>
      <c r="C17" s="603">
        <v>1.2E-2</v>
      </c>
      <c r="D17" s="603">
        <v>5.0000000000000001E-3</v>
      </c>
      <c r="E17" s="604">
        <v>2022</v>
      </c>
      <c r="F17" s="604" t="s">
        <v>911</v>
      </c>
      <c r="G17" s="604">
        <v>68</v>
      </c>
    </row>
    <row r="18" spans="2:7" x14ac:dyDescent="0.2">
      <c r="B18" s="545">
        <v>2026</v>
      </c>
      <c r="C18" s="603">
        <v>0</v>
      </c>
      <c r="D18" s="603">
        <v>0</v>
      </c>
      <c r="E18" s="604" t="s">
        <v>912</v>
      </c>
      <c r="F18" s="604"/>
      <c r="G18" s="604"/>
    </row>
    <row r="19" spans="2:7" x14ac:dyDescent="0.2">
      <c r="B19" s="545">
        <v>2027</v>
      </c>
      <c r="C19" s="603">
        <v>0</v>
      </c>
      <c r="D19" s="603">
        <v>0</v>
      </c>
      <c r="E19" s="604" t="s">
        <v>912</v>
      </c>
      <c r="F19" s="604"/>
      <c r="G19" s="604"/>
    </row>
    <row r="20" spans="2:7" x14ac:dyDescent="0.2">
      <c r="B20" s="545">
        <v>2028</v>
      </c>
      <c r="C20" s="603">
        <v>0</v>
      </c>
      <c r="D20" s="603">
        <v>0</v>
      </c>
      <c r="E20" s="604" t="s">
        <v>912</v>
      </c>
      <c r="F20" s="604"/>
      <c r="G20" s="604"/>
    </row>
    <row r="21" spans="2:7" x14ac:dyDescent="0.2">
      <c r="B21" s="545">
        <v>2029</v>
      </c>
      <c r="C21" s="603">
        <v>0</v>
      </c>
      <c r="D21" s="603">
        <v>0</v>
      </c>
      <c r="E21" s="604" t="s">
        <v>912</v>
      </c>
      <c r="F21" s="604"/>
      <c r="G21" s="604"/>
    </row>
    <row r="22" spans="2:7" x14ac:dyDescent="0.2">
      <c r="B22" s="545">
        <v>2030</v>
      </c>
      <c r="C22" s="603">
        <v>0</v>
      </c>
      <c r="D22" s="603">
        <v>0</v>
      </c>
      <c r="E22" s="604" t="s">
        <v>912</v>
      </c>
      <c r="F22" s="604"/>
      <c r="G22" s="60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BA27"/>
  <sheetViews>
    <sheetView showGridLines="0" zoomScaleNormal="100" workbookViewId="0">
      <pane xSplit="3" ySplit="3" topLeftCell="D6" activePane="bottomRight" state="frozen"/>
      <selection pane="topRight" activeCell="D1" sqref="D1"/>
      <selection pane="bottomLeft" activeCell="A4" sqref="A4"/>
      <selection pane="bottomRight" activeCell="C24" sqref="C24"/>
    </sheetView>
  </sheetViews>
  <sheetFormatPr defaultColWidth="9.140625" defaultRowHeight="12.75" x14ac:dyDescent="0.2"/>
  <cols>
    <col min="1" max="1" width="1" style="2" customWidth="1"/>
    <col min="2" max="2" width="4.5703125" style="2" customWidth="1"/>
    <col min="3" max="3" width="41.42578125" style="2" customWidth="1"/>
    <col min="4" max="4" width="1.140625" style="2" customWidth="1"/>
    <col min="5" max="52" width="4.42578125" style="2" customWidth="1"/>
    <col min="53" max="53" width="3.140625" style="2" customWidth="1"/>
    <col min="54" max="16384" width="9.140625" style="2"/>
  </cols>
  <sheetData>
    <row r="1" spans="2:53" ht="5.0999999999999996" customHeight="1" thickBot="1" x14ac:dyDescent="0.25"/>
    <row r="2" spans="2:53" ht="38.25" customHeight="1" thickBot="1" x14ac:dyDescent="0.25">
      <c r="B2" s="671" t="s">
        <v>134</v>
      </c>
      <c r="C2" s="671"/>
      <c r="D2" s="671"/>
      <c r="E2" s="671"/>
      <c r="F2" s="671"/>
      <c r="G2" s="671"/>
      <c r="H2" s="671"/>
      <c r="I2" s="671"/>
      <c r="J2" s="671"/>
      <c r="K2" s="671"/>
      <c r="L2" s="671"/>
      <c r="M2" s="671"/>
      <c r="N2" s="671"/>
      <c r="O2" s="671"/>
      <c r="P2" s="671"/>
      <c r="Q2" s="671"/>
      <c r="R2" s="671"/>
      <c r="S2" s="671"/>
      <c r="T2" s="671"/>
      <c r="U2" s="671"/>
      <c r="V2" s="671"/>
      <c r="W2" s="671"/>
      <c r="X2" s="671"/>
      <c r="Y2" s="671"/>
      <c r="Z2" s="671"/>
      <c r="AA2" s="671"/>
      <c r="AB2" s="671"/>
      <c r="AC2" s="671"/>
      <c r="AD2" s="671"/>
      <c r="AE2" s="671"/>
      <c r="AF2" s="671"/>
      <c r="AG2" s="671"/>
      <c r="AH2" s="671"/>
      <c r="AI2" s="671"/>
      <c r="AJ2" s="671"/>
      <c r="AK2" s="671"/>
      <c r="AL2" s="671"/>
      <c r="AM2" s="671"/>
      <c r="AN2" s="671"/>
      <c r="AO2" s="671"/>
      <c r="AP2" s="671"/>
      <c r="AQ2" s="671"/>
      <c r="AR2" s="671"/>
      <c r="AS2" s="671"/>
      <c r="AT2" s="671"/>
      <c r="AU2" s="671"/>
      <c r="AV2" s="671"/>
      <c r="AW2" s="671"/>
      <c r="AX2" s="671"/>
      <c r="AY2" s="671"/>
      <c r="AZ2" s="671"/>
      <c r="BA2" s="671"/>
    </row>
    <row r="3" spans="2:53" ht="45.75" customHeight="1" x14ac:dyDescent="0.2">
      <c r="B3" s="511"/>
      <c r="C3" s="347"/>
      <c r="D3" s="347"/>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c r="AZ3" s="348"/>
      <c r="BA3" s="512"/>
    </row>
    <row r="4" spans="2:53" ht="6" customHeight="1" x14ac:dyDescent="0.2">
      <c r="B4" s="3"/>
      <c r="BA4" s="4"/>
    </row>
    <row r="5" spans="2:53" ht="19.5" customHeight="1" x14ac:dyDescent="0.2">
      <c r="B5" s="3"/>
      <c r="E5" s="668" t="s">
        <v>135</v>
      </c>
      <c r="F5" s="669"/>
      <c r="G5" s="669"/>
      <c r="H5" s="669"/>
      <c r="I5" s="669"/>
      <c r="J5" s="669"/>
      <c r="K5" s="669"/>
      <c r="L5" s="669"/>
      <c r="M5" s="669"/>
      <c r="N5" s="669"/>
      <c r="O5" s="669"/>
      <c r="P5" s="669"/>
      <c r="Q5" s="669"/>
      <c r="R5" s="669"/>
      <c r="S5" s="669"/>
      <c r="T5" s="669"/>
      <c r="U5" s="669"/>
      <c r="V5" s="669"/>
      <c r="W5" s="669"/>
      <c r="X5" s="670"/>
      <c r="Y5" s="668" t="s">
        <v>136</v>
      </c>
      <c r="Z5" s="669"/>
      <c r="AA5" s="669"/>
      <c r="AB5" s="669"/>
      <c r="AC5" s="669"/>
      <c r="AD5" s="669"/>
      <c r="AE5" s="669"/>
      <c r="AF5" s="669"/>
      <c r="AG5" s="669"/>
      <c r="AH5" s="669"/>
      <c r="AI5" s="669"/>
      <c r="AJ5" s="669"/>
      <c r="AK5" s="669"/>
      <c r="AL5" s="669"/>
      <c r="AM5" s="669"/>
      <c r="AN5" s="669"/>
      <c r="AO5" s="669"/>
      <c r="AP5" s="669"/>
      <c r="AQ5" s="670"/>
      <c r="AR5" s="668" t="s">
        <v>137</v>
      </c>
      <c r="AS5" s="669"/>
      <c r="AT5" s="669"/>
      <c r="AU5" s="669"/>
      <c r="AV5" s="669"/>
      <c r="AW5" s="669"/>
      <c r="AX5" s="669"/>
      <c r="AY5" s="669"/>
      <c r="AZ5" s="670"/>
      <c r="BA5" s="4"/>
    </row>
    <row r="6" spans="2:53" ht="152.25" customHeight="1" x14ac:dyDescent="0.2">
      <c r="B6" s="3"/>
      <c r="C6" s="349" t="s">
        <v>93</v>
      </c>
      <c r="D6" s="176"/>
      <c r="E6" s="514" t="s">
        <v>138</v>
      </c>
      <c r="F6" s="514" t="s">
        <v>139</v>
      </c>
      <c r="G6" s="514" t="s">
        <v>140</v>
      </c>
      <c r="H6" s="514" t="s">
        <v>141</v>
      </c>
      <c r="I6" s="514" t="s">
        <v>142</v>
      </c>
      <c r="J6" s="514" t="s">
        <v>143</v>
      </c>
      <c r="K6" s="514" t="s">
        <v>144</v>
      </c>
      <c r="L6" s="514" t="s">
        <v>145</v>
      </c>
      <c r="M6" s="514" t="s">
        <v>146</v>
      </c>
      <c r="N6" s="514" t="s">
        <v>147</v>
      </c>
      <c r="O6" s="514" t="s">
        <v>148</v>
      </c>
      <c r="P6" s="514" t="s">
        <v>149</v>
      </c>
      <c r="Q6" s="514" t="s">
        <v>150</v>
      </c>
      <c r="R6" s="514" t="s">
        <v>151</v>
      </c>
      <c r="S6" s="514" t="s">
        <v>152</v>
      </c>
      <c r="T6" s="514" t="s">
        <v>153</v>
      </c>
      <c r="U6" s="514" t="s">
        <v>102</v>
      </c>
      <c r="V6" s="514" t="s">
        <v>154</v>
      </c>
      <c r="W6" s="514" t="s">
        <v>155</v>
      </c>
      <c r="X6" s="514" t="s">
        <v>156</v>
      </c>
      <c r="Y6" s="514" t="s">
        <v>157</v>
      </c>
      <c r="Z6" s="514" t="s">
        <v>158</v>
      </c>
      <c r="AA6" s="514" t="s">
        <v>159</v>
      </c>
      <c r="AB6" s="514" t="s">
        <v>160</v>
      </c>
      <c r="AC6" s="514" t="s">
        <v>161</v>
      </c>
      <c r="AD6" s="514" t="s">
        <v>162</v>
      </c>
      <c r="AE6" s="514" t="s">
        <v>144</v>
      </c>
      <c r="AF6" s="514" t="s">
        <v>145</v>
      </c>
      <c r="AG6" s="514" t="s">
        <v>146</v>
      </c>
      <c r="AH6" s="514" t="s">
        <v>163</v>
      </c>
      <c r="AI6" s="514" t="s">
        <v>102</v>
      </c>
      <c r="AJ6" s="514" t="s">
        <v>164</v>
      </c>
      <c r="AK6" s="514" t="s">
        <v>165</v>
      </c>
      <c r="AL6" s="514" t="s">
        <v>166</v>
      </c>
      <c r="AM6" s="514" t="s">
        <v>167</v>
      </c>
      <c r="AN6" s="514" t="s">
        <v>168</v>
      </c>
      <c r="AO6" s="514" t="s">
        <v>169</v>
      </c>
      <c r="AP6" s="514" t="s">
        <v>170</v>
      </c>
      <c r="AQ6" s="514" t="s">
        <v>171</v>
      </c>
      <c r="AR6" s="514" t="s">
        <v>172</v>
      </c>
      <c r="AS6" s="514" t="s">
        <v>173</v>
      </c>
      <c r="AT6" s="514" t="s">
        <v>174</v>
      </c>
      <c r="AU6" s="514" t="s">
        <v>175</v>
      </c>
      <c r="AV6" s="514" t="s">
        <v>102</v>
      </c>
      <c r="AW6" s="514" t="s">
        <v>176</v>
      </c>
      <c r="AX6" s="514" t="s">
        <v>177</v>
      </c>
      <c r="AY6" s="514" t="s">
        <v>178</v>
      </c>
      <c r="AZ6" s="514" t="s">
        <v>179</v>
      </c>
      <c r="BA6" s="4"/>
    </row>
    <row r="7" spans="2:53" ht="15" customHeight="1" x14ac:dyDescent="0.2">
      <c r="B7" s="272">
        <v>1</v>
      </c>
      <c r="C7" s="273" t="str">
        <f>'Program Descriptions'!C5</f>
        <v>Load Mgt (LMP)</v>
      </c>
      <c r="D7" s="273"/>
      <c r="E7" s="515"/>
      <c r="F7" s="515"/>
      <c r="G7" s="515"/>
      <c r="H7" s="515"/>
      <c r="I7" s="515"/>
      <c r="J7" s="515"/>
      <c r="K7" s="515"/>
      <c r="L7" s="515"/>
      <c r="M7" s="515"/>
      <c r="N7" s="515"/>
      <c r="O7" s="515"/>
      <c r="P7" s="515"/>
      <c r="Q7" s="515"/>
      <c r="R7" s="515"/>
      <c r="S7" s="515"/>
      <c r="T7" s="515"/>
      <c r="U7" s="515"/>
      <c r="V7" s="515"/>
      <c r="W7" s="515"/>
      <c r="X7" s="515"/>
      <c r="Y7" s="515"/>
      <c r="Z7" s="515"/>
      <c r="AA7" s="515"/>
      <c r="AB7" s="515"/>
      <c r="AC7" s="515"/>
      <c r="AD7" s="515"/>
      <c r="AE7" s="515" t="s">
        <v>180</v>
      </c>
      <c r="AF7" s="515"/>
      <c r="AG7" s="515"/>
      <c r="AH7" s="515"/>
      <c r="AI7" s="515"/>
      <c r="AJ7" s="515"/>
      <c r="AK7" s="515"/>
      <c r="AL7" s="515"/>
      <c r="AM7" s="515"/>
      <c r="AN7" s="515"/>
      <c r="AO7" s="515"/>
      <c r="AP7" s="515"/>
      <c r="AQ7" s="515"/>
      <c r="AR7" s="515"/>
      <c r="AS7" s="515"/>
      <c r="AT7" s="515"/>
      <c r="AU7" s="515"/>
      <c r="AV7" s="515"/>
      <c r="AW7" s="515"/>
      <c r="AX7" s="515"/>
      <c r="AY7" s="515"/>
      <c r="AZ7" s="515"/>
      <c r="BA7" s="4"/>
    </row>
    <row r="8" spans="2:53" ht="15" customHeight="1" x14ac:dyDescent="0.2">
      <c r="B8" s="272">
        <v>2</v>
      </c>
      <c r="C8" s="273" t="str">
        <f>'Program Descriptions'!C6</f>
        <v>Comm &amp; Industrial (CIEEP)</v>
      </c>
      <c r="D8" s="273"/>
      <c r="E8" s="515"/>
      <c r="F8" s="515"/>
      <c r="G8" s="515"/>
      <c r="H8" s="515"/>
      <c r="I8" s="515"/>
      <c r="J8" s="515"/>
      <c r="K8" s="515"/>
      <c r="L8" s="515"/>
      <c r="M8" s="515"/>
      <c r="N8" s="515"/>
      <c r="O8" s="515"/>
      <c r="P8" s="515"/>
      <c r="Q8" s="515"/>
      <c r="R8" s="515"/>
      <c r="S8" s="515"/>
      <c r="T8" s="515"/>
      <c r="U8" s="515"/>
      <c r="V8" s="515"/>
      <c r="W8" s="515"/>
      <c r="X8" s="515"/>
      <c r="Y8" s="515"/>
      <c r="Z8" s="515" t="s">
        <v>180</v>
      </c>
      <c r="AA8" s="515"/>
      <c r="AB8" s="515"/>
      <c r="AC8" s="515" t="s">
        <v>180</v>
      </c>
      <c r="AD8" s="515" t="s">
        <v>180</v>
      </c>
      <c r="AE8" s="515"/>
      <c r="AF8" s="515"/>
      <c r="AG8" s="515"/>
      <c r="AH8" s="515" t="s">
        <v>180</v>
      </c>
      <c r="AI8" s="515" t="s">
        <v>180</v>
      </c>
      <c r="AJ8" s="515"/>
      <c r="AK8" s="515" t="s">
        <v>180</v>
      </c>
      <c r="AL8" s="515" t="s">
        <v>180</v>
      </c>
      <c r="AM8" s="515" t="s">
        <v>180</v>
      </c>
      <c r="AN8" s="515"/>
      <c r="AO8" s="515" t="s">
        <v>180</v>
      </c>
      <c r="AP8" s="515"/>
      <c r="AQ8" s="515" t="s">
        <v>180</v>
      </c>
      <c r="AR8" s="515"/>
      <c r="AS8" s="515"/>
      <c r="AT8" s="515"/>
      <c r="AU8" s="515"/>
      <c r="AV8" s="515"/>
      <c r="AW8" s="515"/>
      <c r="AX8" s="515"/>
      <c r="AY8" s="515"/>
      <c r="AZ8" s="515"/>
      <c r="BA8" s="4"/>
    </row>
    <row r="9" spans="2:53" ht="15" customHeight="1" x14ac:dyDescent="0.2">
      <c r="B9" s="272">
        <v>3</v>
      </c>
      <c r="C9" s="273" t="str">
        <f>'Program Descriptions'!C7</f>
        <v>Small Business (SBP)</v>
      </c>
      <c r="D9" s="273"/>
      <c r="E9" s="515"/>
      <c r="F9" s="515"/>
      <c r="G9" s="515"/>
      <c r="H9" s="515"/>
      <c r="I9" s="515"/>
      <c r="J9" s="515"/>
      <c r="K9" s="515"/>
      <c r="L9" s="515"/>
      <c r="M9" s="515"/>
      <c r="N9" s="515"/>
      <c r="O9" s="515"/>
      <c r="P9" s="515"/>
      <c r="Q9" s="515"/>
      <c r="R9" s="515"/>
      <c r="S9" s="515"/>
      <c r="T9" s="515"/>
      <c r="U9" s="515"/>
      <c r="V9" s="515"/>
      <c r="W9" s="515"/>
      <c r="X9" s="515"/>
      <c r="Y9" s="515"/>
      <c r="Z9" s="515"/>
      <c r="AA9" s="515"/>
      <c r="AB9" s="515"/>
      <c r="AC9" s="515"/>
      <c r="AD9" s="515"/>
      <c r="AE9" s="515"/>
      <c r="AF9" s="515"/>
      <c r="AG9" s="515"/>
      <c r="AH9" s="515"/>
      <c r="AI9" s="515"/>
      <c r="AJ9" s="515"/>
      <c r="AK9" s="515" t="s">
        <v>180</v>
      </c>
      <c r="AL9" s="515"/>
      <c r="AM9" s="515"/>
      <c r="AN9" s="515" t="s">
        <v>180</v>
      </c>
      <c r="AO9" s="515"/>
      <c r="AP9" s="515" t="s">
        <v>180</v>
      </c>
      <c r="AQ9" s="515"/>
      <c r="AR9" s="515"/>
      <c r="AS9" s="515"/>
      <c r="AT9" s="515"/>
      <c r="AU9" s="515"/>
      <c r="AV9" s="515"/>
      <c r="AW9" s="515"/>
      <c r="AX9" s="515"/>
      <c r="AY9" s="515"/>
      <c r="AZ9" s="515"/>
      <c r="BA9" s="4"/>
    </row>
    <row r="10" spans="2:53" ht="15" customHeight="1" x14ac:dyDescent="0.2">
      <c r="B10" s="272">
        <v>4</v>
      </c>
      <c r="C10" s="273" t="str">
        <f>'Program Descriptions'!C8</f>
        <v>Efficient Products (EPP)</v>
      </c>
      <c r="D10" s="273"/>
      <c r="E10" s="515"/>
      <c r="F10" s="515"/>
      <c r="G10" s="515" t="s">
        <v>180</v>
      </c>
      <c r="H10" s="515"/>
      <c r="I10" s="515" t="s">
        <v>180</v>
      </c>
      <c r="J10" s="515"/>
      <c r="K10" s="515"/>
      <c r="L10" s="515"/>
      <c r="M10" s="515"/>
      <c r="N10" s="515"/>
      <c r="O10" s="515"/>
      <c r="P10" s="515"/>
      <c r="Q10" s="515" t="s">
        <v>181</v>
      </c>
      <c r="R10" s="515" t="s">
        <v>181</v>
      </c>
      <c r="S10" s="515"/>
      <c r="T10" s="515"/>
      <c r="U10" s="515"/>
      <c r="V10" s="515"/>
      <c r="W10" s="515"/>
      <c r="X10" s="515"/>
      <c r="Y10" s="515"/>
      <c r="Z10" s="515"/>
      <c r="AA10" s="515"/>
      <c r="AB10" s="515"/>
      <c r="AC10" s="515"/>
      <c r="AD10" s="515"/>
      <c r="AE10" s="515"/>
      <c r="AF10" s="515"/>
      <c r="AG10" s="515"/>
      <c r="AH10" s="515"/>
      <c r="AI10" s="515"/>
      <c r="AJ10" s="515"/>
      <c r="AK10" s="515"/>
      <c r="AL10" s="515"/>
      <c r="AM10" s="515"/>
      <c r="AN10" s="515"/>
      <c r="AO10" s="515"/>
      <c r="AP10" s="515"/>
      <c r="AQ10" s="515"/>
      <c r="AR10" s="515"/>
      <c r="AS10" s="515"/>
      <c r="AT10" s="515"/>
      <c r="AU10" s="515"/>
      <c r="AV10" s="515"/>
      <c r="AW10" s="515"/>
      <c r="AX10" s="515"/>
      <c r="AY10" s="515"/>
      <c r="AZ10" s="515"/>
      <c r="BA10" s="4"/>
    </row>
    <row r="11" spans="2:53" ht="15" customHeight="1" x14ac:dyDescent="0.2">
      <c r="B11" s="272">
        <v>5</v>
      </c>
      <c r="C11" s="273" t="str">
        <f>'Program Descriptions'!C9</f>
        <v>Res Energy Imprv (REIP)</v>
      </c>
      <c r="D11" s="273"/>
      <c r="E11" s="515"/>
      <c r="F11" s="515"/>
      <c r="G11" s="515"/>
      <c r="H11" s="515"/>
      <c r="I11" s="515"/>
      <c r="J11" s="515"/>
      <c r="K11" s="515"/>
      <c r="L11" s="515"/>
      <c r="M11" s="515"/>
      <c r="N11" s="515"/>
      <c r="O11" s="515" t="s">
        <v>180</v>
      </c>
      <c r="P11" s="515" t="s">
        <v>180</v>
      </c>
      <c r="Q11" s="515" t="s">
        <v>180</v>
      </c>
      <c r="R11" s="515"/>
      <c r="S11" s="515" t="s">
        <v>180</v>
      </c>
      <c r="T11" s="515" t="s">
        <v>180</v>
      </c>
      <c r="U11" s="515"/>
      <c r="V11" s="515"/>
      <c r="W11" s="515"/>
      <c r="X11" s="515"/>
      <c r="Y11" s="515"/>
      <c r="Z11" s="515"/>
      <c r="AA11" s="515"/>
      <c r="AB11" s="515"/>
      <c r="AC11" s="515"/>
      <c r="AD11" s="515"/>
      <c r="AE11" s="515"/>
      <c r="AF11" s="515"/>
      <c r="AG11" s="515"/>
      <c r="AH11" s="515"/>
      <c r="AI11" s="515"/>
      <c r="AJ11" s="515"/>
      <c r="AK11" s="515"/>
      <c r="AL11" s="515"/>
      <c r="AM11" s="515"/>
      <c r="AN11" s="515"/>
      <c r="AO11" s="515"/>
      <c r="AP11" s="515"/>
      <c r="AQ11" s="515"/>
      <c r="AR11" s="515"/>
      <c r="AS11" s="515"/>
      <c r="AT11" s="515"/>
      <c r="AU11" s="515"/>
      <c r="AV11" s="515"/>
      <c r="AW11" s="515"/>
      <c r="AX11" s="515"/>
      <c r="AY11" s="515"/>
      <c r="AZ11" s="515"/>
      <c r="BA11" s="4"/>
    </row>
    <row r="12" spans="2:53" ht="15" customHeight="1" x14ac:dyDescent="0.2">
      <c r="B12" s="272">
        <v>6</v>
      </c>
      <c r="C12" s="273" t="str">
        <f>'Program Descriptions'!C10</f>
        <v>Home Weatherization (HWP)</v>
      </c>
      <c r="D12" s="273"/>
      <c r="E12" s="515"/>
      <c r="F12" s="515"/>
      <c r="G12" s="515"/>
      <c r="H12" s="515"/>
      <c r="I12" s="515"/>
      <c r="J12" s="515"/>
      <c r="K12" s="515"/>
      <c r="L12" s="515"/>
      <c r="M12" s="515"/>
      <c r="N12" s="515" t="s">
        <v>180</v>
      </c>
      <c r="O12" s="515"/>
      <c r="P12" s="515" t="s">
        <v>180</v>
      </c>
      <c r="Q12" s="515"/>
      <c r="R12" s="515"/>
      <c r="S12" s="515"/>
      <c r="T12" s="515"/>
      <c r="U12" s="515"/>
      <c r="V12" s="515" t="s">
        <v>180</v>
      </c>
      <c r="W12" s="515" t="s">
        <v>180</v>
      </c>
      <c r="X12" s="515"/>
      <c r="Y12" s="515"/>
      <c r="Z12" s="515"/>
      <c r="AA12" s="515"/>
      <c r="AB12" s="515"/>
      <c r="AC12" s="515"/>
      <c r="AD12" s="515"/>
      <c r="AE12" s="515"/>
      <c r="AF12" s="515"/>
      <c r="AG12" s="515"/>
      <c r="AH12" s="515"/>
      <c r="AI12" s="515"/>
      <c r="AJ12" s="515"/>
      <c r="AK12" s="515"/>
      <c r="AL12" s="515"/>
      <c r="AM12" s="515"/>
      <c r="AN12" s="515"/>
      <c r="AO12" s="515"/>
      <c r="AP12" s="515"/>
      <c r="AQ12" s="515"/>
      <c r="AR12" s="515"/>
      <c r="AS12" s="515"/>
      <c r="AT12" s="515"/>
      <c r="AU12" s="515"/>
      <c r="AV12" s="515"/>
      <c r="AW12" s="515"/>
      <c r="AX12" s="515"/>
      <c r="AY12" s="515"/>
      <c r="AZ12" s="515"/>
      <c r="BA12" s="4"/>
    </row>
    <row r="13" spans="2:53" ht="15" customHeight="1" x14ac:dyDescent="0.2">
      <c r="B13" s="272">
        <v>7</v>
      </c>
      <c r="C13" s="273" t="str">
        <f>'Program Descriptions'!C11</f>
        <v>Discont'd EE AR (EEA)</v>
      </c>
      <c r="D13" s="273"/>
      <c r="E13" s="515"/>
      <c r="F13" s="515"/>
      <c r="G13" s="515"/>
      <c r="H13" s="515"/>
      <c r="I13" s="515"/>
      <c r="J13" s="515"/>
      <c r="K13" s="515"/>
      <c r="L13" s="515"/>
      <c r="M13" s="515"/>
      <c r="N13" s="515"/>
      <c r="O13" s="515"/>
      <c r="P13" s="515"/>
      <c r="Q13" s="515"/>
      <c r="R13" s="515"/>
      <c r="S13" s="515"/>
      <c r="T13" s="515"/>
      <c r="U13" s="515"/>
      <c r="V13" s="515"/>
      <c r="W13" s="515"/>
      <c r="X13" s="515"/>
      <c r="Y13" s="515"/>
      <c r="Z13" s="515"/>
      <c r="AA13" s="515"/>
      <c r="AB13" s="515"/>
      <c r="AC13" s="515"/>
      <c r="AD13" s="515"/>
      <c r="AE13" s="515"/>
      <c r="AF13" s="515"/>
      <c r="AG13" s="515"/>
      <c r="AH13" s="515"/>
      <c r="AI13" s="515"/>
      <c r="AJ13" s="515"/>
      <c r="AK13" s="515"/>
      <c r="AL13" s="515"/>
      <c r="AM13" s="515"/>
      <c r="AN13" s="515"/>
      <c r="AO13" s="515"/>
      <c r="AP13" s="515"/>
      <c r="AQ13" s="515"/>
      <c r="AR13" s="515"/>
      <c r="AS13" s="515"/>
      <c r="AT13" s="515" t="s">
        <v>180</v>
      </c>
      <c r="AU13" s="515"/>
      <c r="AV13" s="515"/>
      <c r="AW13" s="515"/>
      <c r="AX13" s="515"/>
      <c r="AY13" s="515"/>
      <c r="AZ13" s="515"/>
      <c r="BA13" s="4"/>
    </row>
    <row r="14" spans="2:53" ht="15" customHeight="1" x14ac:dyDescent="0.2">
      <c r="B14" s="272">
        <v>8</v>
      </c>
      <c r="C14" s="273" t="str">
        <f>'Program Descriptions'!C12</f>
        <v>Discont'd Onlne Audt(OLA)</v>
      </c>
      <c r="D14" s="273"/>
      <c r="E14" s="515"/>
      <c r="F14" s="515" t="s">
        <v>180</v>
      </c>
      <c r="G14" s="515"/>
      <c r="H14" s="515"/>
      <c r="I14" s="515"/>
      <c r="J14" s="515"/>
      <c r="K14" s="515"/>
      <c r="L14" s="515"/>
      <c r="M14" s="515"/>
      <c r="N14" s="515"/>
      <c r="O14" s="515"/>
      <c r="P14" s="515"/>
      <c r="Q14" s="515"/>
      <c r="R14" s="515"/>
      <c r="S14" s="515"/>
      <c r="T14" s="515"/>
      <c r="U14" s="515"/>
      <c r="V14" s="515"/>
      <c r="W14" s="515"/>
      <c r="X14" s="515"/>
      <c r="Y14" s="515"/>
      <c r="Z14" s="515"/>
      <c r="AA14" s="515"/>
      <c r="AB14" s="515"/>
      <c r="AC14" s="515"/>
      <c r="AD14" s="515"/>
      <c r="AE14" s="515"/>
      <c r="AF14" s="515"/>
      <c r="AG14" s="515"/>
      <c r="AH14" s="515"/>
      <c r="AI14" s="515"/>
      <c r="AJ14" s="515"/>
      <c r="AK14" s="515"/>
      <c r="AL14" s="515"/>
      <c r="AM14" s="515"/>
      <c r="AN14" s="515"/>
      <c r="AO14" s="515"/>
      <c r="AP14" s="515"/>
      <c r="AQ14" s="515"/>
      <c r="AR14" s="515"/>
      <c r="AS14" s="515"/>
      <c r="AT14" s="515"/>
      <c r="AU14" s="515"/>
      <c r="AV14" s="515"/>
      <c r="AW14" s="515"/>
      <c r="AX14" s="515"/>
      <c r="AY14" s="515"/>
      <c r="AZ14" s="515"/>
      <c r="BA14" s="4"/>
    </row>
    <row r="15" spans="2:53" ht="15" customHeight="1" x14ac:dyDescent="0.2">
      <c r="B15" s="272">
        <v>9</v>
      </c>
      <c r="C15" s="273" t="str">
        <f>'Program Descriptions'!C13</f>
        <v>Income Qualified (IQW)</v>
      </c>
      <c r="D15" s="273"/>
      <c r="E15" s="515" t="s">
        <v>180</v>
      </c>
      <c r="F15" s="515"/>
      <c r="G15" s="515"/>
      <c r="H15" s="515"/>
      <c r="I15" s="515"/>
      <c r="J15" s="515"/>
      <c r="K15" s="515"/>
      <c r="L15" s="515"/>
      <c r="M15" s="515"/>
      <c r="N15" s="515" t="s">
        <v>181</v>
      </c>
      <c r="O15" s="515"/>
      <c r="P15" s="515" t="s">
        <v>181</v>
      </c>
      <c r="Q15" s="515"/>
      <c r="R15" s="515"/>
      <c r="S15" s="515"/>
      <c r="T15" s="515"/>
      <c r="U15" s="515"/>
      <c r="V15" s="515" t="s">
        <v>181</v>
      </c>
      <c r="W15" s="515" t="s">
        <v>181</v>
      </c>
      <c r="X15" s="515"/>
      <c r="Y15" s="515"/>
      <c r="Z15" s="515"/>
      <c r="AA15" s="515"/>
      <c r="AB15" s="515"/>
      <c r="AC15" s="515"/>
      <c r="AD15" s="515"/>
      <c r="AE15" s="515"/>
      <c r="AF15" s="515"/>
      <c r="AG15" s="515"/>
      <c r="AH15" s="515"/>
      <c r="AI15" s="515"/>
      <c r="AJ15" s="515"/>
      <c r="AK15" s="515"/>
      <c r="AL15" s="515"/>
      <c r="AM15" s="515"/>
      <c r="AN15" s="515"/>
      <c r="AO15" s="515"/>
      <c r="AP15" s="515"/>
      <c r="AQ15" s="515"/>
      <c r="AR15" s="515"/>
      <c r="AS15" s="515"/>
      <c r="AT15" s="515"/>
      <c r="AU15" s="515"/>
      <c r="AV15" s="515"/>
      <c r="AW15" s="515"/>
      <c r="AX15" s="515"/>
      <c r="AY15" s="515"/>
      <c r="AZ15" s="515"/>
      <c r="BA15" s="4"/>
    </row>
    <row r="16" spans="2:53" ht="15" customHeight="1" x14ac:dyDescent="0.2">
      <c r="B16" s="272">
        <v>10</v>
      </c>
      <c r="C16" s="273" t="str">
        <f>'Program Descriptions'!C14</f>
        <v>Discont'd Ele Veh (EVE)</v>
      </c>
      <c r="D16" s="273"/>
      <c r="E16" s="515" t="s">
        <v>180</v>
      </c>
      <c r="F16" s="515" t="s">
        <v>181</v>
      </c>
      <c r="G16" s="515"/>
      <c r="H16" s="515"/>
      <c r="I16" s="515"/>
      <c r="J16" s="515"/>
      <c r="K16" s="515"/>
      <c r="L16" s="515"/>
      <c r="M16" s="515"/>
      <c r="N16" s="515"/>
      <c r="O16" s="515"/>
      <c r="P16" s="515"/>
      <c r="Q16" s="515"/>
      <c r="R16" s="515"/>
      <c r="S16" s="515"/>
      <c r="T16" s="515"/>
      <c r="U16" s="515"/>
      <c r="V16" s="515"/>
      <c r="W16" s="515"/>
      <c r="X16" s="515"/>
      <c r="Y16" s="515"/>
      <c r="Z16" s="515"/>
      <c r="AA16" s="515"/>
      <c r="AB16" s="515"/>
      <c r="AC16" s="515"/>
      <c r="AD16" s="515"/>
      <c r="AE16" s="515"/>
      <c r="AF16" s="515"/>
      <c r="AG16" s="515"/>
      <c r="AH16" s="515"/>
      <c r="AI16" s="515"/>
      <c r="AJ16" s="515"/>
      <c r="AK16" s="515"/>
      <c r="AL16" s="515"/>
      <c r="AM16" s="515"/>
      <c r="AN16" s="515"/>
      <c r="AO16" s="515"/>
      <c r="AP16" s="515"/>
      <c r="AQ16" s="515"/>
      <c r="AR16" s="515"/>
      <c r="AS16" s="515" t="s">
        <v>181</v>
      </c>
      <c r="AT16" s="515" t="s">
        <v>181</v>
      </c>
      <c r="AU16" s="515"/>
      <c r="AV16" s="515"/>
      <c r="AW16" s="515"/>
      <c r="AX16" s="515"/>
      <c r="AY16" s="515"/>
      <c r="AZ16" s="515"/>
      <c r="BA16" s="4"/>
    </row>
    <row r="17" spans="2:53" ht="15" customHeight="1" x14ac:dyDescent="0.2">
      <c r="B17" s="272">
        <v>11</v>
      </c>
      <c r="C17" s="273" t="str">
        <f>'Program Descriptions'!C15</f>
        <v>Discont'd Comm Solutions</v>
      </c>
      <c r="D17" s="273"/>
      <c r="E17" s="515" t="s">
        <v>180</v>
      </c>
      <c r="F17" s="515"/>
      <c r="G17" s="515"/>
      <c r="H17" s="515"/>
      <c r="I17" s="515"/>
      <c r="J17" s="515"/>
      <c r="K17" s="515"/>
      <c r="L17" s="515"/>
      <c r="M17" s="515"/>
      <c r="N17" s="515"/>
      <c r="O17" s="515"/>
      <c r="P17" s="515"/>
      <c r="Q17" s="515"/>
      <c r="R17" s="515"/>
      <c r="S17" s="515"/>
      <c r="T17" s="515"/>
      <c r="U17" s="515"/>
      <c r="V17" s="515"/>
      <c r="W17" s="515"/>
      <c r="X17" s="515"/>
      <c r="Y17" s="515"/>
      <c r="Z17" s="515"/>
      <c r="AA17" s="515"/>
      <c r="AB17" s="515"/>
      <c r="AC17" s="515"/>
      <c r="AD17" s="515"/>
      <c r="AE17" s="515"/>
      <c r="AF17" s="515"/>
      <c r="AG17" s="515"/>
      <c r="AH17" s="515"/>
      <c r="AI17" s="515"/>
      <c r="AJ17" s="515"/>
      <c r="AK17" s="515"/>
      <c r="AL17" s="515"/>
      <c r="AM17" s="515"/>
      <c r="AN17" s="515"/>
      <c r="AO17" s="515"/>
      <c r="AP17" s="515"/>
      <c r="AQ17" s="515"/>
      <c r="AR17" s="515"/>
      <c r="AS17" s="515"/>
      <c r="AT17" s="515"/>
      <c r="AU17" s="515"/>
      <c r="AV17" s="515"/>
      <c r="AW17" s="515"/>
      <c r="AX17" s="515"/>
      <c r="AY17" s="515"/>
      <c r="AZ17" s="515"/>
      <c r="BA17" s="4"/>
    </row>
    <row r="18" spans="2:53" ht="15" customHeight="1" x14ac:dyDescent="0.2">
      <c r="B18" s="272">
        <v>12</v>
      </c>
      <c r="C18" s="273" t="str">
        <f>'Program Descriptions'!C16</f>
        <v>Discont'd Res Appliance</v>
      </c>
      <c r="D18" s="273"/>
      <c r="E18" s="515" t="s">
        <v>180</v>
      </c>
      <c r="F18" s="515"/>
      <c r="G18" s="515"/>
      <c r="H18" s="515"/>
      <c r="I18" s="515"/>
      <c r="J18" s="515"/>
      <c r="K18" s="515"/>
      <c r="L18" s="515"/>
      <c r="M18" s="515"/>
      <c r="N18" s="515"/>
      <c r="O18" s="515"/>
      <c r="P18" s="515"/>
      <c r="Q18" s="515"/>
      <c r="R18" s="515"/>
      <c r="S18" s="515"/>
      <c r="T18" s="515"/>
      <c r="U18" s="515"/>
      <c r="V18" s="515"/>
      <c r="W18" s="515"/>
      <c r="X18" s="515"/>
      <c r="Y18" s="515"/>
      <c r="Z18" s="515"/>
      <c r="AA18" s="515"/>
      <c r="AB18" s="515"/>
      <c r="AC18" s="515"/>
      <c r="AD18" s="515"/>
      <c r="AE18" s="515"/>
      <c r="AF18" s="515"/>
      <c r="AG18" s="515"/>
      <c r="AH18" s="515"/>
      <c r="AI18" s="515"/>
      <c r="AJ18" s="515"/>
      <c r="AK18" s="515"/>
      <c r="AL18" s="515"/>
      <c r="AM18" s="515"/>
      <c r="AN18" s="515"/>
      <c r="AO18" s="515"/>
      <c r="AP18" s="515"/>
      <c r="AQ18" s="515"/>
      <c r="AR18" s="515"/>
      <c r="AS18" s="515"/>
      <c r="AT18" s="515"/>
      <c r="AU18" s="515"/>
      <c r="AV18" s="515"/>
      <c r="AW18" s="515"/>
      <c r="AX18" s="515"/>
      <c r="AY18" s="515"/>
      <c r="AZ18" s="515"/>
      <c r="BA18" s="4"/>
    </row>
    <row r="19" spans="2:53" ht="15" customHeight="1" x14ac:dyDescent="0.2">
      <c r="B19" s="272">
        <v>13</v>
      </c>
      <c r="C19" s="273" t="str">
        <f>'Program Descriptions'!C17</f>
        <v>Discont'd Res Solutions</v>
      </c>
      <c r="D19" s="273"/>
      <c r="E19" s="515" t="s">
        <v>180</v>
      </c>
      <c r="F19" s="515"/>
      <c r="G19" s="515"/>
      <c r="H19" s="515"/>
      <c r="I19" s="515"/>
      <c r="J19" s="515"/>
      <c r="K19" s="515"/>
      <c r="L19" s="515"/>
      <c r="M19" s="515"/>
      <c r="N19" s="515"/>
      <c r="O19" s="515"/>
      <c r="P19" s="515"/>
      <c r="Q19" s="515"/>
      <c r="R19" s="515"/>
      <c r="S19" s="515"/>
      <c r="T19" s="515"/>
      <c r="U19" s="515"/>
      <c r="V19" s="515"/>
      <c r="W19" s="515"/>
      <c r="X19" s="515"/>
      <c r="Y19" s="515"/>
      <c r="Z19" s="515"/>
      <c r="AA19" s="515"/>
      <c r="AB19" s="515"/>
      <c r="AC19" s="515"/>
      <c r="AD19" s="515"/>
      <c r="AE19" s="515"/>
      <c r="AF19" s="515"/>
      <c r="AG19" s="515"/>
      <c r="AH19" s="515"/>
      <c r="AI19" s="515"/>
      <c r="AJ19" s="515"/>
      <c r="AK19" s="515"/>
      <c r="AL19" s="515"/>
      <c r="AM19" s="515"/>
      <c r="AN19" s="515"/>
      <c r="AO19" s="515"/>
      <c r="AP19" s="515"/>
      <c r="AQ19" s="515"/>
      <c r="AR19" s="515"/>
      <c r="AS19" s="515"/>
      <c r="AT19" s="515"/>
      <c r="AU19" s="515"/>
      <c r="AV19" s="515"/>
      <c r="AW19" s="515"/>
      <c r="AX19" s="515"/>
      <c r="AY19" s="515"/>
      <c r="AZ19" s="515"/>
      <c r="BA19" s="4"/>
    </row>
    <row r="20" spans="2:53" ht="15" customHeight="1" x14ac:dyDescent="0.2">
      <c r="B20" s="272">
        <v>14</v>
      </c>
      <c r="C20" s="273" t="str">
        <f>'Program Descriptions'!C18</f>
        <v>Discont'd R ES Appliance</v>
      </c>
      <c r="D20" s="273"/>
      <c r="E20" s="515"/>
      <c r="F20" s="515"/>
      <c r="G20" s="515"/>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c r="AH20" s="515"/>
      <c r="AI20" s="515"/>
      <c r="AJ20" s="515"/>
      <c r="AK20" s="515"/>
      <c r="AL20" s="515"/>
      <c r="AM20" s="515"/>
      <c r="AN20" s="515"/>
      <c r="AO20" s="515"/>
      <c r="AP20" s="515"/>
      <c r="AQ20" s="515"/>
      <c r="AR20" s="515"/>
      <c r="AS20" s="515"/>
      <c r="AT20" s="515"/>
      <c r="AU20" s="515"/>
      <c r="AV20" s="515"/>
      <c r="AW20" s="515"/>
      <c r="AX20" s="515"/>
      <c r="AY20" s="515"/>
      <c r="AZ20" s="515"/>
      <c r="BA20" s="4"/>
    </row>
    <row r="21" spans="2:53" ht="15" customHeight="1" x14ac:dyDescent="0.2">
      <c r="B21" s="272">
        <v>15</v>
      </c>
      <c r="C21" s="273" t="str">
        <f>'Program Descriptions'!C19</f>
        <v>Discont'd ARWX (AWIP)</v>
      </c>
      <c r="D21" s="273"/>
      <c r="E21" s="515"/>
      <c r="F21" s="515"/>
      <c r="G21" s="515"/>
      <c r="H21" s="515"/>
      <c r="I21" s="515"/>
      <c r="J21" s="515"/>
      <c r="K21" s="515"/>
      <c r="L21" s="515"/>
      <c r="M21" s="515"/>
      <c r="N21" s="515"/>
      <c r="O21" s="515"/>
      <c r="P21" s="515"/>
      <c r="Q21" s="515"/>
      <c r="R21" s="515"/>
      <c r="S21" s="515"/>
      <c r="T21" s="515"/>
      <c r="U21" s="515"/>
      <c r="V21" s="515"/>
      <c r="W21" s="515"/>
      <c r="X21" s="515"/>
      <c r="Y21" s="515"/>
      <c r="Z21" s="515"/>
      <c r="AA21" s="515"/>
      <c r="AB21" s="515"/>
      <c r="AC21" s="515"/>
      <c r="AD21" s="515"/>
      <c r="AE21" s="515"/>
      <c r="AF21" s="515"/>
      <c r="AG21" s="515"/>
      <c r="AH21" s="515"/>
      <c r="AI21" s="515"/>
      <c r="AJ21" s="515"/>
      <c r="AK21" s="515"/>
      <c r="AL21" s="515"/>
      <c r="AM21" s="515"/>
      <c r="AN21" s="515"/>
      <c r="AO21" s="515"/>
      <c r="AP21" s="515"/>
      <c r="AQ21" s="515"/>
      <c r="AR21" s="515"/>
      <c r="AS21" s="515"/>
      <c r="AT21" s="515"/>
      <c r="AU21" s="515"/>
      <c r="AV21" s="515"/>
      <c r="AW21" s="515"/>
      <c r="AX21" s="515"/>
      <c r="AY21" s="515"/>
      <c r="AZ21" s="515"/>
      <c r="BA21" s="4"/>
    </row>
    <row r="22" spans="2:53" ht="15" customHeight="1" x14ac:dyDescent="0.2">
      <c r="B22" s="272">
        <v>16</v>
      </c>
      <c r="C22" s="273" t="str">
        <f>'Program Descriptions'!C20</f>
        <v>New Construction (NCP)</v>
      </c>
      <c r="D22" s="273"/>
      <c r="E22" s="515"/>
      <c r="F22" s="515"/>
      <c r="G22" s="515" t="s">
        <v>181</v>
      </c>
      <c r="H22" s="515"/>
      <c r="I22" s="515" t="s">
        <v>181</v>
      </c>
      <c r="J22" s="515" t="s">
        <v>181</v>
      </c>
      <c r="K22" s="515"/>
      <c r="L22" s="515"/>
      <c r="M22" s="515"/>
      <c r="N22" s="515"/>
      <c r="O22" s="515" t="s">
        <v>181</v>
      </c>
      <c r="P22" s="515" t="s">
        <v>181</v>
      </c>
      <c r="Q22" s="515"/>
      <c r="R22" s="515"/>
      <c r="S22" s="515"/>
      <c r="T22" s="515" t="s">
        <v>181</v>
      </c>
      <c r="U22" s="515"/>
      <c r="V22" s="515"/>
      <c r="W22" s="515"/>
      <c r="X22" s="515"/>
      <c r="Y22" s="515"/>
      <c r="Z22" s="515"/>
      <c r="AA22" s="515"/>
      <c r="AB22" s="515"/>
      <c r="AC22" s="515"/>
      <c r="AD22" s="515"/>
      <c r="AE22" s="515"/>
      <c r="AF22" s="515"/>
      <c r="AG22" s="515"/>
      <c r="AH22" s="515"/>
      <c r="AI22" s="515"/>
      <c r="AJ22" s="515"/>
      <c r="AK22" s="515" t="s">
        <v>181</v>
      </c>
      <c r="AL22" s="515"/>
      <c r="AM22" s="515"/>
      <c r="AN22" s="515" t="s">
        <v>181</v>
      </c>
      <c r="AO22" s="515"/>
      <c r="AP22" s="515" t="s">
        <v>181</v>
      </c>
      <c r="AQ22" s="515"/>
      <c r="AR22" s="515"/>
      <c r="AS22" s="515"/>
      <c r="AT22" s="515"/>
      <c r="AU22" s="515"/>
      <c r="AV22" s="515"/>
      <c r="AW22" s="515"/>
      <c r="AX22" s="515"/>
      <c r="AY22" s="515"/>
      <c r="AZ22" s="515"/>
      <c r="BA22" s="4"/>
    </row>
    <row r="23" spans="2:53" ht="15" customHeight="1" x14ac:dyDescent="0.2">
      <c r="B23" s="272">
        <v>17</v>
      </c>
      <c r="C23" s="273" t="str">
        <f>'Program Descriptions'!C21</f>
        <v>Strat Energy Mgmt (SEMP)</v>
      </c>
      <c r="D23" s="273"/>
      <c r="E23" s="515"/>
      <c r="F23" s="515"/>
      <c r="G23" s="515"/>
      <c r="H23" s="515"/>
      <c r="I23" s="515"/>
      <c r="J23" s="515"/>
      <c r="K23" s="515"/>
      <c r="L23" s="515"/>
      <c r="M23" s="515"/>
      <c r="N23" s="515"/>
      <c r="O23" s="515"/>
      <c r="P23" s="515"/>
      <c r="Q23" s="515"/>
      <c r="R23" s="515"/>
      <c r="S23" s="515"/>
      <c r="T23" s="515"/>
      <c r="U23" s="515"/>
      <c r="V23" s="515"/>
      <c r="W23" s="515"/>
      <c r="X23" s="515" t="s">
        <v>181</v>
      </c>
      <c r="Y23" s="515" t="s">
        <v>181</v>
      </c>
      <c r="Z23" s="515"/>
      <c r="AA23" s="515"/>
      <c r="AB23" s="515"/>
      <c r="AC23" s="515"/>
      <c r="AD23" s="515"/>
      <c r="AE23" s="515"/>
      <c r="AF23" s="515"/>
      <c r="AG23" s="515"/>
      <c r="AH23" s="515"/>
      <c r="AI23" s="515"/>
      <c r="AJ23" s="515"/>
      <c r="AK23" s="515"/>
      <c r="AL23" s="515"/>
      <c r="AM23" s="515"/>
      <c r="AN23" s="515"/>
      <c r="AO23" s="515"/>
      <c r="AP23" s="515"/>
      <c r="AQ23" s="515"/>
      <c r="AR23" s="515"/>
      <c r="AS23" s="515" t="s">
        <v>181</v>
      </c>
      <c r="AT23" s="515" t="s">
        <v>181</v>
      </c>
      <c r="AU23" s="515"/>
      <c r="AV23" s="515"/>
      <c r="AW23" s="515" t="s">
        <v>181</v>
      </c>
      <c r="AX23" s="515"/>
      <c r="AY23" s="515"/>
      <c r="AZ23" s="515"/>
      <c r="BA23" s="4"/>
    </row>
    <row r="24" spans="2:53" ht="15" customHeight="1" x14ac:dyDescent="0.2">
      <c r="B24" s="272">
        <v>18</v>
      </c>
      <c r="C24" s="273" t="str">
        <f>'Program Descriptions'!C22</f>
        <v>Bring Y/Otstat (BYOT)</v>
      </c>
      <c r="D24" s="273"/>
      <c r="E24" s="515"/>
      <c r="F24" s="515" t="s">
        <v>181</v>
      </c>
      <c r="G24" s="515"/>
      <c r="H24" s="515"/>
      <c r="I24" s="515"/>
      <c r="J24" s="515" t="s">
        <v>181</v>
      </c>
      <c r="K24" s="515"/>
      <c r="L24" s="515"/>
      <c r="M24" s="515"/>
      <c r="N24" s="515"/>
      <c r="O24" s="515"/>
      <c r="P24" s="515"/>
      <c r="Q24" s="515"/>
      <c r="R24" s="515"/>
      <c r="S24" s="515"/>
      <c r="T24" s="515"/>
      <c r="U24" s="515"/>
      <c r="V24" s="515"/>
      <c r="W24" s="515"/>
      <c r="X24" s="515"/>
      <c r="Y24" s="515"/>
      <c r="Z24" s="515"/>
      <c r="AA24" s="515"/>
      <c r="AB24" s="515"/>
      <c r="AC24" s="515"/>
      <c r="AD24" s="515"/>
      <c r="AE24" s="515" t="s">
        <v>181</v>
      </c>
      <c r="AF24" s="515"/>
      <c r="AG24" s="515"/>
      <c r="AH24" s="515"/>
      <c r="AI24" s="515"/>
      <c r="AJ24" s="515"/>
      <c r="AK24" s="515"/>
      <c r="AL24" s="515"/>
      <c r="AM24" s="515"/>
      <c r="AN24" s="515"/>
      <c r="AO24" s="515"/>
      <c r="AP24" s="515"/>
      <c r="AQ24" s="515"/>
      <c r="AR24" s="515"/>
      <c r="AS24" s="515" t="s">
        <v>181</v>
      </c>
      <c r="AT24" s="515" t="s">
        <v>181</v>
      </c>
      <c r="AU24" s="515"/>
      <c r="AV24" s="515"/>
      <c r="AW24" s="515"/>
      <c r="AX24" s="515"/>
      <c r="AY24" s="515"/>
      <c r="AZ24" s="515"/>
      <c r="BA24" s="4"/>
    </row>
    <row r="25" spans="2:53" ht="15" customHeight="1" x14ac:dyDescent="0.2">
      <c r="B25" s="272">
        <v>19</v>
      </c>
      <c r="C25" s="273" t="str">
        <f>'Program Descriptions'!C23</f>
        <v>Empty</v>
      </c>
      <c r="D25" s="273"/>
      <c r="E25" s="515"/>
      <c r="F25" s="515"/>
      <c r="G25" s="515"/>
      <c r="H25" s="515"/>
      <c r="I25" s="515"/>
      <c r="J25" s="515"/>
      <c r="K25" s="515"/>
      <c r="L25" s="515"/>
      <c r="M25" s="515"/>
      <c r="N25" s="515"/>
      <c r="O25" s="515"/>
      <c r="P25" s="515"/>
      <c r="Q25" s="515"/>
      <c r="R25" s="515"/>
      <c r="S25" s="515"/>
      <c r="T25" s="515"/>
      <c r="U25" s="515"/>
      <c r="V25" s="515"/>
      <c r="W25" s="515"/>
      <c r="X25" s="515"/>
      <c r="Y25" s="515"/>
      <c r="Z25" s="515"/>
      <c r="AA25" s="515"/>
      <c r="AB25" s="515"/>
      <c r="AC25" s="515"/>
      <c r="AD25" s="515"/>
      <c r="AE25" s="515"/>
      <c r="AF25" s="515"/>
      <c r="AG25" s="515"/>
      <c r="AH25" s="515"/>
      <c r="AI25" s="515"/>
      <c r="AJ25" s="515"/>
      <c r="AK25" s="515"/>
      <c r="AL25" s="515"/>
      <c r="AM25" s="515"/>
      <c r="AN25" s="515"/>
      <c r="AO25" s="515"/>
      <c r="AP25" s="515"/>
      <c r="AQ25" s="515"/>
      <c r="AR25" s="515"/>
      <c r="AS25" s="515"/>
      <c r="AT25" s="515"/>
      <c r="AU25" s="515"/>
      <c r="AV25" s="515"/>
      <c r="AW25" s="515"/>
      <c r="AX25" s="515"/>
      <c r="AY25" s="515"/>
      <c r="AZ25" s="515"/>
      <c r="BA25" s="4"/>
    </row>
    <row r="26" spans="2:53" ht="15" customHeight="1" x14ac:dyDescent="0.2">
      <c r="B26" s="272">
        <v>20</v>
      </c>
      <c r="C26" s="273" t="str">
        <f>'Program Descriptions'!C24</f>
        <v>Empty</v>
      </c>
      <c r="D26" s="273"/>
      <c r="E26" s="515"/>
      <c r="F26" s="515"/>
      <c r="G26" s="515"/>
      <c r="H26" s="515"/>
      <c r="I26" s="515"/>
      <c r="J26" s="515"/>
      <c r="K26" s="515"/>
      <c r="L26" s="515"/>
      <c r="M26" s="515"/>
      <c r="N26" s="515"/>
      <c r="O26" s="515"/>
      <c r="P26" s="515"/>
      <c r="Q26" s="515"/>
      <c r="R26" s="515"/>
      <c r="S26" s="515"/>
      <c r="T26" s="515"/>
      <c r="U26" s="515"/>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AT26" s="515"/>
      <c r="AU26" s="515"/>
      <c r="AV26" s="515"/>
      <c r="AW26" s="515"/>
      <c r="AX26" s="515"/>
      <c r="AY26" s="515"/>
      <c r="AZ26" s="515"/>
      <c r="BA26" s="4"/>
    </row>
    <row r="27" spans="2:53" x14ac:dyDescent="0.2">
      <c r="B27" s="5"/>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7"/>
    </row>
  </sheetData>
  <sheetProtection formatRows="0"/>
  <mergeCells count="4">
    <mergeCell ref="E5:X5"/>
    <mergeCell ref="Y5:AQ5"/>
    <mergeCell ref="AR5:AZ5"/>
    <mergeCell ref="B2:BA2"/>
  </mergeCells>
  <conditionalFormatting sqref="E7:AZ26">
    <cfRule type="expression" dxfId="91" priority="1">
      <formula>$B7&gt;Programs</formula>
    </cfRule>
  </conditionalFormatting>
  <pageMargins left="0.25" right="0.25" top="0.5" bottom="0.5" header="0.3" footer="0.3"/>
  <pageSetup orientation="landscape" r:id="rId1"/>
  <colBreaks count="2" manualBreakCount="2">
    <brk id="24" max="1048575" man="1"/>
    <brk id="43"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N115"/>
  <sheetViews>
    <sheetView showGridLines="0" showRowColHeaders="0" zoomScale="110" zoomScaleNormal="110" workbookViewId="0">
      <pane ySplit="4" topLeftCell="A5" activePane="bottomLeft" state="frozen"/>
      <selection pane="bottomLeft" activeCell="F7" sqref="F7"/>
    </sheetView>
  </sheetViews>
  <sheetFormatPr defaultColWidth="9.140625" defaultRowHeight="12.75" x14ac:dyDescent="0.2"/>
  <cols>
    <col min="1" max="1" width="1" style="2" customWidth="1"/>
    <col min="2" max="2" width="3.85546875" style="2" customWidth="1"/>
    <col min="3" max="3" width="35.85546875" style="2" customWidth="1"/>
    <col min="4" max="9" width="13.140625" style="2" customWidth="1"/>
    <col min="10" max="10" width="5.85546875" style="2" customWidth="1"/>
    <col min="11" max="11" width="8"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85.5" customHeight="1" x14ac:dyDescent="0.2">
      <c r="B2" s="508"/>
      <c r="C2" s="509"/>
      <c r="D2" s="509"/>
      <c r="E2" s="509"/>
      <c r="F2" s="509"/>
      <c r="G2" s="509"/>
      <c r="H2" s="509"/>
      <c r="I2" s="509"/>
      <c r="J2" s="509"/>
      <c r="K2" s="510"/>
    </row>
    <row r="3" spans="2:14" ht="12" customHeight="1" x14ac:dyDescent="0.2">
      <c r="B3" s="511"/>
      <c r="C3" s="350" t="str">
        <f>IF(N27&gt;0,"Incomplete - All yellow shaded cells must be completed.","")</f>
        <v/>
      </c>
      <c r="D3" s="347"/>
      <c r="E3" s="347"/>
      <c r="F3" s="347"/>
      <c r="G3" s="347"/>
      <c r="H3" s="347"/>
      <c r="I3" s="347"/>
      <c r="J3" s="347"/>
      <c r="K3" s="512"/>
    </row>
    <row r="4" spans="2:14" ht="42.75" customHeight="1" x14ac:dyDescent="0.25">
      <c r="B4" s="3"/>
      <c r="C4" s="9" t="s">
        <v>93</v>
      </c>
      <c r="D4" s="274" t="str">
        <f>Cost!B4</f>
        <v>Planning / Design</v>
      </c>
      <c r="E4" s="274" t="str">
        <f>Cost!C4</f>
        <v>Marketing &amp; Delivery</v>
      </c>
      <c r="F4" s="274" t="str">
        <f>Cost!B14</f>
        <v>Incentives / Direct Install Costs</v>
      </c>
      <c r="G4" s="274" t="str">
        <f>Cost!C19</f>
        <v>EM&amp;V</v>
      </c>
      <c r="H4" s="274" t="str">
        <f>Cost!B25</f>
        <v>Administration</v>
      </c>
      <c r="I4" s="275" t="s">
        <v>182</v>
      </c>
      <c r="K4" s="4"/>
    </row>
    <row r="5" spans="2:14" ht="15" customHeight="1" x14ac:dyDescent="0.2">
      <c r="B5" s="272">
        <v>1</v>
      </c>
      <c r="C5" s="273" t="str">
        <f>'Program Descriptions'!C5</f>
        <v>Load Mgt (LMP)</v>
      </c>
      <c r="D5" s="516">
        <v>14403</v>
      </c>
      <c r="E5" s="516">
        <v>424893</v>
      </c>
      <c r="F5" s="516">
        <v>485000</v>
      </c>
      <c r="G5" s="516">
        <v>18500</v>
      </c>
      <c r="H5" s="516">
        <v>64814</v>
      </c>
      <c r="I5" s="11">
        <f>SUM(D5:H5)</f>
        <v>1007610</v>
      </c>
      <c r="K5" s="4"/>
      <c r="N5" s="333">
        <f>IF(C5="Empty",0,IF(OR(ISBLANK(D5),ISBLANK(E5),ISBLANK(F5),ISBLANK(G5),ISBLANK(H5)),1,0))</f>
        <v>0</v>
      </c>
    </row>
    <row r="6" spans="2:14" ht="15" customHeight="1" x14ac:dyDescent="0.2">
      <c r="B6" s="272">
        <v>2</v>
      </c>
      <c r="C6" s="273" t="str">
        <f>'Program Descriptions'!C6</f>
        <v>Comm &amp; Industrial (CIEEP)</v>
      </c>
      <c r="D6" s="516">
        <v>35255</v>
      </c>
      <c r="E6" s="516">
        <v>940433</v>
      </c>
      <c r="F6" s="516">
        <v>1427612</v>
      </c>
      <c r="G6" s="516">
        <v>89098</v>
      </c>
      <c r="H6" s="516">
        <v>591682</v>
      </c>
      <c r="I6" s="11">
        <f t="shared" ref="I6:I24" si="0">SUM(D6:H6)</f>
        <v>3084080</v>
      </c>
      <c r="K6" s="4"/>
      <c r="N6" s="333">
        <f t="shared" ref="N6:N24" si="1">IF(C6="Empty",0,IF(OR(ISBLANK(D6),ISBLANK(E6),ISBLANK(F6),ISBLANK(G6),ISBLANK(H6)),1,0))</f>
        <v>0</v>
      </c>
    </row>
    <row r="7" spans="2:14" ht="15" customHeight="1" x14ac:dyDescent="0.2">
      <c r="B7" s="272">
        <v>3</v>
      </c>
      <c r="C7" s="273" t="str">
        <f>'Program Descriptions'!C7</f>
        <v>Small Business (SBP)</v>
      </c>
      <c r="D7" s="516">
        <v>16125</v>
      </c>
      <c r="E7" s="516">
        <v>596229</v>
      </c>
      <c r="F7" s="516">
        <v>867462</v>
      </c>
      <c r="G7" s="516">
        <v>45192</v>
      </c>
      <c r="H7" s="516">
        <v>71342</v>
      </c>
      <c r="I7" s="11">
        <f t="shared" si="0"/>
        <v>1596350</v>
      </c>
      <c r="K7" s="4"/>
      <c r="N7" s="333">
        <f t="shared" si="1"/>
        <v>0</v>
      </c>
    </row>
    <row r="8" spans="2:14" ht="15" customHeight="1" x14ac:dyDescent="0.2">
      <c r="B8" s="272">
        <v>4</v>
      </c>
      <c r="C8" s="273" t="str">
        <f>'Program Descriptions'!C8</f>
        <v>Efficient Products (EPP)</v>
      </c>
      <c r="D8" s="516">
        <v>15793</v>
      </c>
      <c r="E8" s="516">
        <v>288998</v>
      </c>
      <c r="F8" s="516">
        <v>334889</v>
      </c>
      <c r="G8" s="516">
        <v>24943</v>
      </c>
      <c r="H8" s="516">
        <v>56200</v>
      </c>
      <c r="I8" s="11">
        <f t="shared" si="0"/>
        <v>720823</v>
      </c>
      <c r="K8" s="4"/>
      <c r="N8" s="333">
        <f t="shared" si="1"/>
        <v>0</v>
      </c>
    </row>
    <row r="9" spans="2:14" ht="15" customHeight="1" x14ac:dyDescent="0.2">
      <c r="B9" s="272">
        <v>5</v>
      </c>
      <c r="C9" s="273" t="str">
        <f>'Program Descriptions'!C9</f>
        <v>Res Energy Imprv (REIP)</v>
      </c>
      <c r="D9" s="516">
        <v>33517</v>
      </c>
      <c r="E9" s="516">
        <v>869857</v>
      </c>
      <c r="F9" s="516">
        <v>1807586</v>
      </c>
      <c r="G9" s="516">
        <v>34984</v>
      </c>
      <c r="H9" s="516">
        <v>118110</v>
      </c>
      <c r="I9" s="11">
        <f t="shared" si="0"/>
        <v>2864054</v>
      </c>
      <c r="K9" s="4"/>
      <c r="N9" s="333">
        <f t="shared" si="1"/>
        <v>0</v>
      </c>
    </row>
    <row r="10" spans="2:14" ht="15" customHeight="1" x14ac:dyDescent="0.2">
      <c r="B10" s="272">
        <v>6</v>
      </c>
      <c r="C10" s="273" t="str">
        <f>'Program Descriptions'!C10</f>
        <v>Home Weatherization (HWP)</v>
      </c>
      <c r="D10" s="516">
        <v>34342</v>
      </c>
      <c r="E10" s="516">
        <v>634192</v>
      </c>
      <c r="F10" s="516">
        <v>1467278</v>
      </c>
      <c r="G10" s="516">
        <v>97330</v>
      </c>
      <c r="H10" s="516">
        <v>128212</v>
      </c>
      <c r="I10" s="11">
        <f t="shared" si="0"/>
        <v>2361354</v>
      </c>
      <c r="K10" s="4"/>
      <c r="N10" s="333">
        <f t="shared" si="1"/>
        <v>0</v>
      </c>
    </row>
    <row r="11" spans="2:14" ht="15" customHeight="1" x14ac:dyDescent="0.2">
      <c r="B11" s="272">
        <v>7</v>
      </c>
      <c r="C11" s="273" t="str">
        <f>'Program Descriptions'!C11</f>
        <v>Discont'd EE AR (EEA)</v>
      </c>
      <c r="D11" s="516">
        <v>0</v>
      </c>
      <c r="E11" s="516">
        <v>0</v>
      </c>
      <c r="F11" s="516">
        <v>0</v>
      </c>
      <c r="G11" s="516">
        <v>0</v>
      </c>
      <c r="H11" s="516">
        <v>0</v>
      </c>
      <c r="I11" s="11">
        <f t="shared" si="0"/>
        <v>0</v>
      </c>
      <c r="K11" s="4"/>
      <c r="N11" s="333">
        <f t="shared" si="1"/>
        <v>0</v>
      </c>
    </row>
    <row r="12" spans="2:14" ht="15" customHeight="1" x14ac:dyDescent="0.2">
      <c r="B12" s="272">
        <v>8</v>
      </c>
      <c r="C12" s="273" t="str">
        <f>'Program Descriptions'!C12</f>
        <v>Discont'd Onlne Audt(OLA)</v>
      </c>
      <c r="D12" s="516">
        <v>0</v>
      </c>
      <c r="E12" s="516">
        <v>0</v>
      </c>
      <c r="F12" s="516">
        <v>0</v>
      </c>
      <c r="G12" s="516">
        <v>0</v>
      </c>
      <c r="H12" s="516">
        <v>0</v>
      </c>
      <c r="I12" s="11">
        <f t="shared" si="0"/>
        <v>0</v>
      </c>
      <c r="K12" s="4"/>
      <c r="N12" s="333">
        <f t="shared" si="1"/>
        <v>0</v>
      </c>
    </row>
    <row r="13" spans="2:14" ht="15" customHeight="1" x14ac:dyDescent="0.2">
      <c r="B13" s="272">
        <v>9</v>
      </c>
      <c r="C13" s="273" t="str">
        <f>'Program Descriptions'!C13</f>
        <v>Income Qualified (IQW)</v>
      </c>
      <c r="D13" s="516">
        <v>11690</v>
      </c>
      <c r="E13" s="516">
        <v>215845</v>
      </c>
      <c r="F13" s="516">
        <v>801440</v>
      </c>
      <c r="G13" s="516">
        <v>25500</v>
      </c>
      <c r="H13" s="516">
        <v>43637</v>
      </c>
      <c r="I13" s="11">
        <f t="shared" si="0"/>
        <v>1098112</v>
      </c>
      <c r="K13" s="4"/>
      <c r="N13" s="333">
        <f t="shared" si="1"/>
        <v>0</v>
      </c>
    </row>
    <row r="14" spans="2:14" ht="15" customHeight="1" x14ac:dyDescent="0.2">
      <c r="B14" s="272">
        <v>10</v>
      </c>
      <c r="C14" s="273" t="str">
        <f>'Program Descriptions'!C14</f>
        <v>Discont'd Ele Veh (EVE)</v>
      </c>
      <c r="D14" s="516">
        <v>0</v>
      </c>
      <c r="E14" s="516">
        <v>0</v>
      </c>
      <c r="F14" s="516">
        <v>0</v>
      </c>
      <c r="G14" s="516">
        <v>0</v>
      </c>
      <c r="H14" s="516">
        <v>0</v>
      </c>
      <c r="I14" s="11">
        <f t="shared" si="0"/>
        <v>0</v>
      </c>
      <c r="K14" s="4"/>
      <c r="N14" s="333">
        <f t="shared" si="1"/>
        <v>0</v>
      </c>
    </row>
    <row r="15" spans="2:14" ht="15" customHeight="1" x14ac:dyDescent="0.2">
      <c r="B15" s="272">
        <v>11</v>
      </c>
      <c r="C15" s="273" t="str">
        <f>'Program Descriptions'!C15</f>
        <v>Discont'd Comm Solutions</v>
      </c>
      <c r="D15" s="516">
        <v>0</v>
      </c>
      <c r="E15" s="516">
        <v>0</v>
      </c>
      <c r="F15" s="516">
        <v>0</v>
      </c>
      <c r="G15" s="516">
        <v>0</v>
      </c>
      <c r="H15" s="516">
        <v>0</v>
      </c>
      <c r="I15" s="11">
        <f t="shared" si="0"/>
        <v>0</v>
      </c>
      <c r="K15" s="4"/>
      <c r="N15" s="333">
        <f t="shared" si="1"/>
        <v>0</v>
      </c>
    </row>
    <row r="16" spans="2:14" ht="15" customHeight="1" x14ac:dyDescent="0.2">
      <c r="B16" s="272">
        <v>12</v>
      </c>
      <c r="C16" s="273" t="str">
        <f>'Program Descriptions'!C16</f>
        <v>Discont'd Res Appliance</v>
      </c>
      <c r="D16" s="516">
        <v>0</v>
      </c>
      <c r="E16" s="516">
        <v>0</v>
      </c>
      <c r="F16" s="516">
        <v>0</v>
      </c>
      <c r="G16" s="516">
        <v>0</v>
      </c>
      <c r="H16" s="516">
        <v>0</v>
      </c>
      <c r="I16" s="11">
        <f t="shared" si="0"/>
        <v>0</v>
      </c>
      <c r="K16" s="4"/>
      <c r="N16" s="333">
        <f t="shared" si="1"/>
        <v>0</v>
      </c>
    </row>
    <row r="17" spans="2:14" ht="15" customHeight="1" x14ac:dyDescent="0.2">
      <c r="B17" s="272">
        <v>13</v>
      </c>
      <c r="C17" s="273" t="str">
        <f>'Program Descriptions'!C17</f>
        <v>Discont'd Res Solutions</v>
      </c>
      <c r="D17" s="516">
        <v>0</v>
      </c>
      <c r="E17" s="516">
        <v>0</v>
      </c>
      <c r="F17" s="516">
        <v>0</v>
      </c>
      <c r="G17" s="516">
        <v>0</v>
      </c>
      <c r="H17" s="516">
        <v>0</v>
      </c>
      <c r="I17" s="11">
        <f t="shared" si="0"/>
        <v>0</v>
      </c>
      <c r="K17" s="4"/>
      <c r="N17" s="333">
        <f t="shared" si="1"/>
        <v>0</v>
      </c>
    </row>
    <row r="18" spans="2:14" ht="15" customHeight="1" x14ac:dyDescent="0.2">
      <c r="B18" s="272">
        <v>14</v>
      </c>
      <c r="C18" s="273" t="str">
        <f>'Program Descriptions'!C18</f>
        <v>Discont'd R ES Appliance</v>
      </c>
      <c r="D18" s="516">
        <v>0</v>
      </c>
      <c r="E18" s="516">
        <v>0</v>
      </c>
      <c r="F18" s="516">
        <v>0</v>
      </c>
      <c r="G18" s="516">
        <v>0</v>
      </c>
      <c r="H18" s="516">
        <v>0</v>
      </c>
      <c r="I18" s="11">
        <f t="shared" si="0"/>
        <v>0</v>
      </c>
      <c r="K18" s="4"/>
      <c r="N18" s="333">
        <f t="shared" si="1"/>
        <v>0</v>
      </c>
    </row>
    <row r="19" spans="2:14" ht="15" customHeight="1" x14ac:dyDescent="0.2">
      <c r="B19" s="272">
        <v>15</v>
      </c>
      <c r="C19" s="273" t="str">
        <f>'Program Descriptions'!C19</f>
        <v>Discont'd ARWX (AWIP)</v>
      </c>
      <c r="D19" s="516">
        <v>0</v>
      </c>
      <c r="E19" s="516">
        <v>0</v>
      </c>
      <c r="F19" s="516">
        <v>0</v>
      </c>
      <c r="G19" s="516">
        <v>0</v>
      </c>
      <c r="H19" s="516">
        <v>0</v>
      </c>
      <c r="I19" s="11">
        <f t="shared" si="0"/>
        <v>0</v>
      </c>
      <c r="K19" s="4"/>
      <c r="N19" s="333">
        <f t="shared" si="1"/>
        <v>0</v>
      </c>
    </row>
    <row r="20" spans="2:14" ht="15" customHeight="1" x14ac:dyDescent="0.2">
      <c r="B20" s="272">
        <v>16</v>
      </c>
      <c r="C20" s="273" t="str">
        <f>'Program Descriptions'!C20</f>
        <v>New Construction (NCP)</v>
      </c>
      <c r="D20" s="516">
        <v>3300</v>
      </c>
      <c r="E20" s="516">
        <v>79211</v>
      </c>
      <c r="F20" s="516">
        <v>279279</v>
      </c>
      <c r="G20" s="516">
        <v>4696</v>
      </c>
      <c r="H20" s="516">
        <v>49507</v>
      </c>
      <c r="I20" s="11">
        <f t="shared" si="0"/>
        <v>415993</v>
      </c>
      <c r="K20" s="4"/>
      <c r="N20" s="333">
        <f t="shared" si="1"/>
        <v>0</v>
      </c>
    </row>
    <row r="21" spans="2:14" ht="15" customHeight="1" x14ac:dyDescent="0.2">
      <c r="B21" s="272">
        <v>17</v>
      </c>
      <c r="C21" s="273" t="str">
        <f>'Program Descriptions'!C21</f>
        <v>Strat Energy Mgmt (SEMP)</v>
      </c>
      <c r="D21" s="430">
        <v>6809</v>
      </c>
      <c r="E21" s="430">
        <v>204272</v>
      </c>
      <c r="F21" s="430">
        <v>209655</v>
      </c>
      <c r="G21" s="430">
        <v>9000</v>
      </c>
      <c r="H21" s="430">
        <v>129373</v>
      </c>
      <c r="I21" s="11">
        <f t="shared" si="0"/>
        <v>559109</v>
      </c>
      <c r="K21" s="4"/>
      <c r="N21" s="333">
        <f t="shared" si="1"/>
        <v>0</v>
      </c>
    </row>
    <row r="22" spans="2:14" ht="15" customHeight="1" x14ac:dyDescent="0.2">
      <c r="B22" s="272">
        <v>18</v>
      </c>
      <c r="C22" s="273" t="str">
        <f>'Program Descriptions'!C22</f>
        <v>Bring Y/Otstat (BYOT)</v>
      </c>
      <c r="D22" s="430">
        <v>6714</v>
      </c>
      <c r="E22" s="430">
        <v>223803</v>
      </c>
      <c r="F22" s="430">
        <v>160675</v>
      </c>
      <c r="G22" s="430">
        <v>22000</v>
      </c>
      <c r="H22" s="430">
        <v>67887</v>
      </c>
      <c r="I22" s="11">
        <f t="shared" si="0"/>
        <v>481079</v>
      </c>
      <c r="K22" s="4"/>
      <c r="N22" s="333">
        <f t="shared" si="1"/>
        <v>0</v>
      </c>
    </row>
    <row r="23" spans="2:14" ht="15" customHeight="1" x14ac:dyDescent="0.2">
      <c r="B23" s="272">
        <v>19</v>
      </c>
      <c r="C23" s="273" t="str">
        <f>'Program Descriptions'!C23</f>
        <v>Empty</v>
      </c>
      <c r="D23" s="430">
        <v>0</v>
      </c>
      <c r="E23" s="430">
        <v>0</v>
      </c>
      <c r="F23" s="430">
        <v>0</v>
      </c>
      <c r="G23" s="430">
        <v>0</v>
      </c>
      <c r="H23" s="430">
        <v>0</v>
      </c>
      <c r="I23" s="11">
        <f t="shared" si="0"/>
        <v>0</v>
      </c>
      <c r="K23" s="4"/>
      <c r="N23" s="333">
        <f t="shared" si="1"/>
        <v>0</v>
      </c>
    </row>
    <row r="24" spans="2:14" ht="15" customHeight="1" thickBot="1" x14ac:dyDescent="0.25">
      <c r="B24" s="272">
        <v>20</v>
      </c>
      <c r="C24" s="273" t="str">
        <f>'Program Descriptions'!C24</f>
        <v>Empty</v>
      </c>
      <c r="D24" s="517">
        <v>0</v>
      </c>
      <c r="E24" s="517">
        <v>0</v>
      </c>
      <c r="F24" s="517">
        <v>0</v>
      </c>
      <c r="G24" s="517">
        <v>0</v>
      </c>
      <c r="H24" s="517">
        <v>0</v>
      </c>
      <c r="I24" s="11">
        <f t="shared" si="0"/>
        <v>0</v>
      </c>
      <c r="K24" s="4"/>
      <c r="N24" s="333">
        <f t="shared" si="1"/>
        <v>0</v>
      </c>
    </row>
    <row r="25" spans="2:14" ht="15" customHeight="1" x14ac:dyDescent="0.25">
      <c r="B25" s="8"/>
      <c r="C25" s="276" t="s">
        <v>183</v>
      </c>
      <c r="D25" s="14">
        <f t="shared" ref="D25:I25" si="2">SUM(D5:D24)</f>
        <v>177948</v>
      </c>
      <c r="E25" s="14">
        <f t="shared" si="2"/>
        <v>4477733</v>
      </c>
      <c r="F25" s="14">
        <f t="shared" si="2"/>
        <v>7840876</v>
      </c>
      <c r="G25" s="14">
        <f t="shared" si="2"/>
        <v>371243</v>
      </c>
      <c r="H25" s="14">
        <f t="shared" si="2"/>
        <v>1320764</v>
      </c>
      <c r="I25" s="14">
        <f t="shared" si="2"/>
        <v>14188564</v>
      </c>
      <c r="K25" s="4"/>
    </row>
    <row r="26" spans="2:14" ht="15" customHeight="1" x14ac:dyDescent="0.25">
      <c r="B26" s="8"/>
      <c r="C26" s="277"/>
      <c r="D26" s="11"/>
      <c r="E26" s="11"/>
      <c r="F26" s="11"/>
      <c r="G26" s="11"/>
      <c r="H26" s="15" t="str">
        <f>Cost!C25</f>
        <v>Regulatory</v>
      </c>
      <c r="I26" s="432">
        <v>117000</v>
      </c>
      <c r="K26" s="4"/>
      <c r="N26" s="333">
        <f>IF(ISBLANK(I26),1,0)</f>
        <v>0</v>
      </c>
    </row>
    <row r="27" spans="2:14" ht="15" customHeight="1" thickBot="1" x14ac:dyDescent="0.25">
      <c r="B27" s="8"/>
      <c r="C27" s="277"/>
      <c r="D27" s="11"/>
      <c r="E27" s="11"/>
      <c r="F27" s="11"/>
      <c r="G27" s="11"/>
      <c r="H27" s="12" t="s">
        <v>184</v>
      </c>
      <c r="I27" s="13">
        <f>I25+I26</f>
        <v>14305564</v>
      </c>
      <c r="K27" s="4"/>
      <c r="N27" s="2">
        <f>SUM(N5:N26)</f>
        <v>0</v>
      </c>
    </row>
    <row r="28" spans="2:14" ht="15" customHeight="1" thickTop="1" x14ac:dyDescent="0.2">
      <c r="B28" s="5"/>
      <c r="C28" s="6"/>
      <c r="D28" s="6"/>
      <c r="E28" s="6"/>
      <c r="F28" s="6"/>
      <c r="G28" s="6"/>
      <c r="H28" s="6"/>
      <c r="I28" s="6"/>
      <c r="J28" s="6"/>
      <c r="K28" s="7"/>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algorithmName="SHA-512" hashValue="Nh6HEZACvgQ4wHd7CZ0aCBrPpJ8A5DVsx2mi1fxqPfMM1yU66tyQdU/+a6h800gAPfGznEFEqXvKAB0/dnUnWw==" saltValue="ImYNWtIPhIQe/NmDibRFbQ==" spinCount="100000" sheet="1" objects="1" scenarios="1" formatRows="0"/>
  <conditionalFormatting sqref="D5:H24">
    <cfRule type="expression" dxfId="90" priority="1">
      <formula>$B5&gt;Programs</formula>
    </cfRule>
  </conditionalFormatting>
  <pageMargins left="0.25" right="0.25"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N29"/>
  <sheetViews>
    <sheetView showGridLines="0" showRowColHeaders="0" topLeftCell="C1" zoomScaleNormal="100" workbookViewId="0">
      <selection activeCell="E28" sqref="E28"/>
    </sheetView>
  </sheetViews>
  <sheetFormatPr defaultColWidth="9.140625" defaultRowHeight="12.75" x14ac:dyDescent="0.2"/>
  <cols>
    <col min="1" max="1" width="1" style="2" customWidth="1"/>
    <col min="2" max="2" width="1.85546875" style="2" customWidth="1"/>
    <col min="3" max="3" width="3.42578125" style="2" customWidth="1"/>
    <col min="4" max="4" width="37" style="2" customWidth="1"/>
    <col min="5" max="6" width="14.5703125" style="2" customWidth="1"/>
    <col min="7" max="7" width="12.85546875" style="2" customWidth="1"/>
    <col min="8" max="8" width="7" style="2" customWidth="1"/>
    <col min="9" max="9" width="44.140625" style="2" customWidth="1"/>
    <col min="10" max="10" width="1.5703125" style="2" customWidth="1"/>
    <col min="11" max="11" width="1" style="2" customWidth="1"/>
    <col min="12" max="13" width="9.140625" style="2"/>
    <col min="14" max="14" width="0" style="2" hidden="1" customWidth="1"/>
    <col min="15" max="16384" width="9.140625" style="2"/>
  </cols>
  <sheetData>
    <row r="1" spans="2:14" ht="5.0999999999999996" customHeight="1" thickBot="1" x14ac:dyDescent="0.25"/>
    <row r="2" spans="2:14" ht="38.25" customHeight="1" thickBot="1" x14ac:dyDescent="0.25">
      <c r="B2" s="671" t="s">
        <v>185</v>
      </c>
      <c r="C2" s="671"/>
      <c r="D2" s="671"/>
      <c r="E2" s="671"/>
      <c r="F2" s="671"/>
      <c r="G2" s="671"/>
      <c r="H2" s="671"/>
      <c r="I2" s="671"/>
      <c r="J2" s="671"/>
    </row>
    <row r="3" spans="2:14" ht="15.75" customHeight="1" x14ac:dyDescent="0.2">
      <c r="B3" s="511"/>
      <c r="C3" s="347"/>
      <c r="D3" s="350" t="str">
        <f>IF(N29&gt;0,"Incomplete - All yellow shaded cells must be completed.","")</f>
        <v/>
      </c>
      <c r="E3" s="347"/>
      <c r="F3" s="347"/>
      <c r="G3" s="347"/>
      <c r="H3" s="347"/>
      <c r="I3" s="347"/>
      <c r="J3" s="512"/>
    </row>
    <row r="4" spans="2:14" x14ac:dyDescent="0.2">
      <c r="B4" s="3"/>
      <c r="D4" s="10" t="s">
        <v>93</v>
      </c>
      <c r="E4" s="29" t="s">
        <v>186</v>
      </c>
      <c r="F4" s="29" t="s">
        <v>187</v>
      </c>
      <c r="G4" s="29" t="s">
        <v>188</v>
      </c>
      <c r="H4" s="29" t="s">
        <v>189</v>
      </c>
      <c r="I4" s="29" t="s">
        <v>190</v>
      </c>
      <c r="J4" s="4"/>
    </row>
    <row r="5" spans="2:14" x14ac:dyDescent="0.2">
      <c r="B5" s="3"/>
      <c r="C5" s="518">
        <v>1</v>
      </c>
      <c r="D5" s="519" t="str">
        <f>'Program Descriptions'!C5</f>
        <v>Load Mgt (LMP)</v>
      </c>
      <c r="E5" s="520">
        <v>1007610</v>
      </c>
      <c r="F5" s="521">
        <f>Budgets!I5</f>
        <v>1007610</v>
      </c>
      <c r="G5" s="521">
        <f t="shared" ref="G5:G25" si="0">F5-E5</f>
        <v>0</v>
      </c>
      <c r="H5" s="522">
        <f t="shared" ref="H5:H10" si="1">IF(ISERROR(G5/E5),"-",G5/E5)</f>
        <v>0</v>
      </c>
      <c r="I5" s="32" t="s">
        <v>191</v>
      </c>
      <c r="J5" s="4"/>
      <c r="N5" s="333">
        <f t="shared" ref="N5:N25" si="2">IF(D5="Empty",0,IF(ISBLANK(E5),1,IF(H5=0,0,IF(ISBLANK(I5),1,0))))</f>
        <v>0</v>
      </c>
    </row>
    <row r="6" spans="2:14" x14ac:dyDescent="0.2">
      <c r="B6" s="3"/>
      <c r="C6" s="518">
        <v>2</v>
      </c>
      <c r="D6" s="519" t="str">
        <f>'Program Descriptions'!C6</f>
        <v>Comm &amp; Industrial (CIEEP)</v>
      </c>
      <c r="E6" s="520">
        <v>3157208</v>
      </c>
      <c r="F6" s="521">
        <f>Budgets!I6</f>
        <v>3084080</v>
      </c>
      <c r="G6" s="521">
        <f t="shared" si="0"/>
        <v>-73128</v>
      </c>
      <c r="H6" s="522">
        <f t="shared" si="1"/>
        <v>-2.3162237014476082E-2</v>
      </c>
      <c r="I6" s="32" t="s">
        <v>192</v>
      </c>
      <c r="J6" s="4"/>
      <c r="N6" s="333">
        <f t="shared" si="2"/>
        <v>0</v>
      </c>
    </row>
    <row r="7" spans="2:14" x14ac:dyDescent="0.2">
      <c r="B7" s="3"/>
      <c r="C7" s="518">
        <v>3</v>
      </c>
      <c r="D7" s="519" t="str">
        <f>'Program Descriptions'!C7</f>
        <v>Small Business (SBP)</v>
      </c>
      <c r="E7" s="520">
        <v>1525871</v>
      </c>
      <c r="F7" s="521">
        <f>Budgets!I7</f>
        <v>1596350</v>
      </c>
      <c r="G7" s="521">
        <f t="shared" si="0"/>
        <v>70479</v>
      </c>
      <c r="H7" s="522">
        <f t="shared" si="1"/>
        <v>4.6189356767380729E-2</v>
      </c>
      <c r="I7" s="32" t="s">
        <v>193</v>
      </c>
      <c r="J7" s="4"/>
      <c r="N7" s="333">
        <f t="shared" si="2"/>
        <v>0</v>
      </c>
    </row>
    <row r="8" spans="2:14" x14ac:dyDescent="0.2">
      <c r="B8" s="3"/>
      <c r="C8" s="518">
        <v>4</v>
      </c>
      <c r="D8" s="519" t="str">
        <f>'Program Descriptions'!C8</f>
        <v>Efficient Products (EPP)</v>
      </c>
      <c r="E8" s="520">
        <v>685652</v>
      </c>
      <c r="F8" s="521">
        <f>Budgets!I8</f>
        <v>720823</v>
      </c>
      <c r="G8" s="521">
        <f t="shared" si="0"/>
        <v>35171</v>
      </c>
      <c r="H8" s="522">
        <f t="shared" si="1"/>
        <v>5.1295701026176546E-2</v>
      </c>
      <c r="I8" s="32" t="s">
        <v>194</v>
      </c>
      <c r="J8" s="4"/>
      <c r="N8" s="333">
        <f t="shared" si="2"/>
        <v>0</v>
      </c>
    </row>
    <row r="9" spans="2:14" x14ac:dyDescent="0.2">
      <c r="B9" s="3"/>
      <c r="C9" s="518">
        <v>5</v>
      </c>
      <c r="D9" s="519" t="str">
        <f>'Program Descriptions'!C9</f>
        <v>Res Energy Imprv (REIP)</v>
      </c>
      <c r="E9" s="520">
        <v>2275263</v>
      </c>
      <c r="F9" s="521">
        <f>Budgets!I9</f>
        <v>2864054</v>
      </c>
      <c r="G9" s="521">
        <f t="shared" si="0"/>
        <v>588791</v>
      </c>
      <c r="H9" s="522">
        <f t="shared" si="1"/>
        <v>0.25877931474295501</v>
      </c>
      <c r="I9" s="32" t="s">
        <v>194</v>
      </c>
      <c r="J9" s="4"/>
      <c r="N9" s="333">
        <f t="shared" si="2"/>
        <v>0</v>
      </c>
    </row>
    <row r="10" spans="2:14" x14ac:dyDescent="0.2">
      <c r="B10" s="3"/>
      <c r="C10" s="518">
        <v>6</v>
      </c>
      <c r="D10" s="519" t="str">
        <f>'Program Descriptions'!C10</f>
        <v>Home Weatherization (HWP)</v>
      </c>
      <c r="E10" s="520">
        <v>3242477</v>
      </c>
      <c r="F10" s="521">
        <f>Budgets!I10</f>
        <v>2361354</v>
      </c>
      <c r="G10" s="521">
        <f t="shared" si="0"/>
        <v>-881123</v>
      </c>
      <c r="H10" s="522">
        <f t="shared" si="1"/>
        <v>-0.27174379340238958</v>
      </c>
      <c r="I10" s="32" t="s">
        <v>195</v>
      </c>
      <c r="J10" s="4"/>
      <c r="N10" s="333">
        <f t="shared" si="2"/>
        <v>0</v>
      </c>
    </row>
    <row r="11" spans="2:14" x14ac:dyDescent="0.2">
      <c r="B11" s="3"/>
      <c r="C11" s="518">
        <v>7</v>
      </c>
      <c r="D11" s="519" t="str">
        <f>'Program Descriptions'!C11</f>
        <v>Discont'd EE AR (EEA)</v>
      </c>
      <c r="E11" s="520">
        <v>0</v>
      </c>
      <c r="F11" s="521">
        <f>Budgets!I11</f>
        <v>0</v>
      </c>
      <c r="G11" s="521">
        <f t="shared" si="0"/>
        <v>0</v>
      </c>
      <c r="H11" s="522" t="str">
        <f t="shared" ref="H11:H25" si="3">IF(ISERROR(G11/E11),"-",G11/E11)</f>
        <v>-</v>
      </c>
      <c r="I11" s="32" t="s">
        <v>191</v>
      </c>
      <c r="J11" s="4"/>
      <c r="N11" s="333">
        <f t="shared" si="2"/>
        <v>0</v>
      </c>
    </row>
    <row r="12" spans="2:14" x14ac:dyDescent="0.2">
      <c r="B12" s="3"/>
      <c r="C12" s="518">
        <v>8</v>
      </c>
      <c r="D12" s="519" t="str">
        <f>'Program Descriptions'!C12</f>
        <v>Discont'd Onlne Audt(OLA)</v>
      </c>
      <c r="E12" s="520">
        <v>0</v>
      </c>
      <c r="F12" s="521">
        <f>Budgets!I12</f>
        <v>0</v>
      </c>
      <c r="G12" s="521">
        <f t="shared" si="0"/>
        <v>0</v>
      </c>
      <c r="H12" s="522" t="str">
        <f t="shared" si="3"/>
        <v>-</v>
      </c>
      <c r="I12" s="32" t="s">
        <v>191</v>
      </c>
      <c r="J12" s="4"/>
      <c r="N12" s="333">
        <f t="shared" si="2"/>
        <v>0</v>
      </c>
    </row>
    <row r="13" spans="2:14" x14ac:dyDescent="0.2">
      <c r="B13" s="3"/>
      <c r="C13" s="518">
        <v>9</v>
      </c>
      <c r="D13" s="519" t="str">
        <f>'Program Descriptions'!C13</f>
        <v>Income Qualified (IQW)</v>
      </c>
      <c r="E13" s="520">
        <v>840951</v>
      </c>
      <c r="F13" s="521">
        <f>Budgets!I13</f>
        <v>1098112</v>
      </c>
      <c r="G13" s="521">
        <f t="shared" si="0"/>
        <v>257161</v>
      </c>
      <c r="H13" s="522">
        <f t="shared" si="3"/>
        <v>0.30579784077788125</v>
      </c>
      <c r="I13" s="32" t="s">
        <v>194</v>
      </c>
      <c r="J13" s="4"/>
      <c r="N13" s="333">
        <f t="shared" si="2"/>
        <v>0</v>
      </c>
    </row>
    <row r="14" spans="2:14" x14ac:dyDescent="0.2">
      <c r="B14" s="3"/>
      <c r="C14" s="518">
        <v>10</v>
      </c>
      <c r="D14" s="519" t="str">
        <f>'Program Descriptions'!C14</f>
        <v>Discont'd Ele Veh (EVE)</v>
      </c>
      <c r="E14" s="520">
        <v>0</v>
      </c>
      <c r="F14" s="521">
        <f>Budgets!I14</f>
        <v>0</v>
      </c>
      <c r="G14" s="521">
        <f t="shared" si="0"/>
        <v>0</v>
      </c>
      <c r="H14" s="522" t="str">
        <f t="shared" si="3"/>
        <v>-</v>
      </c>
      <c r="I14" s="32" t="s">
        <v>191</v>
      </c>
      <c r="J14" s="4"/>
      <c r="N14" s="333">
        <f t="shared" si="2"/>
        <v>0</v>
      </c>
    </row>
    <row r="15" spans="2:14" x14ac:dyDescent="0.2">
      <c r="B15" s="3"/>
      <c r="C15" s="518">
        <v>11</v>
      </c>
      <c r="D15" s="519" t="str">
        <f>'Program Descriptions'!C15</f>
        <v>Discont'd Comm Solutions</v>
      </c>
      <c r="E15" s="520">
        <v>0</v>
      </c>
      <c r="F15" s="521">
        <f>Budgets!I15</f>
        <v>0</v>
      </c>
      <c r="G15" s="521">
        <f t="shared" si="0"/>
        <v>0</v>
      </c>
      <c r="H15" s="522" t="str">
        <f t="shared" si="3"/>
        <v>-</v>
      </c>
      <c r="I15" s="32" t="s">
        <v>191</v>
      </c>
      <c r="J15" s="4"/>
      <c r="N15" s="333">
        <f t="shared" si="2"/>
        <v>0</v>
      </c>
    </row>
    <row r="16" spans="2:14" x14ac:dyDescent="0.2">
      <c r="B16" s="3"/>
      <c r="C16" s="518">
        <v>12</v>
      </c>
      <c r="D16" s="519" t="str">
        <f>'Program Descriptions'!C16</f>
        <v>Discont'd Res Appliance</v>
      </c>
      <c r="E16" s="520">
        <v>0</v>
      </c>
      <c r="F16" s="521">
        <f>Budgets!I16</f>
        <v>0</v>
      </c>
      <c r="G16" s="521">
        <f t="shared" si="0"/>
        <v>0</v>
      </c>
      <c r="H16" s="522" t="str">
        <f t="shared" si="3"/>
        <v>-</v>
      </c>
      <c r="I16" s="32" t="s">
        <v>191</v>
      </c>
      <c r="J16" s="4"/>
      <c r="N16" s="333">
        <f t="shared" si="2"/>
        <v>0</v>
      </c>
    </row>
    <row r="17" spans="2:14" x14ac:dyDescent="0.2">
      <c r="B17" s="3"/>
      <c r="C17" s="518">
        <v>13</v>
      </c>
      <c r="D17" s="519" t="str">
        <f>'Program Descriptions'!C17</f>
        <v>Discont'd Res Solutions</v>
      </c>
      <c r="E17" s="520">
        <v>0</v>
      </c>
      <c r="F17" s="521">
        <f>Budgets!I17</f>
        <v>0</v>
      </c>
      <c r="G17" s="521">
        <f t="shared" si="0"/>
        <v>0</v>
      </c>
      <c r="H17" s="522" t="str">
        <f t="shared" si="3"/>
        <v>-</v>
      </c>
      <c r="I17" s="32" t="s">
        <v>191</v>
      </c>
      <c r="J17" s="4"/>
      <c r="N17" s="333">
        <f t="shared" si="2"/>
        <v>0</v>
      </c>
    </row>
    <row r="18" spans="2:14" x14ac:dyDescent="0.2">
      <c r="B18" s="3"/>
      <c r="C18" s="518">
        <v>14</v>
      </c>
      <c r="D18" s="519" t="str">
        <f>'Program Descriptions'!C18</f>
        <v>Discont'd R ES Appliance</v>
      </c>
      <c r="E18" s="520">
        <v>0</v>
      </c>
      <c r="F18" s="521">
        <f>Budgets!I18</f>
        <v>0</v>
      </c>
      <c r="G18" s="521">
        <f t="shared" si="0"/>
        <v>0</v>
      </c>
      <c r="H18" s="522" t="str">
        <f t="shared" si="3"/>
        <v>-</v>
      </c>
      <c r="I18" s="32" t="s">
        <v>191</v>
      </c>
      <c r="J18" s="4"/>
      <c r="N18" s="333">
        <f t="shared" si="2"/>
        <v>0</v>
      </c>
    </row>
    <row r="19" spans="2:14" x14ac:dyDescent="0.2">
      <c r="B19" s="3"/>
      <c r="C19" s="518">
        <v>15</v>
      </c>
      <c r="D19" s="519" t="str">
        <f>'Program Descriptions'!C19</f>
        <v>Discont'd ARWX (AWIP)</v>
      </c>
      <c r="E19" s="520">
        <v>0</v>
      </c>
      <c r="F19" s="521">
        <f>Budgets!I19</f>
        <v>0</v>
      </c>
      <c r="G19" s="521">
        <f t="shared" si="0"/>
        <v>0</v>
      </c>
      <c r="H19" s="522" t="str">
        <f t="shared" si="3"/>
        <v>-</v>
      </c>
      <c r="I19" s="32" t="s">
        <v>191</v>
      </c>
      <c r="J19" s="4"/>
      <c r="N19" s="333">
        <f t="shared" si="2"/>
        <v>0</v>
      </c>
    </row>
    <row r="20" spans="2:14" x14ac:dyDescent="0.2">
      <c r="B20" s="3"/>
      <c r="C20" s="518">
        <v>16</v>
      </c>
      <c r="D20" s="519" t="str">
        <f>'Program Descriptions'!C20</f>
        <v>New Construction (NCP)</v>
      </c>
      <c r="E20" s="520">
        <v>415993</v>
      </c>
      <c r="F20" s="521">
        <f>Budgets!I20</f>
        <v>415993</v>
      </c>
      <c r="G20" s="521">
        <f t="shared" si="0"/>
        <v>0</v>
      </c>
      <c r="H20" s="522">
        <f t="shared" si="3"/>
        <v>0</v>
      </c>
      <c r="I20" s="32" t="s">
        <v>191</v>
      </c>
      <c r="J20" s="4"/>
      <c r="N20" s="333">
        <f t="shared" si="2"/>
        <v>0</v>
      </c>
    </row>
    <row r="21" spans="2:14" x14ac:dyDescent="0.2">
      <c r="B21" s="3"/>
      <c r="C21" s="518">
        <v>17</v>
      </c>
      <c r="D21" s="519" t="str">
        <f>'Program Descriptions'!C21</f>
        <v>Strat Energy Mgmt (SEMP)</v>
      </c>
      <c r="E21" s="520">
        <v>556460</v>
      </c>
      <c r="F21" s="521">
        <f>Budgets!I21</f>
        <v>559109</v>
      </c>
      <c r="G21" s="521">
        <f t="shared" si="0"/>
        <v>2649</v>
      </c>
      <c r="H21" s="522">
        <f t="shared" si="3"/>
        <v>4.7604499874204795E-3</v>
      </c>
      <c r="I21" s="32" t="s">
        <v>193</v>
      </c>
      <c r="J21" s="4"/>
      <c r="N21" s="333">
        <f t="shared" si="2"/>
        <v>0</v>
      </c>
    </row>
    <row r="22" spans="2:14" x14ac:dyDescent="0.2">
      <c r="B22" s="3"/>
      <c r="C22" s="518">
        <v>18</v>
      </c>
      <c r="D22" s="519" t="str">
        <f>'Program Descriptions'!C22</f>
        <v>Bring Y/Otstat (BYOT)</v>
      </c>
      <c r="E22" s="520">
        <v>481079</v>
      </c>
      <c r="F22" s="521">
        <f>Budgets!I22</f>
        <v>481079</v>
      </c>
      <c r="G22" s="521">
        <f t="shared" si="0"/>
        <v>0</v>
      </c>
      <c r="H22" s="522">
        <f t="shared" si="3"/>
        <v>0</v>
      </c>
      <c r="I22" s="32" t="s">
        <v>191</v>
      </c>
      <c r="J22" s="4"/>
      <c r="N22" s="333">
        <f t="shared" si="2"/>
        <v>0</v>
      </c>
    </row>
    <row r="23" spans="2:14" x14ac:dyDescent="0.2">
      <c r="B23" s="3"/>
      <c r="C23" s="518">
        <v>19</v>
      </c>
      <c r="D23" s="519" t="str">
        <f>'Program Descriptions'!C23</f>
        <v>Empty</v>
      </c>
      <c r="E23" s="520">
        <v>0</v>
      </c>
      <c r="F23" s="521">
        <f>Budgets!I23</f>
        <v>0</v>
      </c>
      <c r="G23" s="521">
        <f t="shared" si="0"/>
        <v>0</v>
      </c>
      <c r="H23" s="522" t="str">
        <f t="shared" si="3"/>
        <v>-</v>
      </c>
      <c r="I23" s="32"/>
      <c r="J23" s="4"/>
      <c r="N23" s="333">
        <f t="shared" si="2"/>
        <v>0</v>
      </c>
    </row>
    <row r="24" spans="2:14" x14ac:dyDescent="0.2">
      <c r="B24" s="3"/>
      <c r="C24" s="518">
        <v>20</v>
      </c>
      <c r="D24" s="519" t="str">
        <f>'Program Descriptions'!C24</f>
        <v>Empty</v>
      </c>
      <c r="E24" s="520">
        <v>0</v>
      </c>
      <c r="F24" s="521">
        <f>Budgets!I24</f>
        <v>0</v>
      </c>
      <c r="G24" s="521">
        <f t="shared" si="0"/>
        <v>0</v>
      </c>
      <c r="H24" s="522" t="str">
        <f t="shared" si="3"/>
        <v>-</v>
      </c>
      <c r="I24" s="32"/>
      <c r="J24" s="4"/>
      <c r="N24" s="333">
        <f t="shared" si="2"/>
        <v>0</v>
      </c>
    </row>
    <row r="25" spans="2:14" x14ac:dyDescent="0.2">
      <c r="B25" s="3"/>
      <c r="C25" s="518"/>
      <c r="D25" s="523" t="str">
        <f>Budgets!H26</f>
        <v>Regulatory</v>
      </c>
      <c r="E25" s="520">
        <v>117000</v>
      </c>
      <c r="F25" s="521">
        <f>Budgets!I26</f>
        <v>117000</v>
      </c>
      <c r="G25" s="521">
        <f t="shared" si="0"/>
        <v>0</v>
      </c>
      <c r="H25" s="522">
        <f t="shared" si="3"/>
        <v>0</v>
      </c>
      <c r="I25" s="32" t="s">
        <v>191</v>
      </c>
      <c r="J25" s="4"/>
      <c r="N25" s="333">
        <f t="shared" si="2"/>
        <v>0</v>
      </c>
    </row>
    <row r="26" spans="2:14" x14ac:dyDescent="0.2">
      <c r="B26" s="3"/>
      <c r="C26" s="30"/>
      <c r="D26" s="31" t="s">
        <v>196</v>
      </c>
      <c r="E26" s="33">
        <f>SUM(E5:E25)</f>
        <v>14305564</v>
      </c>
      <c r="F26" s="33">
        <f>SUM(F5:F25)</f>
        <v>14305564</v>
      </c>
      <c r="G26" s="33">
        <f>SUM(G5:G25)</f>
        <v>0</v>
      </c>
      <c r="H26" s="34">
        <f>IF(ISERROR(G26/E26),"-",G26/E26)</f>
        <v>0</v>
      </c>
      <c r="I26" s="32" t="s">
        <v>191</v>
      </c>
      <c r="J26" s="4"/>
      <c r="N26" s="333">
        <f>IF(H26=0,0,IF(H26=0,0,IF(ISBLANK(I26),1,0)))</f>
        <v>0</v>
      </c>
    </row>
    <row r="27" spans="2:14" x14ac:dyDescent="0.2">
      <c r="B27" s="3"/>
      <c r="J27" s="4"/>
    </row>
    <row r="28" spans="2:14" x14ac:dyDescent="0.2">
      <c r="B28" s="3"/>
      <c r="C28" s="240"/>
      <c r="D28" s="264" t="s">
        <v>197</v>
      </c>
      <c r="E28" s="265" t="s">
        <v>198</v>
      </c>
      <c r="F28" s="370" t="s">
        <v>199</v>
      </c>
      <c r="J28" s="4"/>
      <c r="N28" s="333">
        <f>IF(ISBLANK(E28),1,0)</f>
        <v>0</v>
      </c>
    </row>
    <row r="29" spans="2:14" x14ac:dyDescent="0.2">
      <c r="B29" s="5"/>
      <c r="C29" s="6"/>
      <c r="D29" s="6"/>
      <c r="E29" s="6"/>
      <c r="F29" s="6"/>
      <c r="G29" s="6"/>
      <c r="H29" s="6"/>
      <c r="I29" s="6"/>
      <c r="J29" s="7"/>
      <c r="N29" s="247">
        <f>SUM(N5:N28)</f>
        <v>0</v>
      </c>
    </row>
  </sheetData>
  <sheetProtection password="C925" sheet="1" objects="1" scenarios="1" formatRows="0"/>
  <mergeCells count="1">
    <mergeCell ref="B2:J2"/>
  </mergeCells>
  <conditionalFormatting sqref="E25">
    <cfRule type="expression" dxfId="89" priority="1">
      <formula>$C25&gt;Programs</formula>
    </cfRule>
  </conditionalFormatting>
  <conditionalFormatting sqref="E5:I19 E20:H24">
    <cfRule type="expression" dxfId="88" priority="5">
      <formula>$C5&gt;Programs</formula>
    </cfRule>
  </conditionalFormatting>
  <conditionalFormatting sqref="I20:I26">
    <cfRule type="expression" dxfId="87" priority="2">
      <formula>$C20&gt;Programs</formula>
    </cfRule>
  </conditionalFormatting>
  <pageMargins left="0.25" right="0.25" top="0.5" bottom="0.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N115"/>
  <sheetViews>
    <sheetView showGridLines="0" showRowColHeaders="0" zoomScale="90" zoomScaleNormal="90" workbookViewId="0">
      <pane ySplit="5" topLeftCell="A6" activePane="bottomLeft" state="frozen"/>
      <selection pane="bottomLeft" activeCell="P20" sqref="P20"/>
    </sheetView>
  </sheetViews>
  <sheetFormatPr defaultColWidth="9.140625" defaultRowHeight="12.75" x14ac:dyDescent="0.2"/>
  <cols>
    <col min="1" max="1" width="1" style="2" customWidth="1"/>
    <col min="2" max="2" width="3.85546875" style="2" customWidth="1"/>
    <col min="3" max="3" width="35.85546875" style="2" customWidth="1"/>
    <col min="4" max="5" width="13.140625" style="2" customWidth="1"/>
    <col min="6" max="6" width="8.85546875" style="2" customWidth="1"/>
    <col min="7" max="7" width="13.140625" style="2" customWidth="1"/>
    <col min="8" max="8" width="20.5703125" style="2" customWidth="1"/>
    <col min="9" max="9" width="13.140625" style="2" customWidth="1"/>
    <col min="10" max="10" width="5.85546875" style="2" customWidth="1"/>
    <col min="11" max="11" width="5.140625" style="2" customWidth="1"/>
    <col min="12" max="12" width="1" style="2" customWidth="1"/>
    <col min="13" max="13" width="16" style="2" customWidth="1"/>
    <col min="14" max="14" width="0" style="2" hidden="1" customWidth="1"/>
    <col min="15" max="16384" width="9.140625" style="2"/>
  </cols>
  <sheetData>
    <row r="1" spans="2:14" ht="28.5" customHeight="1" x14ac:dyDescent="0.2"/>
    <row r="2" spans="2:14" ht="76.5" customHeight="1" x14ac:dyDescent="0.2">
      <c r="B2" s="508"/>
      <c r="C2" s="509"/>
      <c r="D2" s="509"/>
      <c r="E2" s="509"/>
      <c r="F2" s="509"/>
      <c r="G2" s="509"/>
      <c r="H2" s="509"/>
      <c r="I2" s="509"/>
      <c r="J2" s="509"/>
      <c r="K2" s="510"/>
    </row>
    <row r="3" spans="2:14" ht="11.25" customHeight="1" x14ac:dyDescent="0.2">
      <c r="B3" s="511"/>
      <c r="C3" s="350" t="str">
        <f>IF(N26&gt;0,"Incomplete - All yellow shaded cells must be completed.","")</f>
        <v>Incomplete - All yellow shaded cells must be completed.</v>
      </c>
      <c r="D3" s="347"/>
      <c r="E3" s="347"/>
      <c r="F3" s="347"/>
      <c r="G3" s="347"/>
      <c r="H3" s="347"/>
      <c r="I3" s="347"/>
      <c r="J3" s="347"/>
      <c r="K3" s="512"/>
    </row>
    <row r="4" spans="2:14" ht="25.5" x14ac:dyDescent="0.2">
      <c r="B4" s="3"/>
      <c r="D4" s="274" t="s">
        <v>200</v>
      </c>
      <c r="E4" s="274" t="s">
        <v>201</v>
      </c>
      <c r="K4" s="4"/>
    </row>
    <row r="5" spans="2:14" ht="15.75" x14ac:dyDescent="0.25">
      <c r="B5" s="3"/>
      <c r="C5" s="9" t="s">
        <v>93</v>
      </c>
      <c r="D5" s="274" t="str">
        <f>"("&amp;Demand_1&amp;")"</f>
        <v>(kW)</v>
      </c>
      <c r="E5" s="274" t="str">
        <f>"("&amp;Energy_1&amp;")"</f>
        <v>(kWh)</v>
      </c>
      <c r="G5" s="274" t="s">
        <v>202</v>
      </c>
      <c r="H5" s="274" t="s">
        <v>203</v>
      </c>
      <c r="K5" s="4"/>
    </row>
    <row r="6" spans="2:14" ht="15" customHeight="1" x14ac:dyDescent="0.2">
      <c r="B6" s="272">
        <v>1</v>
      </c>
      <c r="C6" s="273" t="str">
        <f>'Program Descriptions'!C5</f>
        <v>Load Mgt (LMP)</v>
      </c>
      <c r="D6" s="431">
        <v>16250</v>
      </c>
      <c r="E6" s="431">
        <v>0</v>
      </c>
      <c r="G6" s="431">
        <v>50</v>
      </c>
      <c r="H6" s="177" t="s">
        <v>204</v>
      </c>
      <c r="K6" s="4"/>
      <c r="N6" s="333">
        <f t="shared" ref="N6:N25" si="0">IF(C6="Empty",0,IF(OR(ISBLANK(IF(Demand_1=NG_Demand,E6,D6)),ISBLANK(E6),ISBLANK(G6),ISBLANK(H6)),1,0))</f>
        <v>0</v>
      </c>
    </row>
    <row r="7" spans="2:14" ht="15" customHeight="1" x14ac:dyDescent="0.2">
      <c r="B7" s="272">
        <v>2</v>
      </c>
      <c r="C7" s="273" t="str">
        <f>'Program Descriptions'!C6</f>
        <v>Comm &amp; Industrial (CIEEP)</v>
      </c>
      <c r="D7" s="431">
        <v>2367.4</v>
      </c>
      <c r="E7" s="431">
        <v>10534008</v>
      </c>
      <c r="G7" s="431">
        <v>436</v>
      </c>
      <c r="H7" s="177" t="s">
        <v>205</v>
      </c>
      <c r="K7" s="4"/>
      <c r="N7" s="333">
        <f t="shared" si="0"/>
        <v>0</v>
      </c>
    </row>
    <row r="8" spans="2:14" ht="15" customHeight="1" x14ac:dyDescent="0.2">
      <c r="B8" s="272">
        <v>3</v>
      </c>
      <c r="C8" s="273" t="str">
        <f>'Program Descriptions'!C7</f>
        <v>Small Business (SBP)</v>
      </c>
      <c r="D8" s="431">
        <v>1414.55</v>
      </c>
      <c r="E8" s="431">
        <v>6060578</v>
      </c>
      <c r="G8" s="431">
        <v>668</v>
      </c>
      <c r="H8" s="177" t="s">
        <v>205</v>
      </c>
      <c r="K8" s="4"/>
      <c r="N8" s="333">
        <f t="shared" si="0"/>
        <v>0</v>
      </c>
    </row>
    <row r="9" spans="2:14" ht="15" customHeight="1" x14ac:dyDescent="0.2">
      <c r="B9" s="272">
        <v>4</v>
      </c>
      <c r="C9" s="273" t="str">
        <f>'Program Descriptions'!C8</f>
        <v>Efficient Products (EPP)</v>
      </c>
      <c r="D9" s="431">
        <v>115.6</v>
      </c>
      <c r="E9" s="431">
        <v>1294116</v>
      </c>
      <c r="G9" s="431">
        <v>14665</v>
      </c>
      <c r="H9" s="177" t="s">
        <v>206</v>
      </c>
      <c r="K9" s="4"/>
      <c r="N9" s="333">
        <f t="shared" si="0"/>
        <v>0</v>
      </c>
    </row>
    <row r="10" spans="2:14" ht="15" customHeight="1" x14ac:dyDescent="0.2">
      <c r="B10" s="272">
        <v>5</v>
      </c>
      <c r="C10" s="273" t="str">
        <f>'Program Descriptions'!C9</f>
        <v>Res Energy Imprv (REIP)</v>
      </c>
      <c r="D10" s="431">
        <v>1131.674</v>
      </c>
      <c r="E10" s="431">
        <v>5602155</v>
      </c>
      <c r="G10" s="431">
        <v>7033</v>
      </c>
      <c r="H10" s="177" t="s">
        <v>206</v>
      </c>
      <c r="K10" s="4"/>
      <c r="N10" s="333">
        <f t="shared" si="0"/>
        <v>0</v>
      </c>
    </row>
    <row r="11" spans="2:14" ht="15" customHeight="1" x14ac:dyDescent="0.2">
      <c r="B11" s="272">
        <v>6</v>
      </c>
      <c r="C11" s="273" t="str">
        <f>'Program Descriptions'!C10</f>
        <v>Home Weatherization (HWP)</v>
      </c>
      <c r="D11" s="431">
        <v>2359.4059999999999</v>
      </c>
      <c r="E11" s="431">
        <v>6645777</v>
      </c>
      <c r="G11" s="431">
        <v>2200</v>
      </c>
      <c r="H11" s="177" t="s">
        <v>207</v>
      </c>
      <c r="K11" s="4"/>
      <c r="N11" s="333">
        <f t="shared" si="0"/>
        <v>0</v>
      </c>
    </row>
    <row r="12" spans="2:14" ht="15" customHeight="1" x14ac:dyDescent="0.2">
      <c r="B12" s="272">
        <v>7</v>
      </c>
      <c r="C12" s="273" t="str">
        <f>'Program Descriptions'!C11</f>
        <v>Discont'd EE AR (EEA)</v>
      </c>
      <c r="D12" s="431">
        <v>0</v>
      </c>
      <c r="E12" s="431">
        <v>0</v>
      </c>
      <c r="G12" s="431" t="s">
        <v>138</v>
      </c>
      <c r="H12" s="177"/>
      <c r="K12" s="4"/>
      <c r="N12" s="333">
        <f t="shared" si="0"/>
        <v>1</v>
      </c>
    </row>
    <row r="13" spans="2:14" ht="15" customHeight="1" x14ac:dyDescent="0.2">
      <c r="B13" s="272">
        <v>8</v>
      </c>
      <c r="C13" s="273" t="str">
        <f>'Program Descriptions'!C12</f>
        <v>Discont'd Onlne Audt(OLA)</v>
      </c>
      <c r="D13" s="431">
        <v>0</v>
      </c>
      <c r="E13" s="431">
        <v>0</v>
      </c>
      <c r="G13" s="431" t="s">
        <v>138</v>
      </c>
      <c r="H13" s="177"/>
      <c r="K13" s="4"/>
      <c r="N13" s="333">
        <f t="shared" si="0"/>
        <v>1</v>
      </c>
    </row>
    <row r="14" spans="2:14" ht="15" customHeight="1" x14ac:dyDescent="0.2">
      <c r="B14" s="272">
        <v>9</v>
      </c>
      <c r="C14" s="273" t="str">
        <f>'Program Descriptions'!C13</f>
        <v>Income Qualified (IQW)</v>
      </c>
      <c r="D14" s="431">
        <v>609</v>
      </c>
      <c r="E14" s="431">
        <v>1535745</v>
      </c>
      <c r="G14" s="431">
        <v>250</v>
      </c>
      <c r="H14" s="177" t="s">
        <v>207</v>
      </c>
      <c r="K14" s="4"/>
      <c r="N14" s="333">
        <f t="shared" si="0"/>
        <v>0</v>
      </c>
    </row>
    <row r="15" spans="2:14" ht="15" customHeight="1" x14ac:dyDescent="0.2">
      <c r="B15" s="272">
        <v>10</v>
      </c>
      <c r="C15" s="273" t="str">
        <f>'Program Descriptions'!C14</f>
        <v>Discont'd Ele Veh (EVE)</v>
      </c>
      <c r="D15" s="431">
        <v>0</v>
      </c>
      <c r="E15" s="431">
        <v>0</v>
      </c>
      <c r="G15" s="431" t="s">
        <v>138</v>
      </c>
      <c r="H15" s="177"/>
      <c r="K15" s="4"/>
      <c r="N15" s="333">
        <f t="shared" si="0"/>
        <v>1</v>
      </c>
    </row>
    <row r="16" spans="2:14" ht="15" customHeight="1" x14ac:dyDescent="0.2">
      <c r="B16" s="272">
        <v>11</v>
      </c>
      <c r="C16" s="273" t="str">
        <f>'Program Descriptions'!C15</f>
        <v>Discont'd Comm Solutions</v>
      </c>
      <c r="D16" s="431">
        <v>0</v>
      </c>
      <c r="E16" s="431">
        <v>0</v>
      </c>
      <c r="G16" s="431" t="s">
        <v>138</v>
      </c>
      <c r="H16" s="177"/>
      <c r="K16" s="4"/>
      <c r="N16" s="333">
        <f t="shared" si="0"/>
        <v>1</v>
      </c>
    </row>
    <row r="17" spans="2:14" ht="15" customHeight="1" x14ac:dyDescent="0.2">
      <c r="B17" s="272">
        <v>12</v>
      </c>
      <c r="C17" s="273" t="str">
        <f>'Program Descriptions'!C16</f>
        <v>Discont'd Res Appliance</v>
      </c>
      <c r="D17" s="431">
        <v>0</v>
      </c>
      <c r="E17" s="431">
        <v>0</v>
      </c>
      <c r="G17" s="431" t="s">
        <v>138</v>
      </c>
      <c r="H17" s="177"/>
      <c r="K17" s="4"/>
      <c r="N17" s="333">
        <f t="shared" si="0"/>
        <v>1</v>
      </c>
    </row>
    <row r="18" spans="2:14" ht="15" customHeight="1" x14ac:dyDescent="0.2">
      <c r="B18" s="272">
        <v>13</v>
      </c>
      <c r="C18" s="273" t="str">
        <f>'Program Descriptions'!C17</f>
        <v>Discont'd Res Solutions</v>
      </c>
      <c r="D18" s="431">
        <v>0</v>
      </c>
      <c r="E18" s="431">
        <v>0</v>
      </c>
      <c r="G18" s="431" t="s">
        <v>138</v>
      </c>
      <c r="H18" s="177"/>
      <c r="K18" s="4"/>
      <c r="N18" s="333">
        <f t="shared" si="0"/>
        <v>1</v>
      </c>
    </row>
    <row r="19" spans="2:14" ht="15" customHeight="1" x14ac:dyDescent="0.2">
      <c r="B19" s="272">
        <v>14</v>
      </c>
      <c r="C19" s="273" t="str">
        <f>'Program Descriptions'!C18</f>
        <v>Discont'd R ES Appliance</v>
      </c>
      <c r="D19" s="431">
        <v>0</v>
      </c>
      <c r="E19" s="431">
        <v>0</v>
      </c>
      <c r="G19" s="431" t="s">
        <v>138</v>
      </c>
      <c r="H19" s="177"/>
      <c r="K19" s="4"/>
      <c r="N19" s="333">
        <f t="shared" si="0"/>
        <v>1</v>
      </c>
    </row>
    <row r="20" spans="2:14" ht="15" customHeight="1" x14ac:dyDescent="0.2">
      <c r="B20" s="272">
        <v>15</v>
      </c>
      <c r="C20" s="273" t="str">
        <f>'Program Descriptions'!C19</f>
        <v>Discont'd ARWX (AWIP)</v>
      </c>
      <c r="D20" s="431">
        <v>0</v>
      </c>
      <c r="E20" s="431">
        <v>0</v>
      </c>
      <c r="G20" s="431" t="s">
        <v>138</v>
      </c>
      <c r="H20" s="177"/>
      <c r="K20" s="4"/>
      <c r="N20" s="333">
        <f t="shared" si="0"/>
        <v>1</v>
      </c>
    </row>
    <row r="21" spans="2:14" ht="15" customHeight="1" x14ac:dyDescent="0.2">
      <c r="B21" s="272">
        <v>16</v>
      </c>
      <c r="C21" s="273" t="str">
        <f>'Program Descriptions'!C20</f>
        <v>New Construction (NCP)</v>
      </c>
      <c r="D21" s="431">
        <v>120.19799999999999</v>
      </c>
      <c r="E21" s="431">
        <v>727832</v>
      </c>
      <c r="G21" s="431">
        <v>160</v>
      </c>
      <c r="H21" s="177" t="s">
        <v>205</v>
      </c>
      <c r="K21" s="4"/>
      <c r="N21" s="333">
        <f t="shared" si="0"/>
        <v>0</v>
      </c>
    </row>
    <row r="22" spans="2:14" ht="15" customHeight="1" x14ac:dyDescent="0.2">
      <c r="B22" s="272">
        <v>17</v>
      </c>
      <c r="C22" s="273" t="str">
        <f>'Program Descriptions'!C21</f>
        <v>Strat Energy Mgmt (SEMP)</v>
      </c>
      <c r="D22" s="431">
        <v>643</v>
      </c>
      <c r="E22" s="431">
        <v>5850291</v>
      </c>
      <c r="G22" s="431">
        <v>51</v>
      </c>
      <c r="H22" s="177" t="s">
        <v>204</v>
      </c>
      <c r="K22" s="4"/>
      <c r="N22" s="333">
        <f t="shared" si="0"/>
        <v>0</v>
      </c>
    </row>
    <row r="23" spans="2:14" ht="15" customHeight="1" x14ac:dyDescent="0.2">
      <c r="B23" s="272">
        <v>18</v>
      </c>
      <c r="C23" s="273" t="str">
        <f>'Program Descriptions'!C22</f>
        <v>Bring Y/Otstat (BYOT)</v>
      </c>
      <c r="D23" s="431">
        <v>4320.3599999999997</v>
      </c>
      <c r="E23" s="431">
        <v>61638</v>
      </c>
      <c r="G23" s="431">
        <v>1338</v>
      </c>
      <c r="H23" s="177" t="s">
        <v>208</v>
      </c>
      <c r="K23" s="4"/>
      <c r="N23" s="333">
        <f t="shared" si="0"/>
        <v>0</v>
      </c>
    </row>
    <row r="24" spans="2:14" ht="15" customHeight="1" x14ac:dyDescent="0.2">
      <c r="B24" s="272">
        <v>19</v>
      </c>
      <c r="C24" s="273" t="str">
        <f>'Program Descriptions'!C23</f>
        <v>Empty</v>
      </c>
      <c r="D24" s="431">
        <v>0</v>
      </c>
      <c r="E24" s="431">
        <v>0</v>
      </c>
      <c r="G24" s="431">
        <v>0</v>
      </c>
      <c r="H24" s="177"/>
      <c r="K24" s="4"/>
      <c r="N24" s="333">
        <f t="shared" si="0"/>
        <v>0</v>
      </c>
    </row>
    <row r="25" spans="2:14" ht="15" customHeight="1" thickBot="1" x14ac:dyDescent="0.25">
      <c r="B25" s="272">
        <v>20</v>
      </c>
      <c r="C25" s="273" t="str">
        <f>'Program Descriptions'!C24</f>
        <v>Empty</v>
      </c>
      <c r="D25" s="431">
        <v>0</v>
      </c>
      <c r="E25" s="431">
        <v>0</v>
      </c>
      <c r="G25" s="431">
        <v>0</v>
      </c>
      <c r="H25" s="177"/>
      <c r="K25" s="4"/>
      <c r="N25" s="333">
        <f t="shared" si="0"/>
        <v>0</v>
      </c>
    </row>
    <row r="26" spans="2:14" ht="15" customHeight="1" x14ac:dyDescent="0.2">
      <c r="B26" s="8"/>
      <c r="C26" s="277" t="s">
        <v>183</v>
      </c>
      <c r="D26" s="16">
        <f>SUM(D6:D25)</f>
        <v>29331.187999999998</v>
      </c>
      <c r="E26" s="16">
        <f>SUM(E6:E25)</f>
        <v>38312140</v>
      </c>
      <c r="G26" s="16">
        <f>SUM(G6:G25)</f>
        <v>26851</v>
      </c>
      <c r="H26" s="16"/>
      <c r="K26" s="4"/>
      <c r="N26" s="2">
        <f>SUM(N6:N25)</f>
        <v>8</v>
      </c>
    </row>
    <row r="27" spans="2:14" ht="15" customHeight="1" x14ac:dyDescent="0.2">
      <c r="B27" s="8"/>
      <c r="C27" s="277"/>
      <c r="D27" s="11"/>
      <c r="E27" s="11"/>
      <c r="F27" s="11"/>
      <c r="G27" s="11"/>
      <c r="K27" s="4"/>
    </row>
    <row r="28" spans="2:14" ht="15" customHeight="1" x14ac:dyDescent="0.2">
      <c r="B28" s="5"/>
      <c r="C28" s="6"/>
      <c r="D28" s="6"/>
      <c r="E28" s="6"/>
      <c r="F28" s="6"/>
      <c r="G28" s="6"/>
      <c r="H28" s="6"/>
      <c r="I28" s="6"/>
      <c r="J28" s="6"/>
      <c r="K28" s="7"/>
    </row>
    <row r="29" spans="2:14" ht="15" customHeight="1" x14ac:dyDescent="0.2"/>
    <row r="30" spans="2:14" ht="15" customHeight="1" x14ac:dyDescent="0.2"/>
    <row r="31" spans="2:14" ht="15" customHeight="1" x14ac:dyDescent="0.2"/>
    <row r="32" spans="2: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sheetData>
  <sheetProtection password="C925" sheet="1" objects="1" scenarios="1" formatRows="0"/>
  <conditionalFormatting sqref="D6:D25">
    <cfRule type="expression" dxfId="86" priority="69">
      <formula>Demand_1=NG_Demand</formula>
    </cfRule>
  </conditionalFormatting>
  <conditionalFormatting sqref="D6:E25 G6:H25">
    <cfRule type="expression" dxfId="85" priority="2">
      <formula>$B6&gt;Programs</formula>
    </cfRule>
  </conditionalFormatting>
  <dataValidations count="1">
    <dataValidation type="list" allowBlank="1" showInputMessage="1" showErrorMessage="1" sqref="H6:H25" xr:uid="{00000000-0002-0000-0700-000000000000}">
      <formula1>Participant_List</formula1>
    </dataValidation>
  </dataValidations>
  <pageMargins left="0.25" right="0.25" top="0.25" bottom="0.2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K104"/>
  <sheetViews>
    <sheetView showGridLines="0" showRowColHeaders="0" zoomScaleNormal="100" workbookViewId="0">
      <pane ySplit="2" topLeftCell="A3" activePane="bottomLeft" state="frozen"/>
      <selection pane="bottomLeft" activeCell="H7" sqref="H7"/>
    </sheetView>
  </sheetViews>
  <sheetFormatPr defaultColWidth="9.140625" defaultRowHeight="12.75" x14ac:dyDescent="0.2"/>
  <cols>
    <col min="1" max="1" width="1" style="2" customWidth="1"/>
    <col min="2" max="2" width="3.85546875" style="2" customWidth="1"/>
    <col min="3" max="3" width="21" style="2" customWidth="1"/>
    <col min="4" max="8" width="15.85546875" style="2" customWidth="1"/>
    <col min="9" max="9" width="13.140625" style="2" customWidth="1"/>
    <col min="10" max="10" width="5.85546875" style="2" customWidth="1"/>
    <col min="11" max="11" width="10.42578125" style="2" customWidth="1"/>
    <col min="12" max="12" width="1" style="2" customWidth="1"/>
    <col min="13" max="13" width="16" style="2" customWidth="1"/>
    <col min="14" max="16384" width="9.140625" style="2"/>
  </cols>
  <sheetData>
    <row r="1" spans="2:11" ht="28.5" customHeight="1" x14ac:dyDescent="0.2"/>
    <row r="2" spans="2:11" ht="64.5" customHeight="1" x14ac:dyDescent="0.2">
      <c r="B2" s="508"/>
      <c r="C2" s="509"/>
      <c r="D2" s="509"/>
      <c r="E2" s="509"/>
      <c r="F2" s="509"/>
      <c r="G2" s="509"/>
      <c r="H2" s="509"/>
      <c r="I2" s="509"/>
      <c r="J2" s="509"/>
      <c r="K2" s="510"/>
    </row>
    <row r="3" spans="2:11" ht="7.5" customHeight="1" x14ac:dyDescent="0.2">
      <c r="B3" s="511"/>
      <c r="C3" s="347"/>
      <c r="D3" s="347"/>
      <c r="E3" s="347"/>
      <c r="F3" s="347"/>
      <c r="G3" s="347"/>
      <c r="H3" s="347"/>
      <c r="I3" s="347"/>
      <c r="J3" s="347"/>
      <c r="K3" s="512"/>
    </row>
    <row r="4" spans="2:11" ht="15" customHeight="1" x14ac:dyDescent="0.2">
      <c r="B4" s="3"/>
      <c r="K4" s="4"/>
    </row>
    <row r="5" spans="2:11" ht="15" customHeight="1" x14ac:dyDescent="0.2">
      <c r="B5" s="3"/>
      <c r="D5" s="17" t="s">
        <v>209</v>
      </c>
      <c r="E5" s="17" t="s">
        <v>210</v>
      </c>
      <c r="F5" s="17" t="s">
        <v>211</v>
      </c>
      <c r="G5" s="17" t="s">
        <v>212</v>
      </c>
      <c r="H5" s="17" t="s">
        <v>213</v>
      </c>
      <c r="K5" s="4"/>
    </row>
    <row r="6" spans="2:11" ht="15" customHeight="1" x14ac:dyDescent="0.25">
      <c r="B6" s="3"/>
      <c r="C6" s="9" t="s">
        <v>214</v>
      </c>
      <c r="D6" s="18">
        <f>External!F273</f>
        <v>32</v>
      </c>
      <c r="E6" s="18">
        <f>External!J273</f>
        <v>39</v>
      </c>
      <c r="F6" s="18">
        <f>External!L273</f>
        <v>134</v>
      </c>
      <c r="G6" s="18">
        <f>External!N273</f>
        <v>0</v>
      </c>
      <c r="H6" s="430">
        <v>23563.25</v>
      </c>
      <c r="K6" s="4"/>
    </row>
    <row r="7" spans="2:11" ht="15" customHeight="1" x14ac:dyDescent="0.2">
      <c r="B7" s="3"/>
      <c r="K7" s="4"/>
    </row>
    <row r="8" spans="2:11" ht="15" customHeight="1" x14ac:dyDescent="0.2">
      <c r="B8" s="3"/>
      <c r="K8" s="4"/>
    </row>
    <row r="9" spans="2:11" ht="15" customHeight="1" x14ac:dyDescent="0.2">
      <c r="B9" s="3"/>
      <c r="K9" s="4"/>
    </row>
    <row r="10" spans="2:11" ht="15" customHeight="1" x14ac:dyDescent="0.2">
      <c r="B10" s="3"/>
      <c r="K10" s="4"/>
    </row>
    <row r="11" spans="2:11" ht="15" customHeight="1" x14ac:dyDescent="0.2">
      <c r="B11" s="3"/>
      <c r="D11" s="17" t="s">
        <v>209</v>
      </c>
      <c r="E11" s="17" t="s">
        <v>210</v>
      </c>
      <c r="F11" s="17" t="s">
        <v>211</v>
      </c>
      <c r="G11" s="17" t="s">
        <v>212</v>
      </c>
      <c r="H11" s="17" t="s">
        <v>213</v>
      </c>
      <c r="K11" s="4"/>
    </row>
    <row r="12" spans="2:11" ht="15" customHeight="1" x14ac:dyDescent="0.25">
      <c r="B12" s="3"/>
      <c r="C12" s="9" t="s">
        <v>215</v>
      </c>
      <c r="D12" s="18">
        <f>Internal!F135</f>
        <v>65</v>
      </c>
      <c r="E12" s="18">
        <f>Internal!J135</f>
        <v>65</v>
      </c>
      <c r="F12" s="18">
        <f>Internal!L135</f>
        <v>77.5</v>
      </c>
      <c r="G12" s="18">
        <f>Internal!N135</f>
        <v>0</v>
      </c>
      <c r="H12" s="430">
        <v>43020.29</v>
      </c>
      <c r="K12" s="4"/>
    </row>
    <row r="13" spans="2:11" ht="15" customHeight="1" x14ac:dyDescent="0.2">
      <c r="B13" s="3"/>
      <c r="K13" s="4"/>
    </row>
    <row r="14" spans="2:11" ht="15" customHeight="1" x14ac:dyDescent="0.2">
      <c r="B14" s="3"/>
      <c r="K14" s="4"/>
    </row>
    <row r="15" spans="2:11" ht="15" customHeight="1" x14ac:dyDescent="0.2">
      <c r="B15" s="3"/>
      <c r="K15" s="4"/>
    </row>
    <row r="16" spans="2:11" ht="15" customHeight="1" x14ac:dyDescent="0.2">
      <c r="B16" s="3"/>
      <c r="K16" s="4"/>
    </row>
    <row r="17" spans="2:11" ht="15" customHeight="1" x14ac:dyDescent="0.2">
      <c r="B17" s="5"/>
      <c r="C17" s="6"/>
      <c r="D17" s="6"/>
      <c r="E17" s="6"/>
      <c r="F17" s="6"/>
      <c r="G17" s="6"/>
      <c r="H17" s="6"/>
      <c r="I17" s="6"/>
      <c r="J17" s="6"/>
      <c r="K17" s="7"/>
    </row>
    <row r="18" spans="2:11" ht="15" customHeight="1" x14ac:dyDescent="0.2"/>
    <row r="19" spans="2:11" ht="15" customHeight="1" x14ac:dyDescent="0.2"/>
    <row r="20" spans="2:11" ht="15" customHeight="1" x14ac:dyDescent="0.2"/>
    <row r="21" spans="2:11" ht="15" customHeight="1" x14ac:dyDescent="0.2"/>
    <row r="22" spans="2:11" ht="15" customHeight="1" x14ac:dyDescent="0.2"/>
    <row r="23" spans="2:11" ht="15" customHeight="1" x14ac:dyDescent="0.2"/>
    <row r="24" spans="2:11" ht="15" customHeight="1" x14ac:dyDescent="0.2"/>
    <row r="25" spans="2:11" ht="15" customHeight="1" x14ac:dyDescent="0.2"/>
    <row r="26" spans="2:11" ht="15" customHeight="1" x14ac:dyDescent="0.2"/>
    <row r="27" spans="2:11" ht="15" customHeight="1" x14ac:dyDescent="0.2"/>
    <row r="28" spans="2:11" ht="15" customHeight="1" x14ac:dyDescent="0.2"/>
    <row r="29" spans="2:11" ht="15" customHeight="1" x14ac:dyDescent="0.2"/>
    <row r="30" spans="2:11" ht="15" customHeight="1" x14ac:dyDescent="0.2"/>
    <row r="31" spans="2:11" ht="15" customHeight="1" x14ac:dyDescent="0.2"/>
    <row r="32" spans="2:11"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sheetData>
  <sheetProtection password="C925" sheet="1" objects="1" scenarios="1" formatRows="0"/>
  <pageMargins left="0.25" right="0.25" top="0.25" bottom="0.2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sisl xmlns:xsd="http://www.w3.org/2001/XMLSchema" xmlns:xsi="http://www.w3.org/2001/XMLSchema-instance" xmlns="http://www.boldonjames.com/2008/01/sie/internal/label" sislVersion="0" policy="e9c0b8d7-bdb4-4fd3-b62a-f50327aaefce" origin="userSelected">
  <element uid="50c31824-0780-4910-87d1-eaaffd182d42"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lOWMwYjhkNy1iZGI0LTRmZDMtYjYyYS1mNTAzMjdhYWVmY2UiIG9yaWdpbj0idXNlclNlbGVjdGVkIj48ZWxlbWVudCB1aWQ9IjUwYzMxODI0LTA3ODAtNDkxMC04N2QxLWVhYWZmZDE4MmQ0MiIgdmFsdWU9IiIgeG1sbnM9Imh0dHA6Ly93d3cuYm9sZG9uamFtZXMuY29tLzIwMDgvMDEvc2llL2ludGVybmFsL2xhYmVsIiAvPjwvc2lzbD48VXNlck5hbWU+Q09SUFxzMTM2NDAxPC9Vc2VyTmFtZT48RGF0ZVRpbWU+MS8yOC8yMDIyIDg6MTI6NTAgUE08L0RhdGVUaW1lPjxMYWJlbFN0cmluZz5BRVAgSW50ZXJuYWw8L0xhYmVsU3RyaW5nPjwvaXRlbT48L2xhYmVsSGlzdG9yeT4=</Value>
</WrappedLabelHistory>
</file>

<file path=customXml/item4.xml><?xml version="1.0" encoding="utf-8"?>
<ct:contentTypeSchema xmlns:ct="http://schemas.microsoft.com/office/2006/metadata/contentType" xmlns:ma="http://schemas.microsoft.com/office/2006/metadata/properties/metaAttributes" ct:_="" ma:_="" ma:contentTypeName="Document" ma:contentTypeID="0x010100B6C7537DC9B23246AC164108E4002886" ma:contentTypeVersion="16" ma:contentTypeDescription="Create a new document." ma:contentTypeScope="" ma:versionID="c91b1f220d1dcf85309035db528265e2">
  <xsd:schema xmlns:xsd="http://www.w3.org/2001/XMLSchema" xmlns:xs="http://www.w3.org/2001/XMLSchema" xmlns:p="http://schemas.microsoft.com/office/2006/metadata/properties" xmlns:ns2="6f908b40-2cb9-4c2c-8ff3-01c72760e953" xmlns:ns3="50842c65-1deb-4293-9610-9aa8284a50e4" targetNamespace="http://schemas.microsoft.com/office/2006/metadata/properties" ma:root="true" ma:fieldsID="4804f87d1f77994776b25c769abce0be" ns2:_="" ns3:_="">
    <xsd:import namespace="6f908b40-2cb9-4c2c-8ff3-01c72760e953"/>
    <xsd:import namespace="50842c65-1deb-4293-9610-9aa8284a50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908b40-2cb9-4c2c-8ff3-01c72760e9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93762f0-359f-42aa-bdeb-483d70a0143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42c65-1deb-4293-9610-9aa8284a50e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23d2efd-0de1-47cb-94bc-c1420ec3c90f}" ma:internalName="TaxCatchAll" ma:showField="CatchAllData" ma:web="50842c65-1deb-4293-9610-9aa8284a50e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6f908b40-2cb9-4c2c-8ff3-01c72760e953">
      <Terms xmlns="http://schemas.microsoft.com/office/infopath/2007/PartnerControls"/>
    </lcf76f155ced4ddcb4097134ff3c332f>
    <TaxCatchAll xmlns="50842c65-1deb-4293-9610-9aa8284a50e4" xsi:nil="true"/>
    <_Flow_SignoffStatus xmlns="6f908b40-2cb9-4c2c-8ff3-01c72760e953" xsi:nil="true"/>
  </documentManagement>
</p:properties>
</file>

<file path=customXml/itemProps1.xml><?xml version="1.0" encoding="utf-8"?>
<ds:datastoreItem xmlns:ds="http://schemas.openxmlformats.org/officeDocument/2006/customXml" ds:itemID="{DEA483DF-90E7-40DC-9F9A-C2671BA7E5A7}">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93181CE6-67E8-49D5-B0F3-BED0E8FC581D}">
  <ds:schemaRefs>
    <ds:schemaRef ds:uri="http://schemas.microsoft.com/sharepoint/v3/contenttype/forms"/>
  </ds:schemaRefs>
</ds:datastoreItem>
</file>

<file path=customXml/itemProps3.xml><?xml version="1.0" encoding="utf-8"?>
<ds:datastoreItem xmlns:ds="http://schemas.openxmlformats.org/officeDocument/2006/customXml" ds:itemID="{A4EC33A9-A659-4EA1-AB30-EC4BED607F02}">
  <ds:schemaRefs>
    <ds:schemaRef ds:uri="http://www.w3.org/2001/XMLSchema"/>
    <ds:schemaRef ds:uri="http://www.boldonjames.com/2016/02/Classifier/internal/wrappedLabelHistory"/>
  </ds:schemaRefs>
</ds:datastoreItem>
</file>

<file path=customXml/itemProps4.xml><?xml version="1.0" encoding="utf-8"?>
<ds:datastoreItem xmlns:ds="http://schemas.openxmlformats.org/officeDocument/2006/customXml" ds:itemID="{2512141E-6AC7-4653-BE4D-7922096EB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908b40-2cb9-4c2c-8ff3-01c72760e953"/>
    <ds:schemaRef ds:uri="50842c65-1deb-4293-9610-9aa8284a50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38FE48B-7438-4DD3-9D98-96D8DCE68E85}">
  <ds:schemaRefs>
    <ds:schemaRef ds:uri="http://schemas.microsoft.com/office/2006/metadata/properties"/>
    <ds:schemaRef ds:uri="http://schemas.microsoft.com/office/infopath/2007/PartnerControls"/>
    <ds:schemaRef ds:uri="6f908b40-2cb9-4c2c-8ff3-01c72760e953"/>
    <ds:schemaRef ds:uri="50842c65-1deb-4293-9610-9aa8284a50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26</vt:i4>
      </vt:variant>
    </vt:vector>
  </HeadingPairs>
  <TitlesOfParts>
    <vt:vector size="75" baseType="lpstr">
      <vt:lpstr>Instructions</vt:lpstr>
      <vt:lpstr>Main Menu</vt:lpstr>
      <vt:lpstr>Utility Information</vt:lpstr>
      <vt:lpstr>Program Descriptions</vt:lpstr>
      <vt:lpstr>Program Detail</vt:lpstr>
      <vt:lpstr>Budgets</vt:lpstr>
      <vt:lpstr>Rec1</vt:lpstr>
      <vt:lpstr>Savings &amp; Participants</vt:lpstr>
      <vt:lpstr>Training</vt:lpstr>
      <vt:lpstr>External</vt:lpstr>
      <vt:lpstr>Internal</vt:lpstr>
      <vt:lpstr>Not Used1</vt:lpstr>
      <vt:lpstr>Actual Expenses</vt:lpstr>
      <vt:lpstr>Rec2</vt:lpstr>
      <vt:lpstr>Evaluated Savings</vt:lpstr>
      <vt:lpstr>Savings Methodology</vt:lpstr>
      <vt:lpstr>Cost-Benefits</vt:lpstr>
      <vt:lpstr>Key Assumptions</vt:lpstr>
      <vt:lpstr>NEBs</vt:lpstr>
      <vt:lpstr>Other CB Test</vt:lpstr>
      <vt:lpstr>LCFC</vt:lpstr>
      <vt:lpstr>Incentives</vt:lpstr>
      <vt:lpstr>Not Used2</vt:lpstr>
      <vt:lpstr>Prior Year Progam</vt:lpstr>
      <vt:lpstr>Prior Year Portfolio</vt:lpstr>
      <vt:lpstr>Glossary</vt:lpstr>
      <vt:lpstr>Definition-Program Type</vt:lpstr>
      <vt:lpstr>Definition-Participants</vt:lpstr>
      <vt:lpstr>Definition-Res</vt:lpstr>
      <vt:lpstr>Definition-C&amp;I</vt:lpstr>
      <vt:lpstr>Definition-CS</vt:lpstr>
      <vt:lpstr>Cost</vt:lpstr>
      <vt:lpstr>List</vt:lpstr>
      <vt:lpstr>Data</vt:lpstr>
      <vt:lpstr>Order</vt:lpstr>
      <vt:lpstr>Tables</vt:lpstr>
      <vt:lpstr>Table 1</vt:lpstr>
      <vt:lpstr>Table 2</vt:lpstr>
      <vt:lpstr>Table 3</vt:lpstr>
      <vt:lpstr>Table 4</vt:lpstr>
      <vt:lpstr>Table 5</vt:lpstr>
      <vt:lpstr>Report 1</vt:lpstr>
      <vt:lpstr>Report 2</vt:lpstr>
      <vt:lpstr>Report 3</vt:lpstr>
      <vt:lpstr>PY Data</vt:lpstr>
      <vt:lpstr>Next Years</vt:lpstr>
      <vt:lpstr>Titles</vt:lpstr>
      <vt:lpstr>Incomplete</vt:lpstr>
      <vt:lpstr>Targets</vt:lpstr>
      <vt:lpstr>Demand_1</vt:lpstr>
      <vt:lpstr>Demand_2</vt:lpstr>
      <vt:lpstr>Discount_Rate</vt:lpstr>
      <vt:lpstr>Energy_1</vt:lpstr>
      <vt:lpstr>Energy_2</vt:lpstr>
      <vt:lpstr>F_Utility</vt:lpstr>
      <vt:lpstr>G_List</vt:lpstr>
      <vt:lpstr>NG_Demand</vt:lpstr>
      <vt:lpstr>Prg_Empty</vt:lpstr>
      <vt:lpstr>Prg_Year</vt:lpstr>
      <vt:lpstr>'Actual Expenses'!Print_Titles</vt:lpstr>
      <vt:lpstr>'Definition-C&amp;I'!Print_Titles</vt:lpstr>
      <vt:lpstr>'Definition-CS'!Print_Titles</vt:lpstr>
      <vt:lpstr>'Definition-Participants'!Print_Titles</vt:lpstr>
      <vt:lpstr>'Definition-Program Type'!Print_Titles</vt:lpstr>
      <vt:lpstr>'Definition-Res'!Print_Titles</vt:lpstr>
      <vt:lpstr>External!Print_Titles</vt:lpstr>
      <vt:lpstr>Glossary!Print_Titles</vt:lpstr>
      <vt:lpstr>Internal!Print_Titles</vt:lpstr>
      <vt:lpstr>'Program Detail'!Print_Titles</vt:lpstr>
      <vt:lpstr>'PY Data'!Print_Titles</vt:lpstr>
      <vt:lpstr>Status</vt:lpstr>
      <vt:lpstr>Target_Type</vt:lpstr>
      <vt:lpstr>Target_Year</vt:lpstr>
      <vt:lpstr>Targets</vt:lpstr>
      <vt:lpstr>Utility_Type</vt:lpstr>
    </vt:vector>
  </TitlesOfParts>
  <Manager/>
  <Company>Arkansas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MKLUCHER</dc:creator>
  <cp:keywords/>
  <dc:description/>
  <cp:lastModifiedBy>Daniel Sheppard</cp:lastModifiedBy>
  <cp:revision/>
  <dcterms:created xsi:type="dcterms:W3CDTF">2010-09-07T19:03:37Z</dcterms:created>
  <dcterms:modified xsi:type="dcterms:W3CDTF">2026-06-02T14:28:14Z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0x010100B6C7537DC9B23246AC164108E4002886</vt:lpwstr>
  </property>
  <property fmtid="{D5CDD505-2E9C-101B-9397-08002B2CF9AE}" pid="3" name="docIndexRef">
    <vt:lpwstr>0ac9ca63-df4f-453b-ad35-cc51f5dab044</vt:lpwstr>
  </property>
  <property fmtid="{D5CDD505-2E9C-101B-9397-08002B2CF9AE}" pid="4" name="bjSaver">
    <vt:lpwstr>2cg1mKRXJ0h7etiM0I12Yj2KmjwJahjY</vt:lpwstr>
  </property>
  <property fmtid="{D5CDD505-2E9C-101B-9397-08002B2CF9AE}" pid="5" name="bjDocumentSecurityLabel">
    <vt:lpwstr>AEP Internal</vt:lpwstr>
  </property>
  <property fmtid="{D5CDD505-2E9C-101B-9397-08002B2CF9AE}" pid="6" name="bjLabelHistoryID">
    <vt:lpwstr>{A4EC33A9-A659-4EA1-AB30-EC4BED607F02}</vt:lpwstr>
  </property>
  <property fmtid="{D5CDD505-2E9C-101B-9397-08002B2CF9AE}" pid="7" name="bjClsUserRVM">
    <vt:lpwstr>[]</vt:lpwstr>
  </property>
  <property fmtid="{D5CDD505-2E9C-101B-9397-08002B2CF9AE}" pid="8"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9" name="bjDocumentLabelXML-0">
    <vt:lpwstr>ames.com/2008/01/sie/internal/label"&gt;&lt;element uid="50c31824-0780-4910-87d1-eaaffd182d42" value="" /&gt;&lt;/sisl&gt;</vt:lpwstr>
  </property>
  <property fmtid="{D5CDD505-2E9C-101B-9397-08002B2CF9AE}" pid="10" name="MSIP_Label_69f43042-6bda-44b2-91eb-eca3d3d484f4_SiteId">
    <vt:lpwstr>15f3c881-6b03-4ff6-8559-77bf5177818f</vt:lpwstr>
  </property>
  <property fmtid="{D5CDD505-2E9C-101B-9397-08002B2CF9AE}" pid="11" name="MSIP_Label_69f43042-6bda-44b2-91eb-eca3d3d484f4_Name">
    <vt:lpwstr>AEP Internal</vt:lpwstr>
  </property>
  <property fmtid="{D5CDD505-2E9C-101B-9397-08002B2CF9AE}" pid="12" name="MSIP_Label_69f43042-6bda-44b2-91eb-eca3d3d484f4_Enabled">
    <vt:lpwstr>true</vt:lpwstr>
  </property>
  <property fmtid="{D5CDD505-2E9C-101B-9397-08002B2CF9AE}" pid="13" name="MediaServiceImageTags">
    <vt:lpwstr/>
  </property>
  <property fmtid="{D5CDD505-2E9C-101B-9397-08002B2CF9AE}" pid="14" name="bjpmDocIH">
    <vt:lpwstr>tMee0lY+QQaNhjKQa7tM5H9HydNafo19</vt:lpwstr>
  </property>
</Properties>
</file>