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APSCSVR2\Cost Allocation and Rate Design\AAA CARD - New PRIMARY 2-28-2025\Energy Efficiency\EE Dockets - TF\EE Ann. Reports + EECR\Filing Year 2026\07-081-TF Summit\Company Files\"/>
    </mc:Choice>
  </mc:AlternateContent>
  <xr:revisionPtr revIDLastSave="0" documentId="8_{D9DEAEE9-2125-4E8E-82F6-64EA73DA6985}" xr6:coauthVersionLast="47" xr6:coauthVersionMax="47" xr10:uidLastSave="{00000000-0000-0000-0000-000000000000}"/>
  <bookViews>
    <workbookView showHorizontalScroll="0" showVerticalScroll="0" xWindow="-120" yWindow="-120" windowWidth="29040" windowHeight="15720" tabRatio="769"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LCFC" sheetId="63" r:id="rId21"/>
    <sheet name="Incentives" sheetId="64" r:id="rId22"/>
    <sheet name="Carbon Calculator" sheetId="100" r:id="rId23"/>
    <sheet name="Not Used" sheetId="58" r:id="rId24"/>
    <sheet name="Prior Year Progam" sheetId="75" r:id="rId25"/>
    <sheet name="Prior Year Portfolio" sheetId="94" r:id="rId26"/>
    <sheet name="Glossary" sheetId="66" r:id="rId27"/>
    <sheet name="Definition-Program Type" sheetId="84" r:id="rId28"/>
    <sheet name="Definition-Participants" sheetId="98" r:id="rId29"/>
    <sheet name="Definition-Res" sheetId="88" r:id="rId30"/>
    <sheet name="Definition-C&amp;I" sheetId="89" r:id="rId31"/>
    <sheet name="Definition-CS" sheetId="90" r:id="rId32"/>
    <sheet name="Cost" sheetId="49" r:id="rId33"/>
    <sheet name="List" sheetId="65" r:id="rId34"/>
    <sheet name="Data" sheetId="78" r:id="rId35"/>
    <sheet name="Order" sheetId="77" state="hidden" r:id="rId36"/>
    <sheet name="Tables" sheetId="79" r:id="rId37"/>
    <sheet name="Table 1" sheetId="82" r:id="rId38"/>
    <sheet name="Table 2" sheetId="76" r:id="rId39"/>
    <sheet name="Table 3" sheetId="80" r:id="rId40"/>
    <sheet name="Table 4" sheetId="81" r:id="rId41"/>
    <sheet name="Table 5" sheetId="86" r:id="rId42"/>
    <sheet name="Report 1" sheetId="83" r:id="rId43"/>
    <sheet name="Report 2" sheetId="92" r:id="rId44"/>
    <sheet name="Report 3" sheetId="95" r:id="rId45"/>
    <sheet name="PY Data" sheetId="91" r:id="rId46"/>
    <sheet name="Next Years" sheetId="87" r:id="rId47"/>
    <sheet name="Titles" sheetId="45" r:id="rId48"/>
    <sheet name="Incomplete" sheetId="97" r:id="rId49"/>
    <sheet name="Targets" sheetId="93" r:id="rId50"/>
  </sheets>
  <definedNames>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30">'Definition-C&amp;I'!$2:$3</definedName>
    <definedName name="_xlnm.Print_Titles" localSheetId="31">'Definition-CS'!$2:$3</definedName>
    <definedName name="_xlnm.Print_Titles" localSheetId="28">'Definition-Participants'!$2:$3</definedName>
    <definedName name="_xlnm.Print_Titles" localSheetId="27">'Definition-Program Type'!$2:$3</definedName>
    <definedName name="_xlnm.Print_Titles" localSheetId="29">'Definition-Res'!$2:$3</definedName>
    <definedName name="_xlnm.Print_Titles" localSheetId="9">External!$6:$6</definedName>
    <definedName name="_xlnm.Print_Titles" localSheetId="26">Glossary!$2:$3</definedName>
    <definedName name="_xlnm.Print_Titles" localSheetId="10">Internal!$6:$6</definedName>
    <definedName name="_xlnm.Print_Titles" localSheetId="4">'Program Detail'!$B:$C</definedName>
    <definedName name="_xlnm.Print_Titles" localSheetId="45">'PY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1" l="1"/>
  <c r="C12" i="75" l="1"/>
  <c r="D12" i="75"/>
  <c r="F7" i="75" l="1"/>
  <c r="C25" i="99" l="1"/>
  <c r="D25" i="99"/>
  <c r="C26" i="99"/>
  <c r="D26" i="99"/>
  <c r="C27" i="99"/>
  <c r="D27" i="99"/>
  <c r="C28" i="99"/>
  <c r="D28" i="99"/>
  <c r="C29" i="99"/>
  <c r="D29" i="99"/>
  <c r="C30" i="99"/>
  <c r="D30" i="99"/>
  <c r="C31" i="99"/>
  <c r="D31" i="99"/>
  <c r="C32" i="99"/>
  <c r="D32" i="99"/>
  <c r="C33" i="99"/>
  <c r="D33" i="99"/>
  <c r="C34" i="99"/>
  <c r="D34" i="99"/>
  <c r="C35" i="99"/>
  <c r="D35" i="99"/>
  <c r="C36" i="99"/>
  <c r="D36" i="99"/>
  <c r="C37" i="99"/>
  <c r="D37" i="99"/>
  <c r="C38" i="99"/>
  <c r="D38" i="99"/>
  <c r="C39" i="99"/>
  <c r="D39" i="99"/>
  <c r="C40" i="99"/>
  <c r="D40" i="99"/>
  <c r="C41" i="99"/>
  <c r="D41" i="99"/>
  <c r="C42" i="99"/>
  <c r="D42" i="99"/>
  <c r="C43" i="99"/>
  <c r="D43" i="99"/>
  <c r="C44" i="99"/>
  <c r="D44" i="99"/>
  <c r="C45" i="99"/>
  <c r="D45" i="99"/>
  <c r="C46" i="99"/>
  <c r="D46" i="99"/>
  <c r="C47" i="99"/>
  <c r="D47" i="99"/>
  <c r="C48" i="99"/>
  <c r="D48" i="99"/>
  <c r="C49" i="99"/>
  <c r="D49" i="99"/>
  <c r="C50" i="99"/>
  <c r="D50" i="99"/>
  <c r="C51" i="99"/>
  <c r="D51" i="99"/>
  <c r="C52" i="99"/>
  <c r="D52" i="99"/>
  <c r="C53" i="99"/>
  <c r="D53" i="99"/>
  <c r="C54" i="99"/>
  <c r="D54" i="99"/>
  <c r="F55" i="99"/>
  <c r="J55" i="99"/>
  <c r="L55" i="99"/>
  <c r="N55" i="99"/>
  <c r="C7" i="69"/>
  <c r="D7" i="69"/>
  <c r="C8" i="69"/>
  <c r="D8" i="69"/>
  <c r="C9" i="69"/>
  <c r="D9" i="69"/>
  <c r="C10" i="69"/>
  <c r="D10" i="69"/>
  <c r="C11" i="69"/>
  <c r="D11" i="69"/>
  <c r="C12" i="69"/>
  <c r="D12" i="69"/>
  <c r="C13" i="69"/>
  <c r="D13" i="69"/>
  <c r="C18" i="69"/>
  <c r="C19" i="69"/>
  <c r="C20" i="69"/>
  <c r="C21" i="69"/>
  <c r="C22" i="69"/>
  <c r="C23" i="69"/>
  <c r="F7" i="68" l="1"/>
  <c r="F6" i="68"/>
  <c r="F5" i="68"/>
  <c r="G6" i="68"/>
  <c r="G5" i="68"/>
  <c r="H14" i="60" l="1"/>
  <c r="H6" i="60"/>
  <c r="I6" i="60"/>
  <c r="H10" i="60"/>
  <c r="I8" i="60"/>
  <c r="H27" i="62" l="1"/>
  <c r="C8" i="52"/>
  <c r="B7" i="78"/>
  <c r="B6" i="77"/>
  <c r="C9" i="52"/>
  <c r="B8" i="78"/>
  <c r="B7" i="77"/>
  <c r="C10" i="52"/>
  <c r="B9" i="78"/>
  <c r="B8" i="77"/>
  <c r="C11" i="52"/>
  <c r="B10" i="78"/>
  <c r="B9" i="77"/>
  <c r="C12" i="52"/>
  <c r="B11" i="78"/>
  <c r="B10" i="77"/>
  <c r="C13" i="52"/>
  <c r="B12" i="78"/>
  <c r="B11" i="77"/>
  <c r="C14" i="52"/>
  <c r="B13" i="78"/>
  <c r="B12" i="77"/>
  <c r="C15" i="52"/>
  <c r="B14" i="78"/>
  <c r="B13" i="77"/>
  <c r="C16" i="52"/>
  <c r="B15" i="78"/>
  <c r="B14" i="77"/>
  <c r="C17" i="52"/>
  <c r="B16" i="78"/>
  <c r="B15" i="77"/>
  <c r="C18" i="52"/>
  <c r="B17" i="78"/>
  <c r="B16" i="77"/>
  <c r="B4" i="78"/>
  <c r="B3" i="77"/>
  <c r="B5" i="78"/>
  <c r="B4" i="77"/>
  <c r="B6" i="78"/>
  <c r="B5" i="77"/>
  <c r="C19" i="52"/>
  <c r="B18" i="78"/>
  <c r="B17" i="77"/>
  <c r="C20" i="52"/>
  <c r="B19" i="78"/>
  <c r="B18" i="77"/>
  <c r="C21" i="52"/>
  <c r="B20" i="78"/>
  <c r="B19" i="77"/>
  <c r="C22" i="52"/>
  <c r="B21" i="78"/>
  <c r="B20" i="77"/>
  <c r="C23" i="52"/>
  <c r="B22" i="78"/>
  <c r="B21" i="77"/>
  <c r="C24" i="52"/>
  <c r="B23" i="78"/>
  <c r="B22" i="77"/>
  <c r="A3" i="77"/>
  <c r="A4" i="77"/>
  <c r="A5" i="77"/>
  <c r="A6" i="77"/>
  <c r="A7" i="77"/>
  <c r="A8" i="77"/>
  <c r="A9" i="77"/>
  <c r="A10" i="77"/>
  <c r="A11" i="77"/>
  <c r="A12" i="77"/>
  <c r="A13" i="77"/>
  <c r="A14" i="77"/>
  <c r="A15" i="77"/>
  <c r="A16" i="77"/>
  <c r="A17" i="77"/>
  <c r="A18" i="77"/>
  <c r="A19" i="77"/>
  <c r="A20" i="77"/>
  <c r="A21" i="77"/>
  <c r="A22" i="77"/>
  <c r="C3" i="77"/>
  <c r="D3" i="77"/>
  <c r="F3" i="77"/>
  <c r="C4" i="77"/>
  <c r="D4" i="77"/>
  <c r="F4" i="77"/>
  <c r="C5" i="77"/>
  <c r="D5" i="77"/>
  <c r="F5" i="77"/>
  <c r="C6" i="77"/>
  <c r="D6" i="77"/>
  <c r="F6" i="77"/>
  <c r="C7" i="77"/>
  <c r="D7" i="77"/>
  <c r="F7" i="77"/>
  <c r="C8" i="77"/>
  <c r="D8" i="77"/>
  <c r="F8" i="77"/>
  <c r="C9" i="77"/>
  <c r="D9" i="77"/>
  <c r="F9" i="77"/>
  <c r="C10" i="77"/>
  <c r="D10" i="77"/>
  <c r="F10" i="77"/>
  <c r="C11" i="77"/>
  <c r="D11" i="77"/>
  <c r="F11" i="77"/>
  <c r="C12" i="77"/>
  <c r="D12" i="77"/>
  <c r="F12" i="77"/>
  <c r="C13" i="77"/>
  <c r="D13" i="77"/>
  <c r="F13" i="77"/>
  <c r="C14" i="77"/>
  <c r="D14" i="77"/>
  <c r="F14" i="77"/>
  <c r="C15" i="77"/>
  <c r="D15" i="77"/>
  <c r="F15" i="77"/>
  <c r="C16" i="77"/>
  <c r="D16" i="77"/>
  <c r="F16" i="77"/>
  <c r="C17" i="77"/>
  <c r="D17" i="77"/>
  <c r="F17" i="77"/>
  <c r="C18" i="77"/>
  <c r="D18" i="77"/>
  <c r="F18" i="77"/>
  <c r="C19" i="77"/>
  <c r="D19" i="77"/>
  <c r="F19" i="77"/>
  <c r="C20" i="77"/>
  <c r="C5" i="78"/>
  <c r="D20" i="77"/>
  <c r="F20" i="77" s="1"/>
  <c r="E5" i="78"/>
  <c r="E20" i="77"/>
  <c r="C21" i="77"/>
  <c r="C6" i="78"/>
  <c r="C31" i="78" s="1"/>
  <c r="D21" i="77"/>
  <c r="E6" i="78"/>
  <c r="E21" i="77" s="1"/>
  <c r="C22" i="77"/>
  <c r="C4" i="78"/>
  <c r="D22" i="77"/>
  <c r="F22" i="77" s="1"/>
  <c r="E4" i="78"/>
  <c r="E22" i="77"/>
  <c r="I8" i="53"/>
  <c r="C8" i="53"/>
  <c r="N8" i="53"/>
  <c r="J7" i="78"/>
  <c r="I7" i="78"/>
  <c r="H7" i="78"/>
  <c r="G7" i="78"/>
  <c r="F7" i="78"/>
  <c r="J7" i="62"/>
  <c r="F13" i="60"/>
  <c r="F17" i="60"/>
  <c r="F21" i="60"/>
  <c r="F25" i="60"/>
  <c r="F29" i="60"/>
  <c r="F33" i="60"/>
  <c r="F37" i="60"/>
  <c r="F41" i="60"/>
  <c r="F45" i="60"/>
  <c r="F49" i="60"/>
  <c r="F53" i="60"/>
  <c r="F57" i="60"/>
  <c r="F61" i="60"/>
  <c r="F65" i="60"/>
  <c r="F69" i="60"/>
  <c r="F73" i="60"/>
  <c r="F77" i="60"/>
  <c r="F81" i="60"/>
  <c r="D17" i="60"/>
  <c r="D21" i="60"/>
  <c r="D25" i="60"/>
  <c r="D29" i="60"/>
  <c r="D33" i="60"/>
  <c r="D37" i="60"/>
  <c r="D41" i="60"/>
  <c r="D45" i="60"/>
  <c r="D49" i="60"/>
  <c r="D53" i="60"/>
  <c r="D57" i="60"/>
  <c r="D61" i="60"/>
  <c r="D65" i="60"/>
  <c r="D69" i="60"/>
  <c r="D73" i="60"/>
  <c r="D77" i="60"/>
  <c r="D81" i="60"/>
  <c r="E17" i="60"/>
  <c r="E21" i="60"/>
  <c r="E25" i="60"/>
  <c r="E29" i="60"/>
  <c r="E33" i="60"/>
  <c r="E37" i="60"/>
  <c r="E41" i="60"/>
  <c r="E45" i="60"/>
  <c r="E49" i="60"/>
  <c r="E53" i="60"/>
  <c r="E57" i="60"/>
  <c r="E61" i="60"/>
  <c r="E65" i="60"/>
  <c r="E69" i="60"/>
  <c r="E73" i="60"/>
  <c r="E77" i="60"/>
  <c r="E81" i="60"/>
  <c r="G17" i="60"/>
  <c r="G21" i="60"/>
  <c r="G25" i="60"/>
  <c r="G29" i="60"/>
  <c r="G33" i="60"/>
  <c r="G37" i="60"/>
  <c r="G41" i="60"/>
  <c r="G45" i="60"/>
  <c r="G49" i="60"/>
  <c r="G53" i="60"/>
  <c r="G57" i="60"/>
  <c r="G61" i="60"/>
  <c r="G65" i="60"/>
  <c r="G69" i="60"/>
  <c r="G73" i="60"/>
  <c r="G77" i="60"/>
  <c r="G81" i="60"/>
  <c r="H17" i="60"/>
  <c r="H21" i="60"/>
  <c r="H25" i="60"/>
  <c r="H29" i="60"/>
  <c r="H33" i="60"/>
  <c r="H37" i="60"/>
  <c r="H41" i="60"/>
  <c r="H45" i="60"/>
  <c r="H49" i="60"/>
  <c r="H53" i="60"/>
  <c r="H57" i="60"/>
  <c r="H61" i="60"/>
  <c r="H65" i="60"/>
  <c r="H69" i="60"/>
  <c r="H73" i="60"/>
  <c r="H77" i="60"/>
  <c r="H81" i="60"/>
  <c r="I10" i="60"/>
  <c r="I11" i="60"/>
  <c r="I12" i="60"/>
  <c r="H7" i="75"/>
  <c r="C7" i="99"/>
  <c r="C8" i="99"/>
  <c r="C9" i="99"/>
  <c r="D9" i="99"/>
  <c r="C10" i="99"/>
  <c r="C11" i="99"/>
  <c r="C12" i="99"/>
  <c r="D12" i="99"/>
  <c r="C13" i="99"/>
  <c r="D13" i="99"/>
  <c r="C14" i="99"/>
  <c r="D14" i="99"/>
  <c r="C15" i="99"/>
  <c r="D15" i="99"/>
  <c r="C16" i="99"/>
  <c r="D16" i="99"/>
  <c r="C17" i="99"/>
  <c r="D17" i="99"/>
  <c r="C18" i="99"/>
  <c r="D18" i="99"/>
  <c r="C19" i="99"/>
  <c r="D19" i="99"/>
  <c r="C20" i="99"/>
  <c r="D20" i="99"/>
  <c r="C21" i="99"/>
  <c r="D21" i="99"/>
  <c r="C22" i="99"/>
  <c r="D22" i="99"/>
  <c r="C23" i="99"/>
  <c r="D23" i="99"/>
  <c r="C24" i="99"/>
  <c r="D24" i="99"/>
  <c r="E41" i="100"/>
  <c r="E29" i="100"/>
  <c r="E17" i="100"/>
  <c r="H14" i="100"/>
  <c r="H13" i="100"/>
  <c r="H12" i="100"/>
  <c r="D25" i="100"/>
  <c r="H11" i="100"/>
  <c r="H10" i="100"/>
  <c r="H9" i="100"/>
  <c r="H8" i="100"/>
  <c r="H7" i="100"/>
  <c r="H6" i="100"/>
  <c r="H5" i="100"/>
  <c r="D47" i="100"/>
  <c r="D30" i="100"/>
  <c r="E20" i="100"/>
  <c r="D26" i="100"/>
  <c r="D20" i="100"/>
  <c r="D36" i="100"/>
  <c r="D44" i="100"/>
  <c r="D49" i="100"/>
  <c r="E23" i="100"/>
  <c r="E26" i="100"/>
  <c r="E18" i="100"/>
  <c r="E21" i="100"/>
  <c r="E24" i="100"/>
  <c r="E19" i="100"/>
  <c r="D21" i="100"/>
  <c r="F17" i="100"/>
  <c r="F20" i="100"/>
  <c r="D31" i="100"/>
  <c r="D33" i="100"/>
  <c r="D38" i="100"/>
  <c r="D50" i="100"/>
  <c r="D23" i="100"/>
  <c r="D19" i="100"/>
  <c r="E22" i="100"/>
  <c r="D22" i="100"/>
  <c r="E25" i="100"/>
  <c r="D18" i="100"/>
  <c r="D24" i="100"/>
  <c r="D35" i="100"/>
  <c r="D46" i="100"/>
  <c r="D32" i="100"/>
  <c r="F41" i="100"/>
  <c r="D43" i="100"/>
  <c r="D37" i="100"/>
  <c r="D48" i="100"/>
  <c r="D34" i="100"/>
  <c r="D45" i="100"/>
  <c r="F29" i="100"/>
  <c r="D42" i="100"/>
  <c r="E45" i="100"/>
  <c r="E48" i="100"/>
  <c r="E43" i="100"/>
  <c r="G41" i="100"/>
  <c r="E46" i="100"/>
  <c r="E49" i="100"/>
  <c r="E44" i="100"/>
  <c r="E47" i="100"/>
  <c r="E42" i="100"/>
  <c r="E50" i="100"/>
  <c r="E34" i="100"/>
  <c r="E37" i="100"/>
  <c r="E32" i="100"/>
  <c r="E35" i="100"/>
  <c r="E38" i="100"/>
  <c r="E30" i="100"/>
  <c r="G29" i="100"/>
  <c r="E33" i="100"/>
  <c r="E36" i="100"/>
  <c r="E31" i="100"/>
  <c r="D51" i="100"/>
  <c r="E27" i="100"/>
  <c r="D27" i="100"/>
  <c r="F26" i="100"/>
  <c r="F18" i="100"/>
  <c r="F21" i="100"/>
  <c r="F24" i="100"/>
  <c r="F19" i="100"/>
  <c r="F22" i="100"/>
  <c r="G17" i="100"/>
  <c r="F25" i="100"/>
  <c r="F23" i="100"/>
  <c r="D39" i="100"/>
  <c r="F27" i="100"/>
  <c r="F48" i="100"/>
  <c r="F43" i="100"/>
  <c r="H41" i="100"/>
  <c r="F46" i="100"/>
  <c r="F49" i="100"/>
  <c r="F44" i="100"/>
  <c r="F47" i="100"/>
  <c r="F42" i="100"/>
  <c r="F50" i="100"/>
  <c r="F45" i="100"/>
  <c r="G21" i="100"/>
  <c r="G24" i="100"/>
  <c r="G19" i="100"/>
  <c r="G22" i="100"/>
  <c r="G25" i="100"/>
  <c r="G20" i="100"/>
  <c r="G26" i="100"/>
  <c r="G23" i="100"/>
  <c r="G18" i="100"/>
  <c r="H17" i="100"/>
  <c r="F37" i="100"/>
  <c r="F32" i="100"/>
  <c r="F35" i="100"/>
  <c r="F38" i="100"/>
  <c r="F30" i="100"/>
  <c r="F33" i="100"/>
  <c r="F36" i="100"/>
  <c r="F31" i="100"/>
  <c r="H29" i="100"/>
  <c r="F34" i="100"/>
  <c r="E39" i="100"/>
  <c r="E51" i="100"/>
  <c r="F51" i="100"/>
  <c r="G32" i="100"/>
  <c r="G35" i="100"/>
  <c r="G38" i="100"/>
  <c r="G30" i="100"/>
  <c r="G33" i="100"/>
  <c r="G36" i="100"/>
  <c r="I29" i="100"/>
  <c r="G34" i="100"/>
  <c r="G31" i="100"/>
  <c r="G37" i="100"/>
  <c r="H24" i="100"/>
  <c r="H19" i="100"/>
  <c r="H22" i="100"/>
  <c r="H25" i="100"/>
  <c r="H20" i="100"/>
  <c r="H23" i="100"/>
  <c r="H18" i="100"/>
  <c r="H26" i="100"/>
  <c r="H21" i="100"/>
  <c r="I17" i="100"/>
  <c r="G27" i="100"/>
  <c r="G43" i="100"/>
  <c r="I41" i="100"/>
  <c r="G46" i="100"/>
  <c r="G49" i="100"/>
  <c r="G44" i="100"/>
  <c r="G47" i="100"/>
  <c r="G42" i="100"/>
  <c r="G50" i="100"/>
  <c r="G45" i="100"/>
  <c r="G48" i="100"/>
  <c r="F39" i="100"/>
  <c r="H27" i="100"/>
  <c r="I19" i="100"/>
  <c r="I22" i="100"/>
  <c r="J17" i="100"/>
  <c r="I25" i="100"/>
  <c r="I20" i="100"/>
  <c r="I23" i="100"/>
  <c r="I26" i="100"/>
  <c r="I21" i="100"/>
  <c r="I18" i="100"/>
  <c r="I24" i="100"/>
  <c r="H46" i="100"/>
  <c r="H49" i="100"/>
  <c r="H44" i="100"/>
  <c r="H47" i="100"/>
  <c r="H50" i="100"/>
  <c r="H42" i="100"/>
  <c r="H45" i="100"/>
  <c r="J41" i="100"/>
  <c r="H48" i="100"/>
  <c r="H43" i="100"/>
  <c r="G39" i="100"/>
  <c r="H35" i="100"/>
  <c r="H38" i="100"/>
  <c r="H30" i="100"/>
  <c r="H33" i="100"/>
  <c r="H36" i="100"/>
  <c r="H31" i="100"/>
  <c r="J29" i="100"/>
  <c r="H32" i="100"/>
  <c r="H34" i="100"/>
  <c r="H37" i="100"/>
  <c r="G51" i="100"/>
  <c r="I49" i="100"/>
  <c r="I44" i="100"/>
  <c r="I47" i="100"/>
  <c r="I50" i="100"/>
  <c r="I42" i="100"/>
  <c r="I45" i="100"/>
  <c r="I43" i="100"/>
  <c r="K41" i="100"/>
  <c r="I48" i="100"/>
  <c r="I46" i="100"/>
  <c r="H39" i="100"/>
  <c r="J22" i="100"/>
  <c r="J25" i="100"/>
  <c r="J20" i="100"/>
  <c r="J23" i="100"/>
  <c r="J26" i="100"/>
  <c r="J18" i="100"/>
  <c r="J24" i="100"/>
  <c r="J19" i="100"/>
  <c r="K17" i="100"/>
  <c r="J21" i="100"/>
  <c r="I27" i="100"/>
  <c r="H51" i="100"/>
  <c r="I38" i="100"/>
  <c r="I30" i="100"/>
  <c r="I33" i="100"/>
  <c r="I36" i="100"/>
  <c r="I31" i="100"/>
  <c r="K29" i="100"/>
  <c r="I34" i="100"/>
  <c r="I37" i="100"/>
  <c r="I32" i="100"/>
  <c r="I35" i="100"/>
  <c r="I51" i="100"/>
  <c r="I39" i="100"/>
  <c r="K25" i="100"/>
  <c r="K20" i="100"/>
  <c r="K23" i="100"/>
  <c r="K26" i="100"/>
  <c r="K18" i="100"/>
  <c r="K21" i="100"/>
  <c r="K24" i="100"/>
  <c r="K22" i="100"/>
  <c r="K19" i="100"/>
  <c r="L17" i="100"/>
  <c r="J27" i="100"/>
  <c r="J33" i="100"/>
  <c r="J36" i="100"/>
  <c r="J31" i="100"/>
  <c r="L29" i="100"/>
  <c r="J34" i="100"/>
  <c r="J37" i="100"/>
  <c r="J32" i="100"/>
  <c r="J38" i="100"/>
  <c r="J35" i="100"/>
  <c r="J30" i="100"/>
  <c r="J44" i="100"/>
  <c r="J47" i="100"/>
  <c r="J50" i="100"/>
  <c r="J42" i="100"/>
  <c r="J45" i="100"/>
  <c r="J48" i="100"/>
  <c r="L41" i="100"/>
  <c r="J43" i="100"/>
  <c r="J46" i="100"/>
  <c r="J49" i="100"/>
  <c r="K27" i="100"/>
  <c r="J39" i="100"/>
  <c r="K47" i="100"/>
  <c r="K50" i="100"/>
  <c r="K42" i="100"/>
  <c r="K45" i="100"/>
  <c r="K48" i="100"/>
  <c r="K43" i="100"/>
  <c r="M41" i="100"/>
  <c r="K46" i="100"/>
  <c r="K49" i="100"/>
  <c r="K44" i="100"/>
  <c r="J51" i="100"/>
  <c r="L20" i="100"/>
  <c r="L23" i="100"/>
  <c r="L26" i="100"/>
  <c r="L18" i="100"/>
  <c r="L21" i="100"/>
  <c r="L24" i="100"/>
  <c r="L22" i="100"/>
  <c r="L25" i="100"/>
  <c r="L19" i="100"/>
  <c r="M17" i="100"/>
  <c r="K36" i="100"/>
  <c r="K31" i="100"/>
  <c r="M29" i="100"/>
  <c r="K34" i="100"/>
  <c r="K37" i="100"/>
  <c r="K32" i="100"/>
  <c r="K35" i="100"/>
  <c r="K30" i="100"/>
  <c r="K38" i="100"/>
  <c r="K33" i="100"/>
  <c r="K39" i="100"/>
  <c r="K51" i="100"/>
  <c r="M23" i="100"/>
  <c r="M26" i="100"/>
  <c r="M18" i="100"/>
  <c r="M21" i="100"/>
  <c r="M24" i="100"/>
  <c r="M19" i="100"/>
  <c r="M25" i="100"/>
  <c r="M22" i="100"/>
  <c r="N17" i="100"/>
  <c r="M20" i="100"/>
  <c r="L31" i="100"/>
  <c r="N29" i="100"/>
  <c r="L34" i="100"/>
  <c r="L37" i="100"/>
  <c r="L32" i="100"/>
  <c r="L35" i="100"/>
  <c r="L30" i="100"/>
  <c r="L38" i="100"/>
  <c r="L33" i="100"/>
  <c r="L36" i="100"/>
  <c r="L27" i="100"/>
  <c r="L50" i="100"/>
  <c r="L42" i="100"/>
  <c r="L45" i="100"/>
  <c r="L48" i="100"/>
  <c r="L43" i="100"/>
  <c r="N41" i="100"/>
  <c r="L46" i="100"/>
  <c r="L49" i="100"/>
  <c r="L44" i="100"/>
  <c r="L47" i="100"/>
  <c r="M34" i="100"/>
  <c r="M37" i="100"/>
  <c r="M32" i="100"/>
  <c r="M35" i="100"/>
  <c r="M38" i="100"/>
  <c r="M30" i="100"/>
  <c r="M33" i="100"/>
  <c r="O29" i="100"/>
  <c r="M36" i="100"/>
  <c r="M31" i="100"/>
  <c r="M27" i="100"/>
  <c r="L39" i="100"/>
  <c r="N26" i="100"/>
  <c r="N18" i="100"/>
  <c r="N21" i="100"/>
  <c r="N24" i="100"/>
  <c r="N19" i="100"/>
  <c r="N22" i="100"/>
  <c r="O17" i="100"/>
  <c r="N23" i="100"/>
  <c r="N25" i="100"/>
  <c r="N20" i="100"/>
  <c r="M45" i="100"/>
  <c r="M48" i="100"/>
  <c r="M43" i="100"/>
  <c r="O41" i="100"/>
  <c r="M46" i="100"/>
  <c r="M49" i="100"/>
  <c r="M44" i="100"/>
  <c r="M47" i="100"/>
  <c r="M42" i="100"/>
  <c r="M50" i="100"/>
  <c r="L51" i="100"/>
  <c r="M39" i="100"/>
  <c r="M51" i="100"/>
  <c r="N37" i="100"/>
  <c r="N32" i="100"/>
  <c r="N35" i="100"/>
  <c r="N38" i="100"/>
  <c r="N30" i="100"/>
  <c r="N33" i="100"/>
  <c r="N36" i="100"/>
  <c r="N31" i="100"/>
  <c r="N34" i="100"/>
  <c r="P29" i="100"/>
  <c r="N27" i="100"/>
  <c r="O21" i="100"/>
  <c r="O24" i="100"/>
  <c r="O19" i="100"/>
  <c r="O22" i="100"/>
  <c r="P17" i="100"/>
  <c r="O25" i="100"/>
  <c r="O26" i="100"/>
  <c r="O18" i="100"/>
  <c r="O23" i="100"/>
  <c r="O20" i="100"/>
  <c r="N48" i="100"/>
  <c r="N43" i="100"/>
  <c r="P41" i="100"/>
  <c r="N46" i="100"/>
  <c r="N49" i="100"/>
  <c r="N44" i="100"/>
  <c r="N47" i="100"/>
  <c r="N42" i="100"/>
  <c r="N50" i="100"/>
  <c r="N45" i="100"/>
  <c r="N39" i="100"/>
  <c r="O43" i="100"/>
  <c r="Q41" i="100"/>
  <c r="O46" i="100"/>
  <c r="O49" i="100"/>
  <c r="O44" i="100"/>
  <c r="O47" i="100"/>
  <c r="O42" i="100"/>
  <c r="O50" i="100"/>
  <c r="O45" i="100"/>
  <c r="O48" i="100"/>
  <c r="P24" i="100"/>
  <c r="P19" i="100"/>
  <c r="P22" i="100"/>
  <c r="Q17" i="100"/>
  <c r="P25" i="100"/>
  <c r="P20" i="100"/>
  <c r="P26" i="100"/>
  <c r="P21" i="100"/>
  <c r="P23" i="100"/>
  <c r="P18" i="100"/>
  <c r="O27" i="100"/>
  <c r="O32" i="100"/>
  <c r="O35" i="100"/>
  <c r="O38" i="100"/>
  <c r="O30" i="100"/>
  <c r="O33" i="100"/>
  <c r="O36" i="100"/>
  <c r="O34" i="100"/>
  <c r="O37" i="100"/>
  <c r="O31" i="100"/>
  <c r="Q29" i="100"/>
  <c r="N51" i="100"/>
  <c r="O51" i="100"/>
  <c r="Q19" i="100"/>
  <c r="Q22" i="100"/>
  <c r="R17" i="100"/>
  <c r="Q25" i="100"/>
  <c r="Q20" i="100"/>
  <c r="Q23" i="100"/>
  <c r="Q18" i="100"/>
  <c r="Q26" i="100"/>
  <c r="Q21" i="100"/>
  <c r="Q24" i="100"/>
  <c r="P27" i="100"/>
  <c r="P46" i="100"/>
  <c r="P49" i="100"/>
  <c r="P44" i="100"/>
  <c r="P47" i="100"/>
  <c r="P50" i="100"/>
  <c r="P42" i="100"/>
  <c r="P45" i="100"/>
  <c r="R41" i="100"/>
  <c r="P48" i="100"/>
  <c r="P43" i="100"/>
  <c r="O39" i="100"/>
  <c r="P35" i="100"/>
  <c r="P38" i="100"/>
  <c r="P30" i="100"/>
  <c r="P33" i="100"/>
  <c r="P36" i="100"/>
  <c r="P31" i="100"/>
  <c r="R29" i="100"/>
  <c r="P37" i="100"/>
  <c r="P32" i="100"/>
  <c r="P34" i="100"/>
  <c r="Q27" i="100"/>
  <c r="Q49" i="100"/>
  <c r="Q44" i="100"/>
  <c r="Q47" i="100"/>
  <c r="Q50" i="100"/>
  <c r="Q42" i="100"/>
  <c r="Q45" i="100"/>
  <c r="Q48" i="100"/>
  <c r="Q43" i="100"/>
  <c r="Q46" i="100"/>
  <c r="S41" i="100"/>
  <c r="R22" i="100"/>
  <c r="S17" i="100"/>
  <c r="R25" i="100"/>
  <c r="R20" i="100"/>
  <c r="R23" i="100"/>
  <c r="R26" i="100"/>
  <c r="R18" i="100"/>
  <c r="R21" i="100"/>
  <c r="R24" i="100"/>
  <c r="R19" i="100"/>
  <c r="Q38" i="100"/>
  <c r="Q30" i="100"/>
  <c r="Q33" i="100"/>
  <c r="Q36" i="100"/>
  <c r="Q31" i="100"/>
  <c r="S29" i="100"/>
  <c r="Q34" i="100"/>
  <c r="Q35" i="100"/>
  <c r="Q37" i="100"/>
  <c r="Q32" i="100"/>
  <c r="P39" i="100"/>
  <c r="P51" i="100"/>
  <c r="Q51" i="100"/>
  <c r="Q39" i="100"/>
  <c r="S25" i="100"/>
  <c r="S20" i="100"/>
  <c r="S23" i="100"/>
  <c r="S26" i="100"/>
  <c r="S18" i="100"/>
  <c r="S21" i="100"/>
  <c r="S24" i="100"/>
  <c r="S19" i="100"/>
  <c r="T17" i="100"/>
  <c r="S22" i="100"/>
  <c r="R33" i="100"/>
  <c r="R36" i="100"/>
  <c r="R31" i="100"/>
  <c r="T29" i="100"/>
  <c r="R34" i="100"/>
  <c r="R37" i="100"/>
  <c r="R38" i="100"/>
  <c r="R35" i="100"/>
  <c r="R30" i="100"/>
  <c r="R32" i="100"/>
  <c r="R44" i="100"/>
  <c r="R47" i="100"/>
  <c r="R50" i="100"/>
  <c r="R42" i="100"/>
  <c r="R45" i="100"/>
  <c r="R48" i="100"/>
  <c r="R46" i="100"/>
  <c r="R49" i="100"/>
  <c r="R43" i="100"/>
  <c r="T41" i="100"/>
  <c r="R27" i="100"/>
  <c r="S27" i="100"/>
  <c r="R39" i="100"/>
  <c r="S47" i="100"/>
  <c r="S50" i="100"/>
  <c r="S42" i="100"/>
  <c r="S45" i="100"/>
  <c r="S48" i="100"/>
  <c r="S43" i="100"/>
  <c r="U41" i="100"/>
  <c r="S49" i="100"/>
  <c r="S44" i="100"/>
  <c r="S46" i="100"/>
  <c r="S36" i="100"/>
  <c r="S31" i="100"/>
  <c r="U29" i="100"/>
  <c r="S34" i="100"/>
  <c r="S37" i="100"/>
  <c r="S32" i="100"/>
  <c r="S33" i="100"/>
  <c r="S38" i="100"/>
  <c r="S35" i="100"/>
  <c r="S30" i="100"/>
  <c r="T20" i="100"/>
  <c r="T23" i="100"/>
  <c r="T26" i="100"/>
  <c r="T18" i="100"/>
  <c r="T21" i="100"/>
  <c r="T24" i="100"/>
  <c r="T19" i="100"/>
  <c r="U17" i="100"/>
  <c r="T22" i="100"/>
  <c r="T25" i="100"/>
  <c r="R51" i="100"/>
  <c r="S39" i="100"/>
  <c r="T31" i="100"/>
  <c r="V29" i="100"/>
  <c r="T34" i="100"/>
  <c r="T37" i="100"/>
  <c r="T32" i="100"/>
  <c r="T35" i="100"/>
  <c r="T30" i="100"/>
  <c r="T36" i="100"/>
  <c r="T38" i="100"/>
  <c r="T33" i="100"/>
  <c r="U23" i="100"/>
  <c r="U26" i="100"/>
  <c r="U18" i="100"/>
  <c r="U21" i="100"/>
  <c r="U24" i="100"/>
  <c r="U19" i="100"/>
  <c r="V17" i="100"/>
  <c r="U22" i="100"/>
  <c r="U25" i="100"/>
  <c r="U20" i="100"/>
  <c r="T27" i="100"/>
  <c r="S51" i="100"/>
  <c r="T50" i="100"/>
  <c r="T42" i="100"/>
  <c r="T45" i="100"/>
  <c r="T48" i="100"/>
  <c r="T43" i="100"/>
  <c r="V41" i="100"/>
  <c r="T46" i="100"/>
  <c r="T47" i="100"/>
  <c r="T49" i="100"/>
  <c r="T44" i="100"/>
  <c r="T51" i="100"/>
  <c r="T39" i="100"/>
  <c r="U27" i="100"/>
  <c r="U45" i="100"/>
  <c r="U48" i="100"/>
  <c r="U43" i="100"/>
  <c r="W41" i="100"/>
  <c r="U46" i="100"/>
  <c r="U49" i="100"/>
  <c r="U50" i="100"/>
  <c r="U47" i="100"/>
  <c r="U42" i="100"/>
  <c r="U44" i="100"/>
  <c r="U34" i="100"/>
  <c r="U37" i="100"/>
  <c r="U32" i="100"/>
  <c r="U35" i="100"/>
  <c r="U38" i="100"/>
  <c r="U30" i="100"/>
  <c r="U33" i="100"/>
  <c r="W29" i="100"/>
  <c r="U36" i="100"/>
  <c r="U31" i="100"/>
  <c r="V26" i="100"/>
  <c r="V18" i="100"/>
  <c r="V21" i="100"/>
  <c r="V24" i="100"/>
  <c r="V19" i="100"/>
  <c r="V22" i="100"/>
  <c r="W17" i="100"/>
  <c r="V25" i="100"/>
  <c r="V20" i="100"/>
  <c r="V23" i="100"/>
  <c r="V48" i="100"/>
  <c r="V43" i="100"/>
  <c r="V46" i="100"/>
  <c r="V49" i="100"/>
  <c r="V44" i="100"/>
  <c r="V45" i="100"/>
  <c r="W42" i="100"/>
  <c r="V50" i="100"/>
  <c r="V47" i="100"/>
  <c r="V42" i="100"/>
  <c r="W48" i="100"/>
  <c r="W43" i="100"/>
  <c r="W50" i="100"/>
  <c r="W44" i="100"/>
  <c r="W47" i="100"/>
  <c r="W45" i="100"/>
  <c r="W49" i="100"/>
  <c r="W46" i="100"/>
  <c r="V37" i="100"/>
  <c r="V32" i="100"/>
  <c r="V35" i="100"/>
  <c r="V38" i="100"/>
  <c r="V30" i="100"/>
  <c r="V33" i="100"/>
  <c r="V31" i="100"/>
  <c r="V36" i="100"/>
  <c r="V34" i="100"/>
  <c r="W37" i="100"/>
  <c r="W35" i="100"/>
  <c r="W30" i="100"/>
  <c r="W34" i="100"/>
  <c r="W32" i="100"/>
  <c r="W36" i="100"/>
  <c r="W31" i="100"/>
  <c r="W38" i="100"/>
  <c r="W33" i="100"/>
  <c r="W21" i="100"/>
  <c r="B21" i="100"/>
  <c r="W24" i="100"/>
  <c r="B24" i="100"/>
  <c r="W19" i="100"/>
  <c r="B19" i="100"/>
  <c r="W22" i="100"/>
  <c r="B22" i="100"/>
  <c r="W25" i="100"/>
  <c r="B25" i="100"/>
  <c r="W20" i="100"/>
  <c r="B20" i="100"/>
  <c r="W23" i="100"/>
  <c r="B23" i="100"/>
  <c r="W18" i="100"/>
  <c r="W26" i="100"/>
  <c r="B26" i="100"/>
  <c r="U51" i="100"/>
  <c r="U39" i="100"/>
  <c r="V27" i="100"/>
  <c r="B35" i="100"/>
  <c r="B49" i="100"/>
  <c r="B46" i="100"/>
  <c r="B47" i="100"/>
  <c r="B44" i="100"/>
  <c r="B48" i="100"/>
  <c r="B31" i="100"/>
  <c r="B33" i="100"/>
  <c r="B32" i="100"/>
  <c r="B34" i="100"/>
  <c r="B37" i="100"/>
  <c r="B43" i="100"/>
  <c r="B36" i="100"/>
  <c r="B45" i="100"/>
  <c r="V39" i="100"/>
  <c r="W51" i="100"/>
  <c r="B42" i="100"/>
  <c r="B50" i="100"/>
  <c r="B38" i="100"/>
  <c r="W39" i="100"/>
  <c r="B30" i="100"/>
  <c r="W27" i="100"/>
  <c r="B27" i="100"/>
  <c r="B18" i="100"/>
  <c r="V51" i="100"/>
  <c r="B39" i="100"/>
  <c r="B51" i="100"/>
  <c r="G31" i="75"/>
  <c r="I31" i="75"/>
  <c r="Q55" i="78"/>
  <c r="R55" i="78"/>
  <c r="Q56" i="78"/>
  <c r="R56" i="78"/>
  <c r="Q57" i="78"/>
  <c r="L11" i="86" s="1"/>
  <c r="R57" i="78"/>
  <c r="Q58" i="78"/>
  <c r="R58" i="78"/>
  <c r="Q59" i="78"/>
  <c r="R59" i="78"/>
  <c r="Q60" i="78"/>
  <c r="R60" i="78"/>
  <c r="Q61" i="78"/>
  <c r="R61" i="78"/>
  <c r="Q62" i="78"/>
  <c r="R62" i="78"/>
  <c r="Q63" i="78"/>
  <c r="R63" i="78"/>
  <c r="Q64" i="78"/>
  <c r="R64" i="78"/>
  <c r="Q65" i="78"/>
  <c r="R65" i="78"/>
  <c r="Q66" i="78"/>
  <c r="R66" i="78"/>
  <c r="Q67" i="78"/>
  <c r="R67" i="78"/>
  <c r="Q68" i="78"/>
  <c r="R68" i="78"/>
  <c r="Q69" i="78"/>
  <c r="R69" i="78"/>
  <c r="Q70" i="78"/>
  <c r="R70" i="78"/>
  <c r="Q71" i="78"/>
  <c r="R71" i="78"/>
  <c r="Q72" i="78"/>
  <c r="R72" i="78"/>
  <c r="Q73" i="78"/>
  <c r="R73" i="78"/>
  <c r="Q74" i="78"/>
  <c r="R74" i="78"/>
  <c r="C55" i="78"/>
  <c r="C10" i="86" s="1"/>
  <c r="D55" i="78"/>
  <c r="E55" i="78"/>
  <c r="C11" i="86" s="1"/>
  <c r="F55" i="78"/>
  <c r="D11" i="86" s="1"/>
  <c r="G55" i="78"/>
  <c r="F10" i="86" s="1"/>
  <c r="H55" i="78"/>
  <c r="G10" i="86" s="1"/>
  <c r="I55" i="78"/>
  <c r="J55" i="78"/>
  <c r="O55" i="78"/>
  <c r="P55" i="78"/>
  <c r="C56" i="78"/>
  <c r="D56" i="78"/>
  <c r="E56" i="78"/>
  <c r="F56" i="78"/>
  <c r="G56" i="78"/>
  <c r="H56" i="78"/>
  <c r="I56" i="78"/>
  <c r="J56" i="78"/>
  <c r="O56" i="78"/>
  <c r="P56" i="78"/>
  <c r="C57" i="78"/>
  <c r="D57" i="78"/>
  <c r="E57" i="78"/>
  <c r="F57" i="78"/>
  <c r="G57" i="78"/>
  <c r="H57" i="78"/>
  <c r="I57" i="78"/>
  <c r="J57" i="78"/>
  <c r="O57" i="78"/>
  <c r="P57" i="78"/>
  <c r="C58" i="78"/>
  <c r="D58" i="78"/>
  <c r="E58" i="78"/>
  <c r="F58" i="78"/>
  <c r="G58" i="78"/>
  <c r="H58" i="78"/>
  <c r="I58" i="78"/>
  <c r="J58" i="78"/>
  <c r="O58" i="78"/>
  <c r="P58" i="78"/>
  <c r="C59" i="78"/>
  <c r="D59" i="78"/>
  <c r="E59" i="78"/>
  <c r="F59" i="78"/>
  <c r="G59" i="78"/>
  <c r="H59" i="78"/>
  <c r="I59" i="78"/>
  <c r="J59" i="78"/>
  <c r="O59" i="78"/>
  <c r="P59" i="78"/>
  <c r="C60" i="78"/>
  <c r="D60" i="78"/>
  <c r="E60" i="78"/>
  <c r="F60" i="78"/>
  <c r="G60" i="78"/>
  <c r="H60" i="78"/>
  <c r="I60" i="78"/>
  <c r="J60" i="78"/>
  <c r="O60" i="78"/>
  <c r="P60" i="78"/>
  <c r="C61" i="78"/>
  <c r="D61" i="78"/>
  <c r="E61" i="78"/>
  <c r="F61" i="78"/>
  <c r="G61" i="78"/>
  <c r="H61" i="78"/>
  <c r="I61" i="78"/>
  <c r="J61" i="78"/>
  <c r="O61" i="78"/>
  <c r="P61" i="78"/>
  <c r="C62" i="78"/>
  <c r="D62" i="78"/>
  <c r="E62" i="78"/>
  <c r="F62" i="78"/>
  <c r="G62" i="78"/>
  <c r="H62" i="78"/>
  <c r="I62" i="78"/>
  <c r="J62" i="78"/>
  <c r="O62" i="78"/>
  <c r="P62" i="78"/>
  <c r="C63" i="78"/>
  <c r="D63" i="78"/>
  <c r="E63" i="78"/>
  <c r="F63" i="78"/>
  <c r="G63" i="78"/>
  <c r="H63" i="78"/>
  <c r="I63" i="78"/>
  <c r="J63" i="78"/>
  <c r="O63" i="78"/>
  <c r="P63" i="78"/>
  <c r="G16" i="87"/>
  <c r="F16" i="87"/>
  <c r="G15" i="87"/>
  <c r="F15" i="87"/>
  <c r="G14" i="87"/>
  <c r="F14" i="87"/>
  <c r="G13" i="87"/>
  <c r="F13" i="87"/>
  <c r="G12" i="87"/>
  <c r="F12" i="87"/>
  <c r="G11" i="87"/>
  <c r="F11" i="87"/>
  <c r="G10" i="87"/>
  <c r="F10" i="87"/>
  <c r="G9" i="87"/>
  <c r="F9" i="87"/>
  <c r="L16" i="87"/>
  <c r="L15" i="87"/>
  <c r="L14" i="87"/>
  <c r="L13" i="87"/>
  <c r="L12" i="87"/>
  <c r="L11" i="87"/>
  <c r="L10" i="87"/>
  <c r="L9" i="87"/>
  <c r="L30" i="87" s="1"/>
  <c r="K16" i="87"/>
  <c r="K15" i="87"/>
  <c r="K14" i="87"/>
  <c r="K13" i="87"/>
  <c r="K12" i="87"/>
  <c r="K11" i="87"/>
  <c r="K10" i="87"/>
  <c r="K9" i="87"/>
  <c r="D18" i="69"/>
  <c r="D19" i="69"/>
  <c r="D20" i="69"/>
  <c r="D21" i="69"/>
  <c r="D22" i="69"/>
  <c r="D23" i="69"/>
  <c r="J24" i="69"/>
  <c r="E6" i="55" s="1"/>
  <c r="L24" i="69"/>
  <c r="F6" i="55" s="1"/>
  <c r="G9" i="95" s="1"/>
  <c r="N24" i="69"/>
  <c r="G6" i="55" s="1"/>
  <c r="F31" i="75"/>
  <c r="F54" i="75" s="1"/>
  <c r="H5" i="68"/>
  <c r="N5" i="68" s="1"/>
  <c r="F24" i="69"/>
  <c r="D6" i="55" s="1"/>
  <c r="F9" i="95" s="1"/>
  <c r="D24" i="69"/>
  <c r="E13" i="97" s="1"/>
  <c r="F13" i="97" s="1"/>
  <c r="W31" i="75"/>
  <c r="W54" i="75" s="1"/>
  <c r="X31" i="75"/>
  <c r="X54" i="75" s="1"/>
  <c r="I14" i="62"/>
  <c r="D8" i="73"/>
  <c r="D48" i="79"/>
  <c r="D50" i="79"/>
  <c r="N26" i="96"/>
  <c r="N9" i="96"/>
  <c r="N10" i="96"/>
  <c r="N11" i="96"/>
  <c r="N12" i="96"/>
  <c r="N13" i="96"/>
  <c r="N14" i="96"/>
  <c r="N15" i="96"/>
  <c r="N16" i="96"/>
  <c r="N17" i="96"/>
  <c r="N18" i="96"/>
  <c r="N19" i="96"/>
  <c r="N20" i="96"/>
  <c r="N21" i="96"/>
  <c r="N22" i="96"/>
  <c r="N23" i="96"/>
  <c r="N24" i="96"/>
  <c r="N25" i="96"/>
  <c r="N8" i="96"/>
  <c r="N7" i="96"/>
  <c r="O6" i="64"/>
  <c r="O7" i="64"/>
  <c r="C3" i="64"/>
  <c r="O5" i="64"/>
  <c r="E14" i="97"/>
  <c r="F14" i="97"/>
  <c r="H10" i="61"/>
  <c r="H11" i="61"/>
  <c r="H12" i="61"/>
  <c r="H13" i="61"/>
  <c r="H14" i="61"/>
  <c r="H15" i="61"/>
  <c r="H16" i="61"/>
  <c r="H17" i="61"/>
  <c r="H18" i="61"/>
  <c r="H19" i="61"/>
  <c r="H20" i="61"/>
  <c r="H21" i="61"/>
  <c r="H22" i="61"/>
  <c r="H23" i="61"/>
  <c r="H24" i="61"/>
  <c r="H25" i="61"/>
  <c r="F12" i="55"/>
  <c r="O64" i="78"/>
  <c r="P64" i="78"/>
  <c r="O65" i="78"/>
  <c r="P65" i="78"/>
  <c r="O66" i="78"/>
  <c r="P66" i="78"/>
  <c r="O67" i="78"/>
  <c r="P67" i="78"/>
  <c r="O68" i="78"/>
  <c r="P68" i="78"/>
  <c r="O69" i="78"/>
  <c r="P69" i="78"/>
  <c r="O70" i="78"/>
  <c r="P70" i="78"/>
  <c r="O71" i="78"/>
  <c r="P71" i="78"/>
  <c r="O72" i="78"/>
  <c r="P72" i="78"/>
  <c r="O73" i="78"/>
  <c r="P73" i="78"/>
  <c r="O74" i="78"/>
  <c r="P74" i="78"/>
  <c r="X51" i="75"/>
  <c r="W51" i="75"/>
  <c r="V51" i="75"/>
  <c r="U51" i="75"/>
  <c r="X39" i="75"/>
  <c r="W39" i="75"/>
  <c r="V39" i="75"/>
  <c r="U39" i="75"/>
  <c r="S39" i="75"/>
  <c r="R39" i="75"/>
  <c r="Q39" i="75"/>
  <c r="P39" i="75"/>
  <c r="N39" i="75"/>
  <c r="M39" i="75"/>
  <c r="L39" i="75"/>
  <c r="K39" i="75"/>
  <c r="I39" i="75"/>
  <c r="H39" i="75"/>
  <c r="G39" i="75"/>
  <c r="F39" i="75"/>
  <c r="U37" i="75"/>
  <c r="F37" i="75"/>
  <c r="V31" i="75"/>
  <c r="V54" i="75" s="1"/>
  <c r="U31" i="75"/>
  <c r="U54" i="75" s="1"/>
  <c r="I4" i="79"/>
  <c r="I9" i="82" s="1"/>
  <c r="B14" i="64"/>
  <c r="B15" i="64"/>
  <c r="B16" i="64"/>
  <c r="B17" i="64"/>
  <c r="B18" i="64"/>
  <c r="B19" i="64"/>
  <c r="B20" i="64"/>
  <c r="N11" i="94"/>
  <c r="N12" i="94"/>
  <c r="N13" i="94"/>
  <c r="N10" i="94"/>
  <c r="N6" i="73"/>
  <c r="E21" i="97" s="1"/>
  <c r="F21" i="97" s="1"/>
  <c r="C4" i="73"/>
  <c r="N28" i="68"/>
  <c r="N26" i="53"/>
  <c r="N14" i="94"/>
  <c r="E28" i="97"/>
  <c r="F28" i="97"/>
  <c r="C6" i="94"/>
  <c r="B32" i="96"/>
  <c r="B33" i="96"/>
  <c r="B34" i="96"/>
  <c r="B35" i="96"/>
  <c r="L27" i="96"/>
  <c r="M27" i="96"/>
  <c r="K27" i="96"/>
  <c r="J27" i="96"/>
  <c r="I27" i="96"/>
  <c r="H27" i="96"/>
  <c r="G27" i="96"/>
  <c r="F27" i="96"/>
  <c r="D27" i="96"/>
  <c r="E27" i="96"/>
  <c r="B8" i="96"/>
  <c r="B9" i="96"/>
  <c r="B10" i="96"/>
  <c r="B11" i="96"/>
  <c r="B12" i="96"/>
  <c r="B13" i="96"/>
  <c r="B14" i="96"/>
  <c r="B15" i="96"/>
  <c r="B16" i="96"/>
  <c r="B17" i="96"/>
  <c r="B18" i="96"/>
  <c r="B19" i="96"/>
  <c r="B20" i="96"/>
  <c r="B21" i="96"/>
  <c r="B22" i="96"/>
  <c r="B23" i="96"/>
  <c r="B24" i="96"/>
  <c r="B25" i="96"/>
  <c r="B26" i="96"/>
  <c r="B7" i="73"/>
  <c r="B8" i="73"/>
  <c r="B12" i="73"/>
  <c r="B13" i="73"/>
  <c r="B14" i="73"/>
  <c r="B15" i="73"/>
  <c r="B16" i="73"/>
  <c r="B17" i="73"/>
  <c r="B18" i="73"/>
  <c r="B19" i="73"/>
  <c r="B20" i="73"/>
  <c r="B21" i="73"/>
  <c r="B23" i="73"/>
  <c r="B24" i="73"/>
  <c r="B25" i="73"/>
  <c r="B26" i="73"/>
  <c r="B27" i="73"/>
  <c r="B28" i="73"/>
  <c r="B29" i="73"/>
  <c r="B30" i="73"/>
  <c r="B31" i="73"/>
  <c r="B32" i="73"/>
  <c r="B33" i="73"/>
  <c r="B35" i="73"/>
  <c r="B36" i="73"/>
  <c r="B37" i="73"/>
  <c r="B38" i="73"/>
  <c r="B39" i="73"/>
  <c r="B40" i="73"/>
  <c r="B41" i="73"/>
  <c r="O26" i="74"/>
  <c r="D63" i="59"/>
  <c r="D62" i="59"/>
  <c r="D61" i="59"/>
  <c r="D60" i="59"/>
  <c r="D59" i="59"/>
  <c r="D58" i="59"/>
  <c r="C27" i="45"/>
  <c r="B27" i="45"/>
  <c r="C23" i="45"/>
  <c r="B23" i="45"/>
  <c r="A29" i="45"/>
  <c r="A28" i="45"/>
  <c r="A25" i="45"/>
  <c r="A24" i="45"/>
  <c r="O11" i="51"/>
  <c r="O8" i="51"/>
  <c r="N6" i="51"/>
  <c r="N7" i="51"/>
  <c r="N8" i="51"/>
  <c r="N9" i="51"/>
  <c r="N10" i="51"/>
  <c r="N11" i="51"/>
  <c r="N12" i="51"/>
  <c r="N13" i="51"/>
  <c r="N5" i="51"/>
  <c r="C13" i="96"/>
  <c r="L11" i="52"/>
  <c r="L8" i="52"/>
  <c r="C10" i="96"/>
  <c r="C14" i="96"/>
  <c r="L12" i="52"/>
  <c r="D9" i="95"/>
  <c r="C48" i="79"/>
  <c r="D9" i="87"/>
  <c r="D10" i="87"/>
  <c r="D11" i="87"/>
  <c r="D12" i="87"/>
  <c r="D13" i="87"/>
  <c r="D14" i="87"/>
  <c r="D15" i="87"/>
  <c r="D16" i="87"/>
  <c r="D17" i="87"/>
  <c r="D18" i="87"/>
  <c r="D19" i="87"/>
  <c r="D20" i="87"/>
  <c r="D21" i="87"/>
  <c r="D22" i="87"/>
  <c r="D23" i="87"/>
  <c r="D24" i="87"/>
  <c r="D25" i="87"/>
  <c r="D26" i="87"/>
  <c r="D27" i="87"/>
  <c r="D8" i="87"/>
  <c r="F3" i="45"/>
  <c r="E12" i="45"/>
  <c r="F15" i="45"/>
  <c r="S51" i="75"/>
  <c r="R51" i="75"/>
  <c r="Q51" i="75"/>
  <c r="P51" i="75"/>
  <c r="N51" i="75"/>
  <c r="M51" i="75"/>
  <c r="L51" i="75"/>
  <c r="K51" i="75"/>
  <c r="I51" i="75"/>
  <c r="H51" i="75"/>
  <c r="G51" i="75"/>
  <c r="F51" i="75"/>
  <c r="S31" i="75"/>
  <c r="R31" i="75"/>
  <c r="Q31" i="75"/>
  <c r="P31" i="75"/>
  <c r="L31" i="75"/>
  <c r="L54" i="75" s="1"/>
  <c r="M31" i="75"/>
  <c r="M54" i="75" s="1"/>
  <c r="N31" i="75"/>
  <c r="N54" i="75" s="1"/>
  <c r="K31" i="75"/>
  <c r="K56" i="78"/>
  <c r="L57" i="78"/>
  <c r="M58" i="78"/>
  <c r="N59" i="78"/>
  <c r="N63" i="78"/>
  <c r="K55" i="78"/>
  <c r="L56" i="78"/>
  <c r="M57" i="78"/>
  <c r="N58" i="78"/>
  <c r="K63" i="78"/>
  <c r="L62" i="78"/>
  <c r="M61" i="78"/>
  <c r="N60" i="78"/>
  <c r="L55" i="78"/>
  <c r="M56" i="78"/>
  <c r="N57" i="78"/>
  <c r="K62" i="78"/>
  <c r="L63" i="78"/>
  <c r="M55" i="78"/>
  <c r="N56" i="78"/>
  <c r="K61" i="78"/>
  <c r="M63" i="78"/>
  <c r="N61" i="78"/>
  <c r="N55" i="78"/>
  <c r="K60" i="78"/>
  <c r="L61" i="78"/>
  <c r="M62" i="78"/>
  <c r="N62" i="78"/>
  <c r="K59" i="78"/>
  <c r="L60" i="78"/>
  <c r="K58" i="78"/>
  <c r="L59" i="78"/>
  <c r="M60" i="78"/>
  <c r="K57" i="78"/>
  <c r="L58" i="78"/>
  <c r="M59" i="78"/>
  <c r="K54" i="75"/>
  <c r="K67" i="78"/>
  <c r="L31" i="78"/>
  <c r="L43" i="78"/>
  <c r="L10" i="78"/>
  <c r="L14" i="78"/>
  <c r="L22" i="78"/>
  <c r="L65" i="78"/>
  <c r="L66" i="78"/>
  <c r="L69" i="78"/>
  <c r="L71" i="78"/>
  <c r="L73" i="78"/>
  <c r="L33" i="78"/>
  <c r="L37" i="78"/>
  <c r="L41" i="78"/>
  <c r="L45" i="78"/>
  <c r="L29" i="78"/>
  <c r="L8" i="78"/>
  <c r="L12" i="78"/>
  <c r="L16" i="78"/>
  <c r="L20" i="78"/>
  <c r="L4" i="78"/>
  <c r="N64" i="78"/>
  <c r="N65" i="78"/>
  <c r="N66" i="78"/>
  <c r="N67" i="78"/>
  <c r="N68" i="78"/>
  <c r="N69" i="78"/>
  <c r="N70" i="78"/>
  <c r="N71" i="78"/>
  <c r="N72" i="78"/>
  <c r="N73" i="78"/>
  <c r="N74" i="78"/>
  <c r="B4" i="79"/>
  <c r="L30" i="78"/>
  <c r="L34" i="78"/>
  <c r="L38" i="78"/>
  <c r="L42" i="78"/>
  <c r="L46" i="78"/>
  <c r="L5" i="78"/>
  <c r="L9" i="78"/>
  <c r="L13" i="78"/>
  <c r="L17" i="78"/>
  <c r="L21" i="78"/>
  <c r="K64" i="78"/>
  <c r="K65" i="78"/>
  <c r="K66" i="78"/>
  <c r="K68" i="78"/>
  <c r="K69" i="78"/>
  <c r="K70" i="78"/>
  <c r="K71" i="78"/>
  <c r="K72" i="78"/>
  <c r="K73" i="78"/>
  <c r="K74" i="78"/>
  <c r="L35" i="78"/>
  <c r="L39" i="78"/>
  <c r="L47" i="78"/>
  <c r="L6" i="78"/>
  <c r="L18" i="78"/>
  <c r="L64" i="78"/>
  <c r="L67" i="78"/>
  <c r="L68" i="78"/>
  <c r="L70" i="78"/>
  <c r="L72" i="78"/>
  <c r="L74" i="78"/>
  <c r="L32" i="78"/>
  <c r="L36" i="78"/>
  <c r="L40" i="78"/>
  <c r="L48" i="78"/>
  <c r="L15" i="78"/>
  <c r="M65" i="78"/>
  <c r="M69" i="78"/>
  <c r="M73" i="78"/>
  <c r="L44" i="78"/>
  <c r="L19" i="78"/>
  <c r="M66" i="78"/>
  <c r="M70" i="78"/>
  <c r="M74" i="78"/>
  <c r="L7" i="78"/>
  <c r="L23" i="78"/>
  <c r="M67" i="78"/>
  <c r="M71" i="78"/>
  <c r="L11" i="78"/>
  <c r="M64" i="78"/>
  <c r="M68" i="78"/>
  <c r="M72" i="78"/>
  <c r="S54" i="75"/>
  <c r="F13" i="45"/>
  <c r="F16" i="45"/>
  <c r="F14" i="45"/>
  <c r="M35" i="87"/>
  <c r="Q54" i="75"/>
  <c r="R54" i="75"/>
  <c r="P54" i="75"/>
  <c r="I36" i="87"/>
  <c r="I8" i="94"/>
  <c r="D49" i="79"/>
  <c r="J9" i="81"/>
  <c r="D14" i="81"/>
  <c r="C29" i="79"/>
  <c r="C29" i="76"/>
  <c r="D29" i="79"/>
  <c r="D29" i="76"/>
  <c r="D49" i="78"/>
  <c r="E49" i="78"/>
  <c r="C49" i="78"/>
  <c r="K24" i="78"/>
  <c r="C39" i="79" s="1"/>
  <c r="E14" i="80" s="1"/>
  <c r="H7" i="61"/>
  <c r="H8" i="61"/>
  <c r="H9" i="61"/>
  <c r="H6" i="61"/>
  <c r="C6" i="52"/>
  <c r="C8" i="96"/>
  <c r="C7" i="52"/>
  <c r="C9" i="96"/>
  <c r="C9" i="54"/>
  <c r="N9" i="54"/>
  <c r="C33" i="60"/>
  <c r="C5" i="52"/>
  <c r="C7" i="96"/>
  <c r="D10" i="78"/>
  <c r="B61" i="78"/>
  <c r="C49" i="60"/>
  <c r="C18" i="96"/>
  <c r="L16" i="52"/>
  <c r="C25" i="75"/>
  <c r="D25" i="75"/>
  <c r="C23" i="96"/>
  <c r="L21" i="52"/>
  <c r="C21" i="75"/>
  <c r="D21" i="75"/>
  <c r="C19" i="96"/>
  <c r="L17" i="52"/>
  <c r="C17" i="75"/>
  <c r="D17" i="75"/>
  <c r="C15" i="96"/>
  <c r="L13" i="52"/>
  <c r="C25" i="54"/>
  <c r="N25" i="54"/>
  <c r="C26" i="96"/>
  <c r="L24" i="52"/>
  <c r="C65" i="60"/>
  <c r="C22" i="96"/>
  <c r="L20" i="52"/>
  <c r="C22" i="78"/>
  <c r="C26" i="91"/>
  <c r="C25" i="96"/>
  <c r="L23" i="52"/>
  <c r="C18" i="78"/>
  <c r="C21" i="96"/>
  <c r="L19" i="52"/>
  <c r="C14" i="78"/>
  <c r="C18" i="91"/>
  <c r="C17" i="96"/>
  <c r="L15" i="52"/>
  <c r="C25" i="87"/>
  <c r="C24" i="96"/>
  <c r="L22" i="52"/>
  <c r="C21" i="87"/>
  <c r="C20" i="96"/>
  <c r="L18" i="52"/>
  <c r="C17" i="87"/>
  <c r="C16" i="96"/>
  <c r="L14" i="52"/>
  <c r="L10" i="52"/>
  <c r="C12" i="96"/>
  <c r="L9" i="52"/>
  <c r="C11" i="96"/>
  <c r="L6" i="52"/>
  <c r="L5" i="52"/>
  <c r="C10" i="87"/>
  <c r="L7" i="52"/>
  <c r="L25" i="52" s="1"/>
  <c r="C10" i="53"/>
  <c r="N10" i="53"/>
  <c r="C9" i="53"/>
  <c r="N9" i="53"/>
  <c r="C18" i="53"/>
  <c r="N18" i="53"/>
  <c r="D23" i="68"/>
  <c r="N23" i="68"/>
  <c r="D15" i="68"/>
  <c r="N15" i="68"/>
  <c r="C14" i="54"/>
  <c r="N14" i="54"/>
  <c r="C16" i="67"/>
  <c r="C17" i="53"/>
  <c r="N17" i="53"/>
  <c r="D22" i="68"/>
  <c r="N22" i="68"/>
  <c r="D14" i="68"/>
  <c r="N14" i="68"/>
  <c r="C41" i="60"/>
  <c r="C22" i="61"/>
  <c r="N22" i="61"/>
  <c r="C22" i="53"/>
  <c r="N22" i="53"/>
  <c r="C14" i="53"/>
  <c r="N14" i="53"/>
  <c r="D19" i="68"/>
  <c r="N19" i="68"/>
  <c r="C22" i="54"/>
  <c r="N22" i="54"/>
  <c r="C57" i="60"/>
  <c r="C24" i="67"/>
  <c r="C18" i="61"/>
  <c r="N18" i="61"/>
  <c r="C21" i="53"/>
  <c r="N21" i="53"/>
  <c r="C13" i="53"/>
  <c r="N13" i="53"/>
  <c r="D18" i="68"/>
  <c r="N18" i="68"/>
  <c r="C18" i="54"/>
  <c r="N18" i="54"/>
  <c r="C73" i="60"/>
  <c r="C20" i="67"/>
  <c r="C14" i="61"/>
  <c r="N14" i="61"/>
  <c r="D11" i="68"/>
  <c r="D10" i="68"/>
  <c r="C25" i="60"/>
  <c r="C12" i="67"/>
  <c r="C21" i="54"/>
  <c r="N21" i="54"/>
  <c r="C29" i="60"/>
  <c r="C77" i="60"/>
  <c r="C23" i="53"/>
  <c r="N23" i="53"/>
  <c r="C19" i="53"/>
  <c r="N19" i="53"/>
  <c r="C15" i="53"/>
  <c r="N15" i="53"/>
  <c r="C11" i="53"/>
  <c r="N11" i="53"/>
  <c r="D20" i="68"/>
  <c r="N20" i="68"/>
  <c r="D16" i="68"/>
  <c r="N16" i="68"/>
  <c r="D12" i="68"/>
  <c r="C23" i="54"/>
  <c r="N23" i="54"/>
  <c r="C19" i="54"/>
  <c r="N19" i="54"/>
  <c r="C15" i="54"/>
  <c r="N15" i="54"/>
  <c r="C11" i="54"/>
  <c r="N11" i="54"/>
  <c r="C37" i="60"/>
  <c r="C53" i="60"/>
  <c r="C69" i="60"/>
  <c r="C22" i="67"/>
  <c r="C18" i="67"/>
  <c r="C14" i="67"/>
  <c r="C23" i="61"/>
  <c r="N23" i="61"/>
  <c r="C19" i="61"/>
  <c r="N19" i="61"/>
  <c r="C15" i="61"/>
  <c r="N15" i="61"/>
  <c r="C11" i="61"/>
  <c r="N11" i="61"/>
  <c r="D21" i="72"/>
  <c r="D17" i="72"/>
  <c r="D13" i="72"/>
  <c r="C24" i="62"/>
  <c r="P24" i="62"/>
  <c r="C20" i="62"/>
  <c r="P20" i="62"/>
  <c r="C16" i="62"/>
  <c r="P16" i="62"/>
  <c r="C12" i="62"/>
  <c r="P12" i="62"/>
  <c r="C21" i="74"/>
  <c r="O21" i="74"/>
  <c r="C17" i="74"/>
  <c r="O17" i="74"/>
  <c r="C13" i="74"/>
  <c r="O13" i="74"/>
  <c r="C24" i="63"/>
  <c r="C20" i="63"/>
  <c r="C16" i="63"/>
  <c r="C12" i="63"/>
  <c r="C24" i="75"/>
  <c r="D24" i="75"/>
  <c r="C20" i="75"/>
  <c r="D20" i="75"/>
  <c r="C16" i="75"/>
  <c r="D16" i="75"/>
  <c r="B25" i="91"/>
  <c r="E17" i="78"/>
  <c r="E42" i="78"/>
  <c r="E13" i="78"/>
  <c r="E38" i="78"/>
  <c r="C24" i="87"/>
  <c r="C20" i="87"/>
  <c r="C16" i="87"/>
  <c r="C25" i="67"/>
  <c r="C21" i="67"/>
  <c r="C17" i="67"/>
  <c r="C13" i="67"/>
  <c r="D24" i="72"/>
  <c r="D20" i="72"/>
  <c r="D16" i="72"/>
  <c r="D12" i="72"/>
  <c r="C23" i="62"/>
  <c r="P23" i="62"/>
  <c r="C19" i="62"/>
  <c r="P19" i="62"/>
  <c r="C15" i="62"/>
  <c r="P15" i="62"/>
  <c r="C24" i="74"/>
  <c r="O24" i="74"/>
  <c r="C20" i="74"/>
  <c r="O20" i="74"/>
  <c r="C16" i="74"/>
  <c r="O16" i="74"/>
  <c r="C12" i="74"/>
  <c r="O12" i="74"/>
  <c r="C23" i="63"/>
  <c r="C19" i="63"/>
  <c r="C15" i="63"/>
  <c r="C27" i="75"/>
  <c r="D27" i="75"/>
  <c r="C23" i="75"/>
  <c r="D23" i="75"/>
  <c r="C19" i="75"/>
  <c r="D19" i="75"/>
  <c r="C15" i="75"/>
  <c r="D15" i="75"/>
  <c r="D20" i="78"/>
  <c r="D24" i="91"/>
  <c r="B41" i="78"/>
  <c r="C27" i="87"/>
  <c r="C23" i="87"/>
  <c r="C19" i="87"/>
  <c r="C15" i="87"/>
  <c r="C17" i="54"/>
  <c r="N17" i="54"/>
  <c r="C61" i="60"/>
  <c r="C21" i="61"/>
  <c r="N21" i="61"/>
  <c r="C17" i="61"/>
  <c r="N17" i="61"/>
  <c r="C13" i="61"/>
  <c r="N13" i="61"/>
  <c r="D23" i="72"/>
  <c r="D19" i="72"/>
  <c r="D15" i="72"/>
  <c r="D11" i="72"/>
  <c r="C22" i="62"/>
  <c r="P22" i="62"/>
  <c r="C18" i="62"/>
  <c r="P18" i="62"/>
  <c r="C14" i="62"/>
  <c r="P14" i="62"/>
  <c r="C23" i="74"/>
  <c r="O23" i="74"/>
  <c r="C19" i="74"/>
  <c r="O19" i="74"/>
  <c r="C15" i="74"/>
  <c r="O15" i="74"/>
  <c r="C11" i="74"/>
  <c r="O11" i="74"/>
  <c r="C22" i="63"/>
  <c r="C18" i="63"/>
  <c r="C14" i="63"/>
  <c r="C26" i="75"/>
  <c r="D26" i="75"/>
  <c r="C22" i="75"/>
  <c r="D22" i="75"/>
  <c r="C18" i="75"/>
  <c r="D18" i="75"/>
  <c r="C14" i="75"/>
  <c r="D14" i="75"/>
  <c r="D19" i="78"/>
  <c r="D23" i="91"/>
  <c r="C15" i="78"/>
  <c r="C40" i="78"/>
  <c r="C26" i="87"/>
  <c r="C22" i="87"/>
  <c r="C18" i="87"/>
  <c r="C14" i="87"/>
  <c r="C13" i="54"/>
  <c r="N13" i="54"/>
  <c r="C45" i="60"/>
  <c r="C20" i="53"/>
  <c r="N20" i="53"/>
  <c r="C16" i="53"/>
  <c r="N16" i="53"/>
  <c r="C12" i="53"/>
  <c r="N12" i="53"/>
  <c r="D21" i="68"/>
  <c r="N21" i="68"/>
  <c r="D17" i="68"/>
  <c r="N17" i="68"/>
  <c r="D13" i="68"/>
  <c r="C24" i="54"/>
  <c r="N24" i="54"/>
  <c r="C20" i="54"/>
  <c r="N20" i="54"/>
  <c r="C16" i="54"/>
  <c r="N16" i="54"/>
  <c r="C12" i="54"/>
  <c r="N12" i="54"/>
  <c r="C23" i="67"/>
  <c r="C19" i="67"/>
  <c r="C15" i="67"/>
  <c r="C24" i="61"/>
  <c r="N24" i="61"/>
  <c r="C20" i="61"/>
  <c r="N20" i="61"/>
  <c r="C16" i="61"/>
  <c r="N16" i="61"/>
  <c r="C12" i="61"/>
  <c r="N12" i="61"/>
  <c r="D22" i="72"/>
  <c r="D18" i="72"/>
  <c r="D14" i="72"/>
  <c r="C25" i="62"/>
  <c r="P25" i="62"/>
  <c r="C21" i="62"/>
  <c r="P21" i="62"/>
  <c r="C17" i="62"/>
  <c r="P17" i="62"/>
  <c r="C13" i="62"/>
  <c r="P13" i="62"/>
  <c r="C22" i="74"/>
  <c r="O22" i="74"/>
  <c r="C18" i="74"/>
  <c r="O18" i="74"/>
  <c r="C14" i="74"/>
  <c r="O14" i="74"/>
  <c r="C25" i="63"/>
  <c r="C21" i="63"/>
  <c r="C17" i="63"/>
  <c r="C13" i="63"/>
  <c r="C13" i="87"/>
  <c r="D10" i="72"/>
  <c r="C13" i="75"/>
  <c r="D13" i="75"/>
  <c r="C12" i="87"/>
  <c r="C10" i="61"/>
  <c r="N10" i="61"/>
  <c r="C11" i="63"/>
  <c r="C11" i="67"/>
  <c r="C10" i="74"/>
  <c r="O10" i="74"/>
  <c r="C10" i="54"/>
  <c r="N10" i="54"/>
  <c r="D9" i="68"/>
  <c r="C21" i="60"/>
  <c r="C11" i="62"/>
  <c r="C9" i="60"/>
  <c r="C17" i="60"/>
  <c r="C11" i="87"/>
  <c r="C10" i="67"/>
  <c r="C9" i="61"/>
  <c r="N9" i="61"/>
  <c r="D9" i="72"/>
  <c r="C10" i="62"/>
  <c r="P10" i="62"/>
  <c r="C9" i="74"/>
  <c r="O9" i="74"/>
  <c r="C10" i="63"/>
  <c r="B58" i="78"/>
  <c r="D8" i="68"/>
  <c r="C7" i="53"/>
  <c r="N7" i="53"/>
  <c r="C9" i="63"/>
  <c r="C9" i="67"/>
  <c r="C8" i="74"/>
  <c r="O8" i="74"/>
  <c r="C8" i="61"/>
  <c r="N8" i="61"/>
  <c r="D7" i="68"/>
  <c r="D8" i="72"/>
  <c r="C11" i="75"/>
  <c r="D11" i="75"/>
  <c r="C13" i="60"/>
  <c r="C8" i="54"/>
  <c r="N8" i="54"/>
  <c r="C9" i="62"/>
  <c r="P9" i="62"/>
  <c r="D6" i="68"/>
  <c r="C8" i="67"/>
  <c r="D7" i="72"/>
  <c r="C7" i="74"/>
  <c r="O7" i="74"/>
  <c r="C10" i="75"/>
  <c r="D10" i="75"/>
  <c r="C9" i="87"/>
  <c r="C6" i="53"/>
  <c r="N6" i="53"/>
  <c r="C7" i="54"/>
  <c r="N7" i="54"/>
  <c r="C7" i="61"/>
  <c r="N7" i="61"/>
  <c r="C8" i="62"/>
  <c r="P8" i="62"/>
  <c r="C8" i="63"/>
  <c r="C5" i="53"/>
  <c r="N5" i="53"/>
  <c r="D6" i="72"/>
  <c r="C9" i="75"/>
  <c r="D9" i="75"/>
  <c r="C5" i="60"/>
  <c r="C6" i="61"/>
  <c r="N6" i="61"/>
  <c r="N26" i="61" s="1"/>
  <c r="E18" i="97" s="1"/>
  <c r="F18" i="97" s="1"/>
  <c r="C7" i="63"/>
  <c r="C8" i="87"/>
  <c r="C6" i="54"/>
  <c r="N6" i="54"/>
  <c r="C7" i="67"/>
  <c r="C6" i="74"/>
  <c r="O6" i="74"/>
  <c r="D5" i="68"/>
  <c r="C7" i="62"/>
  <c r="C25" i="61"/>
  <c r="N25" i="61"/>
  <c r="D25" i="72"/>
  <c r="C25" i="74"/>
  <c r="O25" i="74"/>
  <c r="C26" i="63"/>
  <c r="C28" i="75"/>
  <c r="D28" i="75"/>
  <c r="C23" i="78"/>
  <c r="C27" i="91"/>
  <c r="C26" i="67"/>
  <c r="C26" i="62"/>
  <c r="P26" i="62"/>
  <c r="E10" i="78"/>
  <c r="E14" i="91"/>
  <c r="C10" i="78"/>
  <c r="C14" i="91"/>
  <c r="C24" i="53"/>
  <c r="N24" i="53"/>
  <c r="C81" i="60"/>
  <c r="D24" i="68"/>
  <c r="N24" i="68"/>
  <c r="D2" i="93"/>
  <c r="C2" i="93"/>
  <c r="D7" i="64"/>
  <c r="D13" i="64"/>
  <c r="I26" i="62"/>
  <c r="R48" i="78"/>
  <c r="Q27" i="91"/>
  <c r="F1" i="45"/>
  <c r="E28" i="78"/>
  <c r="E2" i="77"/>
  <c r="D2" i="77"/>
  <c r="C2" i="77"/>
  <c r="E26" i="68"/>
  <c r="I5" i="64" s="1"/>
  <c r="H25" i="68"/>
  <c r="N25" i="68" s="1"/>
  <c r="D7" i="62"/>
  <c r="D8" i="62"/>
  <c r="D27" i="62" s="1"/>
  <c r="D28" i="83"/>
  <c r="B89" i="79"/>
  <c r="B16" i="92"/>
  <c r="B90" i="79"/>
  <c r="B17" i="92"/>
  <c r="B91" i="79"/>
  <c r="B19" i="92"/>
  <c r="B88" i="79"/>
  <c r="B15" i="92"/>
  <c r="B83" i="79"/>
  <c r="B9" i="92"/>
  <c r="B84" i="79"/>
  <c r="B10" i="92"/>
  <c r="B85" i="79"/>
  <c r="B11" i="92"/>
  <c r="B86" i="79"/>
  <c r="B12" i="92"/>
  <c r="B87" i="79"/>
  <c r="B13" i="92"/>
  <c r="B82" i="79"/>
  <c r="B8" i="92"/>
  <c r="B14" i="91"/>
  <c r="Q30" i="78"/>
  <c r="P9" i="91" s="1"/>
  <c r="Q31" i="78"/>
  <c r="P10" i="91" s="1"/>
  <c r="Q32" i="78"/>
  <c r="P11" i="91"/>
  <c r="Q33" i="78"/>
  <c r="P12" i="91"/>
  <c r="Q34" i="78"/>
  <c r="P13" i="91"/>
  <c r="Q35" i="78"/>
  <c r="P14" i="91"/>
  <c r="Q36" i="78"/>
  <c r="P15" i="91"/>
  <c r="Q37" i="78"/>
  <c r="P16" i="91"/>
  <c r="Q38" i="78"/>
  <c r="P17" i="91"/>
  <c r="Q39" i="78"/>
  <c r="P18" i="91"/>
  <c r="Q40" i="78"/>
  <c r="P19" i="91"/>
  <c r="Q41" i="78"/>
  <c r="P20" i="91"/>
  <c r="Q42" i="78"/>
  <c r="P21" i="91"/>
  <c r="Q43" i="78"/>
  <c r="P22" i="91"/>
  <c r="Q44" i="78"/>
  <c r="P23" i="91"/>
  <c r="Q45" i="78"/>
  <c r="P24" i="91"/>
  <c r="Q46" i="78"/>
  <c r="P25" i="91"/>
  <c r="Q47" i="78"/>
  <c r="P26" i="91"/>
  <c r="Q48" i="78"/>
  <c r="P27" i="91"/>
  <c r="Q29" i="78"/>
  <c r="P8" i="91"/>
  <c r="P30" i="78"/>
  <c r="O9" i="91" s="1"/>
  <c r="P31" i="78"/>
  <c r="O10" i="91" s="1"/>
  <c r="P32" i="78"/>
  <c r="O11" i="91"/>
  <c r="P33" i="78"/>
  <c r="O12" i="91"/>
  <c r="P34" i="78"/>
  <c r="O13" i="91"/>
  <c r="P35" i="78"/>
  <c r="O14" i="91"/>
  <c r="P36" i="78"/>
  <c r="O15" i="91"/>
  <c r="P37" i="78"/>
  <c r="O16" i="91"/>
  <c r="P38" i="78"/>
  <c r="O17" i="91"/>
  <c r="P39" i="78"/>
  <c r="O18" i="91"/>
  <c r="P40" i="78"/>
  <c r="O19" i="91"/>
  <c r="P41" i="78"/>
  <c r="O20" i="91"/>
  <c r="P42" i="78"/>
  <c r="O21" i="91"/>
  <c r="P43" i="78"/>
  <c r="O22" i="91"/>
  <c r="P44" i="78"/>
  <c r="O23" i="91"/>
  <c r="P45" i="78"/>
  <c r="O24" i="91"/>
  <c r="P46" i="78"/>
  <c r="O25" i="91"/>
  <c r="P47" i="78"/>
  <c r="O26" i="91"/>
  <c r="P48" i="78"/>
  <c r="O27" i="91"/>
  <c r="P29" i="78"/>
  <c r="O8" i="91" s="1"/>
  <c r="O30" i="78"/>
  <c r="O31" i="78"/>
  <c r="N10" i="91" s="1"/>
  <c r="O32" i="78"/>
  <c r="N11" i="91"/>
  <c r="O33" i="78"/>
  <c r="N12" i="91"/>
  <c r="O34" i="78"/>
  <c r="N13" i="91"/>
  <c r="O35" i="78"/>
  <c r="N14" i="91"/>
  <c r="O36" i="78"/>
  <c r="N15" i="91"/>
  <c r="O37" i="78"/>
  <c r="N16" i="91"/>
  <c r="O38" i="78"/>
  <c r="N17" i="91"/>
  <c r="O39" i="78"/>
  <c r="N18" i="91"/>
  <c r="O40" i="78"/>
  <c r="N19" i="91"/>
  <c r="O41" i="78"/>
  <c r="N20" i="91"/>
  <c r="O42" i="78"/>
  <c r="N21" i="91"/>
  <c r="O43" i="78"/>
  <c r="N22" i="91"/>
  <c r="O44" i="78"/>
  <c r="N23" i="91"/>
  <c r="O45" i="78"/>
  <c r="N24" i="91"/>
  <c r="O46" i="78"/>
  <c r="N25" i="91"/>
  <c r="O47" i="78"/>
  <c r="N26" i="91"/>
  <c r="O48" i="78"/>
  <c r="N27" i="91"/>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17" i="87"/>
  <c r="L17" i="87"/>
  <c r="K18" i="87"/>
  <c r="L18" i="87"/>
  <c r="K19" i="87"/>
  <c r="L19" i="87"/>
  <c r="K20" i="87"/>
  <c r="L20" i="87"/>
  <c r="K21" i="87"/>
  <c r="L21" i="87"/>
  <c r="K22" i="87"/>
  <c r="L22" i="87"/>
  <c r="K23" i="87"/>
  <c r="L23" i="87"/>
  <c r="K24" i="87"/>
  <c r="L24" i="87"/>
  <c r="K25" i="87"/>
  <c r="L25" i="87"/>
  <c r="K26" i="87"/>
  <c r="L26" i="87"/>
  <c r="K27" i="87"/>
  <c r="L27" i="87"/>
  <c r="L8" i="87"/>
  <c r="K8"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G30" i="87" s="1"/>
  <c r="F8" i="87"/>
  <c r="F30" i="87" s="1"/>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J9" i="62"/>
  <c r="S31" i="78" s="1"/>
  <c r="R10" i="91" s="1"/>
  <c r="J10" i="62"/>
  <c r="S32" i="78"/>
  <c r="R11" i="91"/>
  <c r="J11" i="62"/>
  <c r="S33" i="78"/>
  <c r="R12" i="91"/>
  <c r="J12" i="62"/>
  <c r="S34" i="78"/>
  <c r="R13" i="91"/>
  <c r="J13" i="62"/>
  <c r="S35" i="78"/>
  <c r="R14" i="91"/>
  <c r="J14" i="62"/>
  <c r="S36" i="78"/>
  <c r="R15" i="91"/>
  <c r="J15" i="62"/>
  <c r="S37" i="78"/>
  <c r="R16" i="91"/>
  <c r="J16" i="62"/>
  <c r="S38" i="78"/>
  <c r="R17" i="91"/>
  <c r="J17" i="62"/>
  <c r="S39" i="78"/>
  <c r="R18" i="91"/>
  <c r="J18" i="62"/>
  <c r="S40" i="78"/>
  <c r="R19" i="91"/>
  <c r="J19" i="62"/>
  <c r="S41" i="78"/>
  <c r="R20" i="91"/>
  <c r="J20" i="62"/>
  <c r="S42" i="78"/>
  <c r="R21" i="91"/>
  <c r="J21" i="62"/>
  <c r="S43" i="78"/>
  <c r="R22" i="91"/>
  <c r="J22" i="62"/>
  <c r="S44" i="78"/>
  <c r="R23" i="91"/>
  <c r="J23" i="62"/>
  <c r="S45" i="78"/>
  <c r="R24" i="91"/>
  <c r="J24" i="62"/>
  <c r="S46" i="78"/>
  <c r="R25" i="91"/>
  <c r="J25" i="62"/>
  <c r="S47" i="78"/>
  <c r="R26" i="91"/>
  <c r="J26" i="62"/>
  <c r="S48" i="78"/>
  <c r="R27" i="91"/>
  <c r="J8" i="62"/>
  <c r="S30" i="78" s="1"/>
  <c r="S29" i="78"/>
  <c r="R8" i="91" s="1"/>
  <c r="I54" i="75"/>
  <c r="H31" i="75"/>
  <c r="H54" i="75" s="1"/>
  <c r="G54" i="75"/>
  <c r="K9" i="91"/>
  <c r="M30" i="78"/>
  <c r="N30" i="78"/>
  <c r="M9" i="91"/>
  <c r="K10" i="91"/>
  <c r="M31" i="78"/>
  <c r="G12" i="86" s="1"/>
  <c r="N31" i="78"/>
  <c r="M10" i="91" s="1"/>
  <c r="S11" i="87"/>
  <c r="K11" i="91"/>
  <c r="M32" i="78"/>
  <c r="N11" i="87"/>
  <c r="N32" i="78"/>
  <c r="M11" i="91"/>
  <c r="K12" i="91"/>
  <c r="M33" i="78"/>
  <c r="N12" i="87"/>
  <c r="N33" i="78"/>
  <c r="M12" i="91"/>
  <c r="S13" i="87"/>
  <c r="M34" i="78"/>
  <c r="N34" i="78"/>
  <c r="M13" i="91"/>
  <c r="S14" i="87"/>
  <c r="M35" i="78"/>
  <c r="N14" i="87"/>
  <c r="N35" i="78"/>
  <c r="M14" i="91"/>
  <c r="S15" i="87"/>
  <c r="M36" i="78"/>
  <c r="N15" i="87"/>
  <c r="N36" i="78"/>
  <c r="M15" i="91"/>
  <c r="S16" i="87"/>
  <c r="M37" i="78"/>
  <c r="N16" i="87"/>
  <c r="N37" i="78"/>
  <c r="M16" i="91"/>
  <c r="S17" i="87"/>
  <c r="M38" i="78"/>
  <c r="I17" i="91"/>
  <c r="N38" i="78"/>
  <c r="M17" i="91"/>
  <c r="S18" i="87"/>
  <c r="M39" i="78"/>
  <c r="N18" i="87"/>
  <c r="N39" i="78"/>
  <c r="M18" i="91"/>
  <c r="S19" i="87"/>
  <c r="M40" i="78"/>
  <c r="N19" i="87"/>
  <c r="N40" i="78"/>
  <c r="M19" i="91"/>
  <c r="S20" i="87"/>
  <c r="M41" i="78"/>
  <c r="N20" i="87"/>
  <c r="N41" i="78"/>
  <c r="M20" i="91"/>
  <c r="K21" i="91"/>
  <c r="S21" i="87"/>
  <c r="M42" i="78"/>
  <c r="I21" i="91"/>
  <c r="N42" i="78"/>
  <c r="M21" i="91"/>
  <c r="S22" i="87"/>
  <c r="M43" i="78"/>
  <c r="N22" i="87"/>
  <c r="N43" i="78"/>
  <c r="M22" i="91"/>
  <c r="S23" i="87"/>
  <c r="M44" i="78"/>
  <c r="N23" i="87"/>
  <c r="N44" i="78"/>
  <c r="M23" i="91"/>
  <c r="S24" i="87"/>
  <c r="M45" i="78"/>
  <c r="N24" i="87"/>
  <c r="N45" i="78"/>
  <c r="M24" i="91"/>
  <c r="K25" i="91"/>
  <c r="M46" i="78"/>
  <c r="I25" i="91"/>
  <c r="N46" i="78"/>
  <c r="M25" i="91"/>
  <c r="K26" i="91"/>
  <c r="M47" i="78"/>
  <c r="I26" i="91"/>
  <c r="N47" i="78"/>
  <c r="M26" i="91"/>
  <c r="K27" i="91"/>
  <c r="M48" i="78"/>
  <c r="I27" i="91"/>
  <c r="N48" i="78"/>
  <c r="M27" i="91"/>
  <c r="N29" i="78"/>
  <c r="M8" i="91"/>
  <c r="M29" i="78"/>
  <c r="I8" i="91" s="1"/>
  <c r="C28" i="78"/>
  <c r="D28" i="78"/>
  <c r="B28" i="78"/>
  <c r="F5" i="78"/>
  <c r="G5" i="78"/>
  <c r="H5" i="78"/>
  <c r="I5" i="78"/>
  <c r="J5" i="78"/>
  <c r="R9" i="87"/>
  <c r="M5" i="78"/>
  <c r="H9" i="91" s="1"/>
  <c r="M9" i="87"/>
  <c r="N5" i="78"/>
  <c r="L9" i="91" s="1"/>
  <c r="F6" i="78"/>
  <c r="G6" i="78"/>
  <c r="H6" i="78"/>
  <c r="I6" i="78"/>
  <c r="J6" i="78"/>
  <c r="R10" i="87"/>
  <c r="M6" i="78"/>
  <c r="H10" i="91" s="1"/>
  <c r="N6" i="78"/>
  <c r="L10" i="91"/>
  <c r="R11" i="87"/>
  <c r="M7" i="78"/>
  <c r="M11" i="87"/>
  <c r="N7" i="78"/>
  <c r="L11" i="91"/>
  <c r="F8" i="78"/>
  <c r="G8" i="78"/>
  <c r="H8" i="78"/>
  <c r="I8" i="78"/>
  <c r="J8" i="78"/>
  <c r="R12" i="87"/>
  <c r="M8" i="78"/>
  <c r="N8" i="78"/>
  <c r="L12" i="91"/>
  <c r="F9" i="78"/>
  <c r="G9" i="78"/>
  <c r="H9" i="78"/>
  <c r="I9" i="78"/>
  <c r="J9" i="78"/>
  <c r="R13" i="87"/>
  <c r="M9" i="78"/>
  <c r="M13" i="87"/>
  <c r="N9" i="78"/>
  <c r="L13" i="91"/>
  <c r="D14" i="91"/>
  <c r="F10" i="78"/>
  <c r="G10" i="78"/>
  <c r="H10" i="78"/>
  <c r="I10" i="78"/>
  <c r="J10" i="78"/>
  <c r="R14" i="87"/>
  <c r="M10" i="78"/>
  <c r="N10" i="78"/>
  <c r="L14" i="91"/>
  <c r="F11" i="78"/>
  <c r="G11" i="78"/>
  <c r="H11" i="78"/>
  <c r="I11" i="78"/>
  <c r="J11" i="78"/>
  <c r="R15" i="87"/>
  <c r="M11" i="78"/>
  <c r="M15" i="87"/>
  <c r="N11" i="78"/>
  <c r="L15" i="91"/>
  <c r="F12" i="78"/>
  <c r="G12" i="78"/>
  <c r="H12" i="78"/>
  <c r="I12" i="78"/>
  <c r="J12" i="78"/>
  <c r="R16" i="87"/>
  <c r="M12" i="78"/>
  <c r="M16" i="87"/>
  <c r="N12" i="78"/>
  <c r="L16" i="91"/>
  <c r="F13" i="78"/>
  <c r="G13" i="78"/>
  <c r="H13" i="78"/>
  <c r="I13" i="78"/>
  <c r="J13" i="78"/>
  <c r="M13" i="78"/>
  <c r="H17" i="91"/>
  <c r="N13" i="78"/>
  <c r="L17" i="91"/>
  <c r="F14" i="78"/>
  <c r="G14" i="78"/>
  <c r="H14" i="78"/>
  <c r="I14" i="78"/>
  <c r="J14" i="78"/>
  <c r="M14" i="78"/>
  <c r="H18" i="91"/>
  <c r="N14" i="78"/>
  <c r="L18" i="91"/>
  <c r="F15" i="78"/>
  <c r="G15" i="78"/>
  <c r="H15" i="78"/>
  <c r="I15" i="78"/>
  <c r="J15" i="78"/>
  <c r="R19" i="87"/>
  <c r="M15" i="78"/>
  <c r="M19" i="87"/>
  <c r="N15" i="78"/>
  <c r="L19" i="91"/>
  <c r="F16" i="78"/>
  <c r="G16" i="78"/>
  <c r="H16" i="78"/>
  <c r="I16" i="78"/>
  <c r="J16" i="78"/>
  <c r="R20" i="87"/>
  <c r="M16" i="78"/>
  <c r="H20" i="91"/>
  <c r="N16" i="78"/>
  <c r="F17" i="78"/>
  <c r="G17" i="78"/>
  <c r="H17" i="78"/>
  <c r="I17" i="78"/>
  <c r="J17" i="78"/>
  <c r="R21" i="87"/>
  <c r="M17" i="78"/>
  <c r="M21" i="87"/>
  <c r="N17" i="78"/>
  <c r="F18" i="78"/>
  <c r="G18" i="78"/>
  <c r="H18" i="78"/>
  <c r="I18" i="78"/>
  <c r="J18" i="78"/>
  <c r="R22" i="87"/>
  <c r="M18" i="78"/>
  <c r="H22" i="91"/>
  <c r="N18" i="78"/>
  <c r="L22" i="91"/>
  <c r="F19" i="78"/>
  <c r="G19" i="78"/>
  <c r="H19" i="78"/>
  <c r="I19" i="78"/>
  <c r="J19" i="78"/>
  <c r="J23" i="91"/>
  <c r="M19" i="78"/>
  <c r="N19" i="78"/>
  <c r="L23" i="91"/>
  <c r="F20" i="78"/>
  <c r="G20" i="78"/>
  <c r="H20" i="78"/>
  <c r="I20" i="78"/>
  <c r="J20" i="78"/>
  <c r="R24" i="87"/>
  <c r="M20" i="78"/>
  <c r="M24" i="87"/>
  <c r="N20" i="78"/>
  <c r="L24" i="91"/>
  <c r="F21" i="78"/>
  <c r="G21" i="78"/>
  <c r="H21" i="78"/>
  <c r="I21" i="78"/>
  <c r="J21" i="78"/>
  <c r="M21" i="78"/>
  <c r="H25" i="91"/>
  <c r="N21" i="78"/>
  <c r="L25" i="91"/>
  <c r="F22" i="78"/>
  <c r="G22" i="78"/>
  <c r="H22" i="78"/>
  <c r="I22" i="78"/>
  <c r="J22" i="78"/>
  <c r="J26" i="91"/>
  <c r="M22" i="78"/>
  <c r="N22" i="78"/>
  <c r="L26" i="91"/>
  <c r="F23" i="78"/>
  <c r="G23" i="78"/>
  <c r="H23" i="78"/>
  <c r="I23" i="78"/>
  <c r="J23" i="78"/>
  <c r="J27" i="91"/>
  <c r="M23" i="78"/>
  <c r="H27" i="91"/>
  <c r="N23" i="78"/>
  <c r="L27" i="91"/>
  <c r="N4" i="78"/>
  <c r="M4" i="78"/>
  <c r="J8" i="91"/>
  <c r="N3" i="78"/>
  <c r="N28" i="78"/>
  <c r="M3" i="78"/>
  <c r="M28" i="78"/>
  <c r="L3" i="78"/>
  <c r="L28" i="78"/>
  <c r="G4" i="78"/>
  <c r="H4" i="78"/>
  <c r="H25" i="78" s="1"/>
  <c r="C36" i="79" s="1"/>
  <c r="E11" i="80" s="1"/>
  <c r="I4" i="78"/>
  <c r="J4" i="78"/>
  <c r="J25" i="78" s="1"/>
  <c r="C38" i="79" s="1"/>
  <c r="E13" i="80" s="1"/>
  <c r="F4" i="78"/>
  <c r="K3" i="78"/>
  <c r="K28" i="78"/>
  <c r="I27" i="63"/>
  <c r="J27" i="63"/>
  <c r="H27" i="63"/>
  <c r="F27" i="63"/>
  <c r="E27" i="63"/>
  <c r="D27" i="63"/>
  <c r="G27" i="62"/>
  <c r="D21" i="62"/>
  <c r="I21" i="62"/>
  <c r="R43" i="78"/>
  <c r="Q22" i="91"/>
  <c r="D22" i="62"/>
  <c r="I22" i="62"/>
  <c r="R44" i="78"/>
  <c r="Q23" i="91"/>
  <c r="D23" i="62"/>
  <c r="I23" i="62"/>
  <c r="R45" i="78"/>
  <c r="Q24" i="91"/>
  <c r="D24" i="62"/>
  <c r="I24" i="62"/>
  <c r="R46" i="78"/>
  <c r="Q25" i="91"/>
  <c r="D25" i="62"/>
  <c r="I25" i="62"/>
  <c r="R47" i="78"/>
  <c r="Q26" i="91"/>
  <c r="D26" i="62"/>
  <c r="D11" i="62"/>
  <c r="I11" i="62"/>
  <c r="R33" i="78"/>
  <c r="Q12" i="91"/>
  <c r="D12" i="62"/>
  <c r="I12" i="62"/>
  <c r="R34" i="78"/>
  <c r="Q13" i="91"/>
  <c r="D13" i="62"/>
  <c r="I13" i="62"/>
  <c r="R35" i="78"/>
  <c r="Q14" i="91"/>
  <c r="D14" i="62"/>
  <c r="R36" i="78"/>
  <c r="Q15" i="91"/>
  <c r="D15" i="62"/>
  <c r="I15" i="62"/>
  <c r="R37" i="78"/>
  <c r="Q16" i="91"/>
  <c r="D16" i="62"/>
  <c r="I16" i="62"/>
  <c r="R38" i="78"/>
  <c r="Q17" i="91"/>
  <c r="D17" i="62"/>
  <c r="I17" i="62"/>
  <c r="R39" i="78"/>
  <c r="Q18" i="91"/>
  <c r="D18" i="62"/>
  <c r="I18" i="62"/>
  <c r="R40" i="78"/>
  <c r="Q19" i="91"/>
  <c r="D19" i="62"/>
  <c r="I19" i="62"/>
  <c r="R41" i="78"/>
  <c r="Q20" i="91"/>
  <c r="D20" i="62"/>
  <c r="I20" i="62"/>
  <c r="R42" i="78"/>
  <c r="Q21" i="91"/>
  <c r="D9" i="62"/>
  <c r="K9" i="62" s="1"/>
  <c r="L9" i="62" s="1"/>
  <c r="T31" i="78" s="1"/>
  <c r="S10" i="91" s="1"/>
  <c r="I9" i="62"/>
  <c r="R31" i="78" s="1"/>
  <c r="D10" i="62"/>
  <c r="I10" i="62"/>
  <c r="R32" i="78"/>
  <c r="Q11" i="91"/>
  <c r="I8" i="62"/>
  <c r="R30" i="78"/>
  <c r="Q9" i="91" s="1"/>
  <c r="I7" i="62"/>
  <c r="R29" i="78" s="1"/>
  <c r="Q8" i="91" s="1"/>
  <c r="F26" i="72"/>
  <c r="G26" i="72"/>
  <c r="H8" i="72"/>
  <c r="N8" i="72"/>
  <c r="H9" i="72"/>
  <c r="N9" i="72"/>
  <c r="H10" i="72"/>
  <c r="N10" i="72"/>
  <c r="H11" i="72"/>
  <c r="N11" i="72"/>
  <c r="H12" i="72"/>
  <c r="N12" i="72"/>
  <c r="H13" i="72"/>
  <c r="N13" i="72"/>
  <c r="H14" i="72"/>
  <c r="N14" i="72"/>
  <c r="H15" i="72"/>
  <c r="N15" i="72"/>
  <c r="H16" i="72"/>
  <c r="N16" i="72"/>
  <c r="H17" i="72"/>
  <c r="N17" i="72"/>
  <c r="H18" i="72"/>
  <c r="N18" i="72"/>
  <c r="H19" i="72"/>
  <c r="N19" i="72"/>
  <c r="H20" i="72"/>
  <c r="N20" i="72"/>
  <c r="H21" i="72"/>
  <c r="N21" i="72"/>
  <c r="H22" i="72"/>
  <c r="N22" i="72"/>
  <c r="H23" i="72"/>
  <c r="N23" i="72"/>
  <c r="H24" i="72"/>
  <c r="N24" i="72"/>
  <c r="H25" i="72"/>
  <c r="N25" i="72"/>
  <c r="H7" i="72"/>
  <c r="N7" i="72"/>
  <c r="H6" i="72"/>
  <c r="N6" i="72" s="1"/>
  <c r="E26" i="72"/>
  <c r="G26" i="61"/>
  <c r="E26" i="61"/>
  <c r="H48" i="79" s="1"/>
  <c r="M14" i="81" s="1"/>
  <c r="C4" i="79"/>
  <c r="C9" i="82" s="1"/>
  <c r="D26" i="61"/>
  <c r="I91" i="60"/>
  <c r="G28" i="62" s="1"/>
  <c r="I87" i="60"/>
  <c r="C28" i="62"/>
  <c r="I84" i="60"/>
  <c r="I83" i="60"/>
  <c r="I82" i="60"/>
  <c r="J48" i="78"/>
  <c r="I48" i="78"/>
  <c r="H48" i="78"/>
  <c r="G48" i="78"/>
  <c r="F48" i="78"/>
  <c r="I80" i="60"/>
  <c r="I79" i="60"/>
  <c r="I78" i="60"/>
  <c r="J47" i="78"/>
  <c r="I47" i="78"/>
  <c r="H47" i="78"/>
  <c r="G47" i="78"/>
  <c r="F47" i="78"/>
  <c r="I76" i="60"/>
  <c r="I75" i="60"/>
  <c r="I74" i="60"/>
  <c r="J46" i="78"/>
  <c r="I46" i="78"/>
  <c r="H46" i="78"/>
  <c r="G46" i="78"/>
  <c r="F46" i="78"/>
  <c r="I72" i="60"/>
  <c r="I71" i="60"/>
  <c r="I70" i="60"/>
  <c r="J45" i="78"/>
  <c r="I45" i="78"/>
  <c r="H45" i="78"/>
  <c r="G45" i="78"/>
  <c r="F45" i="78"/>
  <c r="I68" i="60"/>
  <c r="I67" i="60"/>
  <c r="I66" i="60"/>
  <c r="J44" i="78"/>
  <c r="I44" i="78"/>
  <c r="H44" i="78"/>
  <c r="G44" i="78"/>
  <c r="F44" i="78"/>
  <c r="I64" i="60"/>
  <c r="I63" i="60"/>
  <c r="I62" i="60"/>
  <c r="J43" i="78"/>
  <c r="I43" i="78"/>
  <c r="H43" i="78"/>
  <c r="G43" i="78"/>
  <c r="F43" i="78"/>
  <c r="I60" i="60"/>
  <c r="I59" i="60"/>
  <c r="I58" i="60"/>
  <c r="J42" i="78"/>
  <c r="I42" i="78"/>
  <c r="G42" i="78"/>
  <c r="F42" i="78"/>
  <c r="I56" i="60"/>
  <c r="I55" i="60"/>
  <c r="I54" i="60"/>
  <c r="J41" i="78"/>
  <c r="H41" i="78"/>
  <c r="G41" i="78"/>
  <c r="F41" i="78"/>
  <c r="I52" i="60"/>
  <c r="I51" i="60"/>
  <c r="I50" i="60"/>
  <c r="J40" i="78"/>
  <c r="I40" i="78"/>
  <c r="H40" i="78"/>
  <c r="G40" i="78"/>
  <c r="F40" i="78"/>
  <c r="I48" i="60"/>
  <c r="I47" i="60"/>
  <c r="I46" i="60"/>
  <c r="J39" i="78"/>
  <c r="I39" i="78"/>
  <c r="H39" i="78"/>
  <c r="G39" i="78"/>
  <c r="I44" i="60"/>
  <c r="I43" i="60"/>
  <c r="I42" i="60"/>
  <c r="J38" i="78"/>
  <c r="I38" i="78"/>
  <c r="H38" i="78"/>
  <c r="G38" i="78"/>
  <c r="F38" i="78"/>
  <c r="I40" i="60"/>
  <c r="I39" i="60"/>
  <c r="I38" i="60"/>
  <c r="J37" i="78"/>
  <c r="I37" i="78"/>
  <c r="H37" i="78"/>
  <c r="G37" i="78"/>
  <c r="F37" i="78"/>
  <c r="I36" i="60"/>
  <c r="I35" i="60"/>
  <c r="I34" i="60"/>
  <c r="I36" i="78"/>
  <c r="H36" i="78"/>
  <c r="G36" i="78"/>
  <c r="F36" i="78"/>
  <c r="I32" i="60"/>
  <c r="I31" i="60"/>
  <c r="I30" i="60"/>
  <c r="J35" i="78"/>
  <c r="I35" i="78"/>
  <c r="H35" i="78"/>
  <c r="G35" i="78"/>
  <c r="F35" i="78"/>
  <c r="I28" i="60"/>
  <c r="I27" i="60"/>
  <c r="I26" i="60"/>
  <c r="J34" i="78"/>
  <c r="I34" i="78"/>
  <c r="H34" i="78"/>
  <c r="G34" i="78"/>
  <c r="F34" i="78"/>
  <c r="I24" i="60"/>
  <c r="I23" i="60"/>
  <c r="I22" i="60"/>
  <c r="J33" i="78"/>
  <c r="I33" i="78"/>
  <c r="H33" i="78"/>
  <c r="G33" i="78"/>
  <c r="F33" i="78"/>
  <c r="I20" i="60"/>
  <c r="I19" i="60"/>
  <c r="I18" i="60"/>
  <c r="J32" i="78"/>
  <c r="I32" i="78"/>
  <c r="H32" i="78"/>
  <c r="G32" i="78"/>
  <c r="F32" i="78"/>
  <c r="I16" i="60"/>
  <c r="I15" i="60"/>
  <c r="I14" i="60"/>
  <c r="H13" i="60"/>
  <c r="J31" i="78"/>
  <c r="G13" i="60"/>
  <c r="I13" i="60" s="1"/>
  <c r="H31" i="78"/>
  <c r="E13" i="60"/>
  <c r="G31" i="78"/>
  <c r="D13" i="60"/>
  <c r="F31" i="78" s="1"/>
  <c r="B9" i="60"/>
  <c r="B13" i="60"/>
  <c r="H9" i="60"/>
  <c r="H88" i="60" s="1" a="1"/>
  <c r="H88" i="60" s="1"/>
  <c r="G9" i="60"/>
  <c r="G89" i="60" s="1" a="1"/>
  <c r="G89" i="60" s="1"/>
  <c r="F9" i="60"/>
  <c r="F88" i="60" s="1" a="1"/>
  <c r="F88" i="60" s="1"/>
  <c r="E9" i="60"/>
  <c r="E88" i="60" s="1" a="1"/>
  <c r="E88" i="60" s="1"/>
  <c r="G30" i="78"/>
  <c r="D9" i="60"/>
  <c r="D90" i="60" s="1" a="1"/>
  <c r="D90" i="60" s="1"/>
  <c r="H5" i="60"/>
  <c r="J29" i="78" s="1"/>
  <c r="G5" i="60"/>
  <c r="I29" i="78" s="1"/>
  <c r="F5" i="60"/>
  <c r="H29" i="78" s="1"/>
  <c r="E5" i="60"/>
  <c r="G29" i="78" s="1"/>
  <c r="D5" i="60"/>
  <c r="I7" i="60"/>
  <c r="H4" i="60"/>
  <c r="H87" i="60"/>
  <c r="G4" i="60"/>
  <c r="G87" i="60"/>
  <c r="F4" i="60"/>
  <c r="F87" i="60"/>
  <c r="E4" i="60"/>
  <c r="E87" i="60"/>
  <c r="D4" i="60"/>
  <c r="D87" i="60"/>
  <c r="G26" i="54"/>
  <c r="E26" i="54"/>
  <c r="G48" i="79"/>
  <c r="K14" i="81" s="1"/>
  <c r="D26" i="54"/>
  <c r="H26" i="53"/>
  <c r="I6" i="53"/>
  <c r="I7" i="53"/>
  <c r="H7" i="68"/>
  <c r="N7" i="68" s="1"/>
  <c r="H8" i="68"/>
  <c r="I9" i="53"/>
  <c r="H9" i="68"/>
  <c r="I10" i="53"/>
  <c r="I11" i="53"/>
  <c r="H11" i="68"/>
  <c r="I12" i="53"/>
  <c r="H12" i="68"/>
  <c r="I13" i="53"/>
  <c r="H13" i="68"/>
  <c r="I14" i="53"/>
  <c r="H14" i="68"/>
  <c r="I15" i="53"/>
  <c r="H15" i="68"/>
  <c r="I16" i="53"/>
  <c r="H16" i="68"/>
  <c r="I17" i="53"/>
  <c r="H17" i="68"/>
  <c r="I18" i="53"/>
  <c r="H18" i="68"/>
  <c r="I19" i="53"/>
  <c r="H19" i="68"/>
  <c r="I20" i="53"/>
  <c r="H20" i="68"/>
  <c r="I21" i="53"/>
  <c r="H21" i="68"/>
  <c r="I22" i="53"/>
  <c r="H22" i="68"/>
  <c r="I23" i="53"/>
  <c r="H23" i="68"/>
  <c r="I24" i="53"/>
  <c r="H24" i="68"/>
  <c r="I5" i="53"/>
  <c r="E25" i="53"/>
  <c r="F25" i="53"/>
  <c r="G25" i="53"/>
  <c r="H25" i="53"/>
  <c r="D25" i="53"/>
  <c r="H4" i="53"/>
  <c r="J3" i="78"/>
  <c r="B38" i="79"/>
  <c r="B13" i="80"/>
  <c r="G4" i="53"/>
  <c r="I3" i="78"/>
  <c r="I28" i="78"/>
  <c r="F4" i="53"/>
  <c r="H3" i="78"/>
  <c r="B36" i="79"/>
  <c r="B11" i="80"/>
  <c r="E4" i="53"/>
  <c r="G3" i="78"/>
  <c r="G28" i="78"/>
  <c r="D4" i="53"/>
  <c r="F3" i="78"/>
  <c r="F28" i="78"/>
  <c r="F2" i="45"/>
  <c r="B4" i="82" s="1"/>
  <c r="B6" i="86"/>
  <c r="B35" i="78"/>
  <c r="L25" i="78"/>
  <c r="S10" i="87"/>
  <c r="S8" i="87"/>
  <c r="K8" i="91"/>
  <c r="R8" i="87"/>
  <c r="J22" i="91"/>
  <c r="J21" i="91"/>
  <c r="J20" i="91"/>
  <c r="J19" i="91"/>
  <c r="J16" i="91"/>
  <c r="J15" i="91"/>
  <c r="J14" i="91"/>
  <c r="J13" i="91"/>
  <c r="J12" i="91"/>
  <c r="J11" i="91"/>
  <c r="J10" i="91"/>
  <c r="J9" i="91"/>
  <c r="D35" i="78"/>
  <c r="J24" i="91"/>
  <c r="C21" i="78"/>
  <c r="C25" i="91"/>
  <c r="B18" i="91"/>
  <c r="E20" i="78"/>
  <c r="E24" i="91"/>
  <c r="E16" i="78"/>
  <c r="E20" i="91"/>
  <c r="C8" i="78"/>
  <c r="C33" i="78"/>
  <c r="B59" i="78"/>
  <c r="B16" i="91"/>
  <c r="B63" i="78"/>
  <c r="C11" i="78"/>
  <c r="C15" i="91"/>
  <c r="B62" i="78"/>
  <c r="D4" i="78"/>
  <c r="D8" i="91"/>
  <c r="B55" i="78"/>
  <c r="B60" i="78"/>
  <c r="D5" i="78"/>
  <c r="D9" i="91"/>
  <c r="B56" i="78"/>
  <c r="D6" i="78"/>
  <c r="D10" i="91"/>
  <c r="B57" i="78"/>
  <c r="I13" i="91"/>
  <c r="N13" i="87"/>
  <c r="I10" i="91"/>
  <c r="N10" i="87"/>
  <c r="I9" i="91"/>
  <c r="N9" i="87"/>
  <c r="H14" i="91"/>
  <c r="M14" i="87"/>
  <c r="H12" i="91"/>
  <c r="M12" i="87"/>
  <c r="N13" i="68"/>
  <c r="B39" i="78"/>
  <c r="B65" i="78"/>
  <c r="E14" i="78"/>
  <c r="E39" i="78"/>
  <c r="B69" i="78"/>
  <c r="D14" i="78"/>
  <c r="D18" i="91"/>
  <c r="B43" i="78"/>
  <c r="B70" i="78"/>
  <c r="B44" i="78"/>
  <c r="B22" i="91"/>
  <c r="D18" i="78"/>
  <c r="D22" i="91"/>
  <c r="H19" i="91"/>
  <c r="B37" i="78"/>
  <c r="B23" i="91"/>
  <c r="M18" i="87"/>
  <c r="B46" i="78"/>
  <c r="C19" i="91"/>
  <c r="D29" i="78"/>
  <c r="B68" i="78"/>
  <c r="E21" i="91"/>
  <c r="B37" i="79"/>
  <c r="B12" i="80"/>
  <c r="D15" i="78"/>
  <c r="B31" i="78"/>
  <c r="I65" i="60"/>
  <c r="K22" i="78"/>
  <c r="H26" i="87"/>
  <c r="B45" i="78"/>
  <c r="B21" i="91"/>
  <c r="I37" i="60"/>
  <c r="B29" i="78"/>
  <c r="M20" i="87"/>
  <c r="B35" i="79"/>
  <c r="B10" i="80"/>
  <c r="B40" i="78"/>
  <c r="B72" i="78"/>
  <c r="K16" i="78"/>
  <c r="F20" i="91"/>
  <c r="H24" i="91"/>
  <c r="H15" i="91"/>
  <c r="B34" i="79"/>
  <c r="B9" i="80"/>
  <c r="B42" i="78"/>
  <c r="B66" i="78"/>
  <c r="B71" i="78"/>
  <c r="B19" i="91"/>
  <c r="E19" i="78"/>
  <c r="E23" i="91"/>
  <c r="C20" i="78"/>
  <c r="C24" i="91"/>
  <c r="K12" i="78"/>
  <c r="F16" i="91"/>
  <c r="I57" i="60"/>
  <c r="K48" i="78"/>
  <c r="I27" i="87"/>
  <c r="K18" i="78"/>
  <c r="H22" i="87"/>
  <c r="K13" i="78"/>
  <c r="H17" i="87"/>
  <c r="I77" i="60"/>
  <c r="K14" i="78"/>
  <c r="H18" i="87"/>
  <c r="K20" i="78"/>
  <c r="F24" i="91"/>
  <c r="N9" i="68"/>
  <c r="N12" i="68"/>
  <c r="N11" i="68"/>
  <c r="I33" i="60"/>
  <c r="K9" i="78"/>
  <c r="H13" i="87"/>
  <c r="K11" i="78"/>
  <c r="F15" i="91"/>
  <c r="K10" i="78"/>
  <c r="F14" i="91"/>
  <c r="K8" i="78"/>
  <c r="H12" i="87"/>
  <c r="K7" i="78"/>
  <c r="H11" i="87"/>
  <c r="B34" i="78"/>
  <c r="C30" i="78"/>
  <c r="B64" i="78"/>
  <c r="I49" i="60"/>
  <c r="B67" i="78"/>
  <c r="I25" i="60"/>
  <c r="I69" i="60"/>
  <c r="K49" i="78"/>
  <c r="F29" i="79" s="1"/>
  <c r="G29" i="76" s="1"/>
  <c r="I28" i="87" s="1"/>
  <c r="E17" i="91"/>
  <c r="N9" i="91"/>
  <c r="B26" i="91"/>
  <c r="E23" i="78"/>
  <c r="C13" i="78"/>
  <c r="C38" i="78"/>
  <c r="D13" i="78"/>
  <c r="D38" i="78"/>
  <c r="H21" i="91"/>
  <c r="P50" i="78"/>
  <c r="B47" i="78"/>
  <c r="B20" i="91"/>
  <c r="E41" i="78"/>
  <c r="H13" i="91"/>
  <c r="I12" i="86"/>
  <c r="E35" i="78"/>
  <c r="Q50" i="78"/>
  <c r="B48" i="78"/>
  <c r="B38" i="78"/>
  <c r="B74" i="78"/>
  <c r="B73" i="78"/>
  <c r="B36" i="78"/>
  <c r="B10" i="86"/>
  <c r="D6" i="80"/>
  <c r="G15" i="64"/>
  <c r="H5" i="63"/>
  <c r="H29" i="63"/>
  <c r="D5" i="63"/>
  <c r="D29" i="63"/>
  <c r="B17" i="91"/>
  <c r="D23" i="78"/>
  <c r="D27" i="91"/>
  <c r="D22" i="78"/>
  <c r="D47" i="78"/>
  <c r="E18" i="78"/>
  <c r="E22" i="78"/>
  <c r="E26" i="91"/>
  <c r="E7" i="78"/>
  <c r="E11" i="91"/>
  <c r="P11" i="62"/>
  <c r="J14" i="81"/>
  <c r="N8" i="68"/>
  <c r="L50" i="78"/>
  <c r="S9" i="87"/>
  <c r="N17" i="87"/>
  <c r="B30" i="78"/>
  <c r="E30" i="78"/>
  <c r="B9" i="91"/>
  <c r="E29" i="78"/>
  <c r="B8" i="91"/>
  <c r="C8" i="91"/>
  <c r="I41" i="60"/>
  <c r="I53" i="60"/>
  <c r="J36" i="78"/>
  <c r="I45" i="60"/>
  <c r="I41" i="78"/>
  <c r="H42" i="78"/>
  <c r="K42" i="78"/>
  <c r="I61" i="60"/>
  <c r="I29" i="60"/>
  <c r="K43" i="78"/>
  <c r="I22" i="87"/>
  <c r="I21" i="60"/>
  <c r="I81" i="60"/>
  <c r="I73" i="60"/>
  <c r="H11" i="91"/>
  <c r="C35" i="78"/>
  <c r="B11" i="91"/>
  <c r="B33" i="78"/>
  <c r="E15" i="78"/>
  <c r="C7" i="78"/>
  <c r="D9" i="78"/>
  <c r="D13" i="91"/>
  <c r="D44" i="78"/>
  <c r="B32" i="78"/>
  <c r="B10" i="91"/>
  <c r="B24" i="91"/>
  <c r="B13" i="91"/>
  <c r="C19" i="78"/>
  <c r="C17" i="78"/>
  <c r="C42" i="78"/>
  <c r="D17" i="78"/>
  <c r="D21" i="91"/>
  <c r="D7" i="78"/>
  <c r="D11" i="78"/>
  <c r="B15" i="91"/>
  <c r="E11" i="78"/>
  <c r="B12" i="91"/>
  <c r="K45" i="78"/>
  <c r="D12" i="64"/>
  <c r="D14" i="64"/>
  <c r="D15" i="64" s="1"/>
  <c r="D6" i="63"/>
  <c r="C9" i="95"/>
  <c r="D16" i="78"/>
  <c r="D41" i="78"/>
  <c r="C16" i="78"/>
  <c r="C20" i="91"/>
  <c r="E21" i="78"/>
  <c r="D21" i="78"/>
  <c r="D12" i="78"/>
  <c r="E12" i="78"/>
  <c r="C12" i="78"/>
  <c r="E9" i="78"/>
  <c r="C9" i="78"/>
  <c r="D8" i="78"/>
  <c r="E8" i="78"/>
  <c r="H28" i="78"/>
  <c r="B39" i="79"/>
  <c r="B14" i="80"/>
  <c r="B24" i="78"/>
  <c r="G37" i="87"/>
  <c r="C10" i="94"/>
  <c r="C11" i="94"/>
  <c r="C12" i="94" s="1"/>
  <c r="C13" i="94" s="1"/>
  <c r="B48" i="79"/>
  <c r="K30" i="87"/>
  <c r="P30" i="87"/>
  <c r="Q30" i="87"/>
  <c r="F5" i="45"/>
  <c r="F8" i="45"/>
  <c r="F7" i="51"/>
  <c r="B12" i="86"/>
  <c r="B4" i="83"/>
  <c r="F6" i="87"/>
  <c r="H6" i="87" s="1"/>
  <c r="M6" i="87" s="1"/>
  <c r="R6" i="87" s="1"/>
  <c r="B4" i="92"/>
  <c r="F6" i="76"/>
  <c r="B11" i="86"/>
  <c r="B4" i="91"/>
  <c r="F9" i="45"/>
  <c r="I20" i="91"/>
  <c r="I16" i="91"/>
  <c r="N27" i="87"/>
  <c r="N25" i="87"/>
  <c r="I24" i="91"/>
  <c r="S26" i="87"/>
  <c r="I23" i="91"/>
  <c r="I18" i="91"/>
  <c r="B27" i="91"/>
  <c r="I22" i="91"/>
  <c r="K13" i="91"/>
  <c r="K17" i="78"/>
  <c r="K15" i="78"/>
  <c r="K35" i="78"/>
  <c r="K37" i="78"/>
  <c r="K47" i="78"/>
  <c r="M27" i="87"/>
  <c r="M25" i="87"/>
  <c r="M17" i="87"/>
  <c r="N21" i="87"/>
  <c r="K23" i="78"/>
  <c r="F27" i="91"/>
  <c r="K22" i="91"/>
  <c r="I19" i="91"/>
  <c r="I15" i="91"/>
  <c r="I14" i="91"/>
  <c r="I11" i="91"/>
  <c r="N50" i="78"/>
  <c r="M50" i="78"/>
  <c r="N8" i="87"/>
  <c r="I12" i="91"/>
  <c r="K32" i="78"/>
  <c r="I17" i="60"/>
  <c r="K34" i="78"/>
  <c r="F25" i="78"/>
  <c r="C34" i="79" s="1"/>
  <c r="E9" i="80" s="1"/>
  <c r="C47" i="78"/>
  <c r="H6" i="68"/>
  <c r="N6" i="68" s="1"/>
  <c r="F26" i="68"/>
  <c r="H10" i="68"/>
  <c r="N10" i="68"/>
  <c r="J28" i="78"/>
  <c r="B17" i="60"/>
  <c r="K33" i="78"/>
  <c r="K44" i="78"/>
  <c r="K46" i="78"/>
  <c r="K38" i="78"/>
  <c r="K40" i="78"/>
  <c r="F39" i="78"/>
  <c r="K39" i="78"/>
  <c r="C48" i="78"/>
  <c r="L21" i="91"/>
  <c r="R27" i="87"/>
  <c r="M26" i="87"/>
  <c r="H26" i="91"/>
  <c r="J25" i="91"/>
  <c r="R25" i="87"/>
  <c r="K19" i="78"/>
  <c r="D39" i="78"/>
  <c r="R17" i="87"/>
  <c r="J17" i="91"/>
  <c r="F6" i="45"/>
  <c r="D25" i="68"/>
  <c r="B28" i="83"/>
  <c r="Q28" i="83"/>
  <c r="R26" i="87"/>
  <c r="K21" i="78"/>
  <c r="C43" i="78"/>
  <c r="C22" i="91"/>
  <c r="L20" i="91"/>
  <c r="E28" i="83"/>
  <c r="M23" i="87"/>
  <c r="H23" i="91"/>
  <c r="R18" i="87"/>
  <c r="J18" i="91"/>
  <c r="H16" i="91"/>
  <c r="S27" i="87"/>
  <c r="N26" i="87"/>
  <c r="S25" i="87"/>
  <c r="K24" i="91"/>
  <c r="K23" i="91"/>
  <c r="K20" i="91"/>
  <c r="K19" i="91"/>
  <c r="K18" i="91"/>
  <c r="K17" i="91"/>
  <c r="K16" i="91"/>
  <c r="K15" i="91"/>
  <c r="K14" i="91"/>
  <c r="D45" i="78"/>
  <c r="R23" i="87"/>
  <c r="M22" i="87"/>
  <c r="C39" i="78"/>
  <c r="S12" i="87"/>
  <c r="C46" i="78"/>
  <c r="C12" i="91"/>
  <c r="C36" i="78"/>
  <c r="D31" i="78"/>
  <c r="D30" i="78"/>
  <c r="E45" i="78"/>
  <c r="E32" i="78"/>
  <c r="E18" i="91"/>
  <c r="F26" i="91"/>
  <c r="H24" i="87"/>
  <c r="E44" i="78"/>
  <c r="H16" i="87"/>
  <c r="F17" i="91"/>
  <c r="C17" i="91"/>
  <c r="D43" i="78"/>
  <c r="C45" i="78"/>
  <c r="E47" i="78"/>
  <c r="F18" i="91"/>
  <c r="D42" i="78"/>
  <c r="M11" i="86"/>
  <c r="D48" i="78"/>
  <c r="M12" i="86"/>
  <c r="D40" i="78"/>
  <c r="D19" i="91"/>
  <c r="K41" i="78"/>
  <c r="I20" i="87"/>
  <c r="H27" i="87"/>
  <c r="G27" i="91"/>
  <c r="C41" i="78"/>
  <c r="H15" i="87"/>
  <c r="H20" i="87"/>
  <c r="F22" i="91"/>
  <c r="D17" i="91"/>
  <c r="K36" i="78"/>
  <c r="G15" i="91"/>
  <c r="F12" i="91"/>
  <c r="F13" i="91"/>
  <c r="H14" i="87"/>
  <c r="F11" i="91"/>
  <c r="J12" i="86"/>
  <c r="I11" i="86"/>
  <c r="D10" i="86"/>
  <c r="C9" i="91"/>
  <c r="F11" i="86"/>
  <c r="J11" i="86"/>
  <c r="M10" i="86"/>
  <c r="J10" i="86"/>
  <c r="I10" i="86"/>
  <c r="G11" i="86"/>
  <c r="L10" i="86"/>
  <c r="D26" i="91"/>
  <c r="E8" i="91"/>
  <c r="H6" i="63"/>
  <c r="D30" i="63"/>
  <c r="E22" i="91"/>
  <c r="E43" i="78"/>
  <c r="E48" i="78"/>
  <c r="E27" i="91"/>
  <c r="K7" i="75"/>
  <c r="P7" i="75" s="1"/>
  <c r="P38" i="75" s="1"/>
  <c r="F38" i="75"/>
  <c r="J4" i="79"/>
  <c r="J9" i="82"/>
  <c r="E9" i="91"/>
  <c r="C29" i="78"/>
  <c r="G22" i="91"/>
  <c r="I21" i="87"/>
  <c r="G21" i="91"/>
  <c r="D20" i="91"/>
  <c r="C21" i="91"/>
  <c r="D34" i="78"/>
  <c r="E19" i="91"/>
  <c r="E40" i="78"/>
  <c r="C11" i="91"/>
  <c r="C32" i="78"/>
  <c r="C23" i="91"/>
  <c r="C44" i="78"/>
  <c r="D11" i="91"/>
  <c r="D32" i="78"/>
  <c r="E36" i="78"/>
  <c r="E15" i="91"/>
  <c r="D15" i="91"/>
  <c r="D36" i="78"/>
  <c r="G24" i="91"/>
  <c r="I24" i="87"/>
  <c r="C37" i="78"/>
  <c r="C16" i="91"/>
  <c r="E25" i="91"/>
  <c r="E46" i="78"/>
  <c r="E16" i="91"/>
  <c r="E37" i="78"/>
  <c r="C13" i="91"/>
  <c r="C34" i="78"/>
  <c r="D16" i="91"/>
  <c r="D37" i="78"/>
  <c r="E13" i="91"/>
  <c r="E34" i="78"/>
  <c r="D25" i="91"/>
  <c r="D46" i="78"/>
  <c r="E12" i="91"/>
  <c r="E33" i="78"/>
  <c r="D12" i="91"/>
  <c r="D33" i="78"/>
  <c r="P5" i="87"/>
  <c r="D5" i="61"/>
  <c r="K5" i="87"/>
  <c r="E5" i="72"/>
  <c r="E5" i="61"/>
  <c r="B29" i="79"/>
  <c r="B29" i="76"/>
  <c r="L29" i="76"/>
  <c r="B49" i="78"/>
  <c r="R30" i="87"/>
  <c r="S30" i="87"/>
  <c r="K6" i="75"/>
  <c r="K37" i="75"/>
  <c r="E5" i="54"/>
  <c r="D5" i="54"/>
  <c r="P6" i="75"/>
  <c r="P37" i="75"/>
  <c r="E6" i="63"/>
  <c r="F6" i="63" s="1"/>
  <c r="F30" i="63" s="1"/>
  <c r="I33" i="63"/>
  <c r="E10" i="91"/>
  <c r="E31" i="78"/>
  <c r="C5" i="64"/>
  <c r="B47" i="79"/>
  <c r="E47" i="79" s="1"/>
  <c r="E13" i="81" s="1"/>
  <c r="B14" i="81"/>
  <c r="F21" i="91"/>
  <c r="H21" i="87"/>
  <c r="G26" i="91"/>
  <c r="I26" i="87"/>
  <c r="I16" i="87"/>
  <c r="G16" i="91"/>
  <c r="F19" i="91"/>
  <c r="H19" i="87"/>
  <c r="I14" i="87"/>
  <c r="G14" i="91"/>
  <c r="H6" i="91"/>
  <c r="L6" i="62"/>
  <c r="F8" i="86"/>
  <c r="J6" i="91"/>
  <c r="I8" i="86"/>
  <c r="E5" i="64"/>
  <c r="G6" i="83"/>
  <c r="D6" i="62"/>
  <c r="F6" i="92"/>
  <c r="D25" i="92"/>
  <c r="I11" i="87"/>
  <c r="G11" i="91"/>
  <c r="G13" i="91"/>
  <c r="I13" i="87"/>
  <c r="G17" i="91"/>
  <c r="I17" i="87"/>
  <c r="G12" i="91"/>
  <c r="I12" i="87"/>
  <c r="B21" i="60"/>
  <c r="H23" i="87"/>
  <c r="F23" i="91"/>
  <c r="I18" i="87"/>
  <c r="G18" i="91"/>
  <c r="G25" i="91"/>
  <c r="I25" i="87"/>
  <c r="F25" i="91"/>
  <c r="H25" i="87"/>
  <c r="I19" i="87"/>
  <c r="G19" i="91"/>
  <c r="G23" i="91"/>
  <c r="I23" i="87"/>
  <c r="I15" i="87"/>
  <c r="G20" i="91"/>
  <c r="G13" i="64"/>
  <c r="G14" i="64"/>
  <c r="E17" i="77"/>
  <c r="E11" i="77"/>
  <c r="E6" i="77"/>
  <c r="E14" i="77"/>
  <c r="E3" i="77"/>
  <c r="E13" i="77"/>
  <c r="E19" i="77"/>
  <c r="E15" i="77"/>
  <c r="E12" i="77"/>
  <c r="I6" i="63"/>
  <c r="I30" i="63"/>
  <c r="E30" i="63"/>
  <c r="E7" i="64"/>
  <c r="E6" i="64"/>
  <c r="H47" i="79"/>
  <c r="M13" i="81" s="1"/>
  <c r="G47" i="79"/>
  <c r="K13" i="81" s="1"/>
  <c r="F47" i="79"/>
  <c r="G13" i="81" s="1"/>
  <c r="E9" i="94"/>
  <c r="F10" i="51"/>
  <c r="B13" i="81"/>
  <c r="B46" i="79"/>
  <c r="D46" i="79" s="1"/>
  <c r="J12" i="81" s="1"/>
  <c r="B8" i="82"/>
  <c r="B9" i="82"/>
  <c r="F5" i="72"/>
  <c r="H5" i="72"/>
  <c r="G5" i="72"/>
  <c r="N7" i="91"/>
  <c r="F6" i="62"/>
  <c r="C8" i="82"/>
  <c r="B25" i="60"/>
  <c r="O29" i="78"/>
  <c r="N8" i="91" s="1"/>
  <c r="F27" i="62"/>
  <c r="P7" i="62"/>
  <c r="P27" i="62" s="1"/>
  <c r="E8" i="77"/>
  <c r="E18" i="77"/>
  <c r="E4" i="77"/>
  <c r="E9" i="77"/>
  <c r="E7" i="77"/>
  <c r="E5" i="77"/>
  <c r="E16" i="77"/>
  <c r="E10" i="77"/>
  <c r="F46" i="79"/>
  <c r="G12" i="81" s="1"/>
  <c r="E46" i="79"/>
  <c r="E12" i="81" s="1"/>
  <c r="C13" i="64"/>
  <c r="C15" i="64"/>
  <c r="H7" i="64"/>
  <c r="C16" i="64"/>
  <c r="K19" i="62"/>
  <c r="L19" i="62"/>
  <c r="T41" i="78"/>
  <c r="S20" i="91"/>
  <c r="K23" i="62"/>
  <c r="L23" i="62"/>
  <c r="T45" i="78" s="1"/>
  <c r="S24" i="91" s="1"/>
  <c r="K17" i="62"/>
  <c r="L17" i="62"/>
  <c r="T39" i="78" s="1"/>
  <c r="S18" i="91" s="1"/>
  <c r="K22" i="62"/>
  <c r="L22" i="62"/>
  <c r="T44" i="78"/>
  <c r="S23" i="91"/>
  <c r="K24" i="62"/>
  <c r="L24" i="62"/>
  <c r="T46" i="78" s="1"/>
  <c r="S25" i="91" s="1"/>
  <c r="K25" i="62"/>
  <c r="L25" i="62"/>
  <c r="T47" i="78" s="1"/>
  <c r="S26" i="91" s="1"/>
  <c r="K13" i="62"/>
  <c r="L13" i="62"/>
  <c r="T35" i="78"/>
  <c r="S14" i="91"/>
  <c r="K14" i="62"/>
  <c r="L14" i="62"/>
  <c r="T36" i="78" s="1"/>
  <c r="S15" i="91" s="1"/>
  <c r="K21" i="62"/>
  <c r="L21" i="62"/>
  <c r="T43" i="78" s="1"/>
  <c r="S22" i="91" s="1"/>
  <c r="K7" i="62"/>
  <c r="L7" i="62" s="1"/>
  <c r="T29" i="78" s="1"/>
  <c r="K12" i="62"/>
  <c r="L12" i="62"/>
  <c r="T34" i="78"/>
  <c r="S13" i="91"/>
  <c r="K18" i="62"/>
  <c r="L18" i="62"/>
  <c r="T40" i="78" s="1"/>
  <c r="S19" i="91" s="1"/>
  <c r="K15" i="62"/>
  <c r="L15" i="62"/>
  <c r="T37" i="78" s="1"/>
  <c r="S16" i="91" s="1"/>
  <c r="K20" i="62"/>
  <c r="L20" i="62"/>
  <c r="T42" i="78"/>
  <c r="S21" i="91"/>
  <c r="K26" i="62"/>
  <c r="L26" i="62"/>
  <c r="T48" i="78" s="1"/>
  <c r="S27" i="91" s="1"/>
  <c r="K16" i="62"/>
  <c r="L16" i="62"/>
  <c r="T38" i="78" s="1"/>
  <c r="S17" i="91" s="1"/>
  <c r="K8" i="62"/>
  <c r="L8" i="62" s="1"/>
  <c r="T30" i="78" s="1"/>
  <c r="S9" i="91" s="1"/>
  <c r="K10" i="62"/>
  <c r="L10" i="62"/>
  <c r="T32" i="78"/>
  <c r="S11" i="91" s="1"/>
  <c r="K11" i="62"/>
  <c r="L11" i="62"/>
  <c r="T33" i="78" s="1"/>
  <c r="S12" i="91" s="1"/>
  <c r="B29" i="60"/>
  <c r="M9" i="81"/>
  <c r="K9" i="81"/>
  <c r="B33" i="60"/>
  <c r="B37" i="60"/>
  <c r="B41" i="60"/>
  <c r="B45" i="60"/>
  <c r="B49" i="60"/>
  <c r="B53" i="60"/>
  <c r="B57" i="60"/>
  <c r="B61" i="60"/>
  <c r="B65" i="60"/>
  <c r="B69" i="60"/>
  <c r="B73" i="60"/>
  <c r="B77" i="60"/>
  <c r="B81" i="60"/>
  <c r="D12" i="55"/>
  <c r="G12" i="55"/>
  <c r="E12" i="55"/>
  <c r="E25" i="97"/>
  <c r="F25" i="97"/>
  <c r="N26" i="54" l="1"/>
  <c r="E11" i="97" s="1"/>
  <c r="F11" i="97" s="1"/>
  <c r="M10" i="87"/>
  <c r="M25" i="78"/>
  <c r="F21" i="77"/>
  <c r="H21" i="77" s="1"/>
  <c r="H5" i="77"/>
  <c r="H20" i="77"/>
  <c r="E7" i="97"/>
  <c r="F7" i="97" s="1"/>
  <c r="D3" i="52"/>
  <c r="C10" i="91"/>
  <c r="J33" i="63"/>
  <c r="E4" i="79" s="1"/>
  <c r="E9" i="82" s="1"/>
  <c r="L8" i="91"/>
  <c r="L12" i="86"/>
  <c r="N12" i="86" s="1"/>
  <c r="M8" i="87"/>
  <c r="F12" i="86"/>
  <c r="H12" i="86" s="1"/>
  <c r="N27" i="96"/>
  <c r="K11" i="86"/>
  <c r="N25" i="78"/>
  <c r="H8" i="91"/>
  <c r="N14" i="81"/>
  <c r="N11" i="86"/>
  <c r="N10" i="86"/>
  <c r="E10" i="86"/>
  <c r="E11" i="86"/>
  <c r="H11" i="86"/>
  <c r="L14" i="81"/>
  <c r="K10" i="86"/>
  <c r="H10" i="86"/>
  <c r="K27" i="62"/>
  <c r="L27" i="62" s="1"/>
  <c r="I7" i="64"/>
  <c r="D16" i="64" s="1"/>
  <c r="D17" i="64" s="1"/>
  <c r="N30" i="87"/>
  <c r="D55" i="99"/>
  <c r="E4" i="99" s="1"/>
  <c r="E4" i="69"/>
  <c r="O27" i="74"/>
  <c r="E23" i="97" s="1"/>
  <c r="F23" i="97" s="1"/>
  <c r="Q10" i="91"/>
  <c r="R50" i="78"/>
  <c r="R9" i="91"/>
  <c r="S50" i="78"/>
  <c r="O50" i="78"/>
  <c r="C3" i="62"/>
  <c r="E20" i="97"/>
  <c r="F20" i="97" s="1"/>
  <c r="H26" i="72"/>
  <c r="N26" i="72"/>
  <c r="D3" i="72" s="1"/>
  <c r="S8" i="91"/>
  <c r="T50" i="78"/>
  <c r="J27" i="62"/>
  <c r="I27" i="62"/>
  <c r="D39" i="79"/>
  <c r="F14" i="80" s="1"/>
  <c r="I31" i="78"/>
  <c r="K31" i="78"/>
  <c r="D12" i="86"/>
  <c r="G10" i="91"/>
  <c r="I10" i="87"/>
  <c r="D88" i="60" a="1"/>
  <c r="D88" i="60" s="1"/>
  <c r="F29" i="78"/>
  <c r="I5" i="60"/>
  <c r="H30" i="78"/>
  <c r="H50" i="78" s="1"/>
  <c r="D36" i="79" s="1"/>
  <c r="F11" i="80" s="1"/>
  <c r="F89" i="60" a="1"/>
  <c r="F89" i="60" s="1"/>
  <c r="E90" i="60" a="1"/>
  <c r="E90" i="60" s="1"/>
  <c r="I30" i="78"/>
  <c r="I50" i="78"/>
  <c r="D37" i="79" s="1"/>
  <c r="F12" i="80" s="1"/>
  <c r="M9" i="95" s="1"/>
  <c r="G90" i="60" a="1"/>
  <c r="G90" i="60" s="1"/>
  <c r="J30" i="78"/>
  <c r="J50" i="78" s="1"/>
  <c r="D38" i="79" s="1"/>
  <c r="F13" i="80" s="1"/>
  <c r="H90" i="60" a="1"/>
  <c r="H90" i="60" s="1"/>
  <c r="H89" i="60" a="1"/>
  <c r="H89" i="60" s="1"/>
  <c r="H91" i="60" s="1"/>
  <c r="G88" i="60" a="1"/>
  <c r="G88" i="60" s="1"/>
  <c r="G91" i="60" s="1"/>
  <c r="F90" i="60" a="1"/>
  <c r="F90" i="60" s="1"/>
  <c r="E89" i="60" a="1"/>
  <c r="E89" i="60" s="1"/>
  <c r="E91" i="60" s="1"/>
  <c r="G50" i="78"/>
  <c r="D35" i="79" s="1"/>
  <c r="F10" i="80" s="1"/>
  <c r="D89" i="60" a="1"/>
  <c r="D89" i="60" s="1"/>
  <c r="D91" i="60" s="1"/>
  <c r="I9" i="60"/>
  <c r="F30" i="78"/>
  <c r="K12" i="86"/>
  <c r="K29" i="78"/>
  <c r="F50" i="78"/>
  <c r="D34" i="79" s="1"/>
  <c r="F9" i="80" s="1"/>
  <c r="C3" i="61"/>
  <c r="C3" i="54"/>
  <c r="G26" i="68"/>
  <c r="H26" i="68" s="1"/>
  <c r="N26" i="68" s="1"/>
  <c r="N29" i="68" s="1"/>
  <c r="N14" i="51"/>
  <c r="C3" i="51" s="1"/>
  <c r="E29" i="79"/>
  <c r="F29" i="76" s="1"/>
  <c r="H28" i="87" s="1"/>
  <c r="I25" i="78"/>
  <c r="C37" i="79" s="1"/>
  <c r="E12" i="80" s="1"/>
  <c r="G25" i="78"/>
  <c r="C35" i="79" s="1"/>
  <c r="E10" i="80" s="1"/>
  <c r="E15" i="80" s="1"/>
  <c r="D9" i="80" s="1"/>
  <c r="I29" i="76"/>
  <c r="K6" i="78"/>
  <c r="F10" i="91" s="1"/>
  <c r="C12" i="86"/>
  <c r="H10" i="87"/>
  <c r="K5" i="78"/>
  <c r="I25" i="53"/>
  <c r="I27" i="53" s="1"/>
  <c r="E48" i="79" s="1"/>
  <c r="E14" i="81" s="1"/>
  <c r="F14" i="81" s="1"/>
  <c r="N27" i="53"/>
  <c r="E9" i="97" s="1"/>
  <c r="F9" i="97" s="1"/>
  <c r="K4" i="78"/>
  <c r="H8" i="87" s="1"/>
  <c r="U7" i="75"/>
  <c r="U38" i="75" s="1"/>
  <c r="G38" i="87"/>
  <c r="M7" i="75"/>
  <c r="H38" i="75"/>
  <c r="E6" i="97"/>
  <c r="F6" i="97" s="1"/>
  <c r="J6" i="63"/>
  <c r="J30" i="63" s="1"/>
  <c r="G46" i="79"/>
  <c r="K12" i="81" s="1"/>
  <c r="L12" i="81" s="1"/>
  <c r="D47" i="79"/>
  <c r="J13" i="81" s="1"/>
  <c r="N13" i="81" s="1"/>
  <c r="B12" i="81"/>
  <c r="H46" i="79"/>
  <c r="M12" i="81" s="1"/>
  <c r="N12" i="81" s="1"/>
  <c r="K38" i="75"/>
  <c r="B45" i="79"/>
  <c r="C47" i="79"/>
  <c r="D13" i="81" s="1"/>
  <c r="H13" i="81" s="1"/>
  <c r="K6" i="87"/>
  <c r="P6" i="87" s="1"/>
  <c r="C46" i="79"/>
  <c r="D12" i="81" s="1"/>
  <c r="F12" i="81" s="1"/>
  <c r="M30" i="87" l="1"/>
  <c r="H3" i="77"/>
  <c r="H15" i="77"/>
  <c r="H9" i="77"/>
  <c r="H13" i="77"/>
  <c r="H17" i="77"/>
  <c r="H18" i="77"/>
  <c r="H6" i="77"/>
  <c r="H7" i="77"/>
  <c r="H4" i="77"/>
  <c r="H14" i="77"/>
  <c r="H16" i="77"/>
  <c r="H19" i="77"/>
  <c r="H10" i="77"/>
  <c r="H8" i="77"/>
  <c r="H12" i="77"/>
  <c r="H11" i="77"/>
  <c r="H22" i="77"/>
  <c r="H12" i="81"/>
  <c r="F13" i="81"/>
  <c r="F14" i="64"/>
  <c r="E19" i="97"/>
  <c r="F19" i="97" s="1"/>
  <c r="K30" i="78"/>
  <c r="F13" i="64"/>
  <c r="K4" i="79" s="1"/>
  <c r="K9" i="82" s="1"/>
  <c r="F15" i="64"/>
  <c r="C3" i="74"/>
  <c r="D19" i="64"/>
  <c r="D20" i="64" s="1"/>
  <c r="L4" i="79"/>
  <c r="L9" i="82" s="1"/>
  <c r="E12" i="86"/>
  <c r="G4" i="79"/>
  <c r="G9" i="82" s="1"/>
  <c r="I8" i="64"/>
  <c r="D18" i="64" s="1"/>
  <c r="D21" i="64" s="1"/>
  <c r="F4" i="79" s="1"/>
  <c r="H4" i="79"/>
  <c r="H9" i="82" s="1"/>
  <c r="M29" i="83"/>
  <c r="L21" i="92"/>
  <c r="F91" i="60"/>
  <c r="J90" i="60"/>
  <c r="J88" i="60"/>
  <c r="J89" i="60"/>
  <c r="I9" i="87"/>
  <c r="G9" i="91"/>
  <c r="F15" i="80"/>
  <c r="G9" i="80" s="1"/>
  <c r="I9" i="95"/>
  <c r="G8" i="91"/>
  <c r="I8" i="87"/>
  <c r="K50" i="78"/>
  <c r="E10" i="97"/>
  <c r="F10" i="97" s="1"/>
  <c r="D3" i="68"/>
  <c r="C3" i="53"/>
  <c r="H9" i="87"/>
  <c r="H30" i="87" s="1"/>
  <c r="F9" i="91"/>
  <c r="K25" i="78"/>
  <c r="F8" i="91"/>
  <c r="D13" i="80"/>
  <c r="D14" i="80"/>
  <c r="D10" i="80"/>
  <c r="D15" i="80"/>
  <c r="D11" i="80"/>
  <c r="D12" i="80"/>
  <c r="G39" i="87"/>
  <c r="H38" i="87"/>
  <c r="L13" i="81"/>
  <c r="H45" i="79"/>
  <c r="M11" i="81" s="1"/>
  <c r="G45" i="79"/>
  <c r="K11" i="81" s="1"/>
  <c r="F45" i="79"/>
  <c r="G11" i="81" s="1"/>
  <c r="C45" i="79"/>
  <c r="D11" i="81" s="1"/>
  <c r="B44" i="79"/>
  <c r="E45" i="79"/>
  <c r="E11" i="81" s="1"/>
  <c r="F11" i="81" s="1"/>
  <c r="D45" i="79"/>
  <c r="J11" i="81" s="1"/>
  <c r="B11" i="81"/>
  <c r="R7" i="75"/>
  <c r="M38" i="75"/>
  <c r="J12" i="77" l="1"/>
  <c r="J6" i="77"/>
  <c r="J11" i="77"/>
  <c r="J20" i="77"/>
  <c r="J13" i="77"/>
  <c r="J4" i="77"/>
  <c r="J22" i="77"/>
  <c r="J16" i="77"/>
  <c r="J17" i="77"/>
  <c r="J10" i="77"/>
  <c r="J8" i="77"/>
  <c r="J18" i="77"/>
  <c r="J21" i="77"/>
  <c r="J3" i="77"/>
  <c r="J14" i="77"/>
  <c r="J5" i="77"/>
  <c r="J15" i="77"/>
  <c r="J9" i="77"/>
  <c r="J19" i="77"/>
  <c r="J7" i="77"/>
  <c r="L11" i="81"/>
  <c r="N11" i="81"/>
  <c r="J91" i="60"/>
  <c r="I6" i="64" s="1"/>
  <c r="E5" i="71"/>
  <c r="E7" i="71" s="1"/>
  <c r="L6" i="71" s="1"/>
  <c r="L11" i="71" s="1"/>
  <c r="D4" i="71" s="1"/>
  <c r="I30" i="87"/>
  <c r="H9" i="95"/>
  <c r="G14" i="80"/>
  <c r="G13" i="80"/>
  <c r="G15" i="80"/>
  <c r="G11" i="80"/>
  <c r="G12" i="80"/>
  <c r="G10" i="80"/>
  <c r="C44" i="79"/>
  <c r="D10" i="81" s="1"/>
  <c r="D44" i="79"/>
  <c r="J10" i="81" s="1"/>
  <c r="H44" i="79"/>
  <c r="M10" i="81" s="1"/>
  <c r="B10" i="81"/>
  <c r="G44" i="79"/>
  <c r="K10" i="81" s="1"/>
  <c r="F44" i="79"/>
  <c r="G10" i="81" s="1"/>
  <c r="E44" i="79"/>
  <c r="E10" i="81" s="1"/>
  <c r="M37" i="87"/>
  <c r="H37" i="87"/>
  <c r="N37" i="87"/>
  <c r="K37" i="87"/>
  <c r="I37" i="87"/>
  <c r="W7" i="75"/>
  <c r="W38" i="75" s="1"/>
  <c r="R38" i="75"/>
  <c r="H39" i="87"/>
  <c r="K39" i="87"/>
  <c r="M39" i="87"/>
  <c r="L39" i="87"/>
  <c r="N39" i="87"/>
  <c r="I39" i="87"/>
  <c r="G40" i="87"/>
  <c r="H11" i="81"/>
  <c r="L38" i="87"/>
  <c r="I38" i="87"/>
  <c r="M38" i="87"/>
  <c r="N38" i="87"/>
  <c r="K38" i="87"/>
  <c r="B72" i="79" l="1"/>
  <c r="B23" i="79"/>
  <c r="B13" i="79"/>
  <c r="B62" i="79"/>
  <c r="B22" i="79"/>
  <c r="B71" i="79"/>
  <c r="B74" i="79"/>
  <c r="B25" i="79"/>
  <c r="B28" i="79"/>
  <c r="B77" i="79"/>
  <c r="B15" i="79"/>
  <c r="B64" i="79"/>
  <c r="B59" i="79"/>
  <c r="B10" i="79"/>
  <c r="B19" i="79"/>
  <c r="B68" i="79"/>
  <c r="B11" i="79"/>
  <c r="B60" i="79"/>
  <c r="B26" i="79"/>
  <c r="B75" i="79"/>
  <c r="B69" i="79"/>
  <c r="B20" i="79"/>
  <c r="B17" i="79"/>
  <c r="B66" i="79"/>
  <c r="B16" i="79"/>
  <c r="B65" i="79"/>
  <c r="B9" i="79"/>
  <c r="B58" i="79"/>
  <c r="B61" i="79"/>
  <c r="B12" i="79"/>
  <c r="B14" i="79"/>
  <c r="B63" i="79"/>
  <c r="B70" i="79"/>
  <c r="B21" i="79"/>
  <c r="B27" i="79"/>
  <c r="B76" i="79"/>
  <c r="B18" i="79"/>
  <c r="B67" i="79"/>
  <c r="B73" i="79"/>
  <c r="B24" i="79"/>
  <c r="F10" i="81"/>
  <c r="N10" i="81"/>
  <c r="H10" i="81"/>
  <c r="L10" i="81"/>
  <c r="D4" i="79"/>
  <c r="D9" i="82" s="1"/>
  <c r="F48" i="79"/>
  <c r="E17" i="97"/>
  <c r="F17" i="97" s="1"/>
  <c r="E9" i="95"/>
  <c r="K9" i="95"/>
  <c r="L9" i="95" s="1"/>
  <c r="N9" i="95"/>
  <c r="J9" i="95"/>
  <c r="K40" i="87"/>
  <c r="I40" i="87"/>
  <c r="M40" i="87"/>
  <c r="N40" i="87"/>
  <c r="L40" i="87"/>
  <c r="H40" i="87"/>
  <c r="E64" i="79" l="1"/>
  <c r="J64" i="79"/>
  <c r="M14" i="83" s="1"/>
  <c r="G64" i="79"/>
  <c r="H14" i="83" s="1"/>
  <c r="H64" i="79"/>
  <c r="J14" i="83" s="1"/>
  <c r="F64" i="79"/>
  <c r="G14" i="83" s="1"/>
  <c r="B14" i="83"/>
  <c r="Q14" i="83" s="1"/>
  <c r="D64" i="79"/>
  <c r="D14" i="83" s="1"/>
  <c r="L64" i="79"/>
  <c r="I64" i="79"/>
  <c r="K14" i="83" s="1"/>
  <c r="C64" i="79"/>
  <c r="C14" i="83" s="1"/>
  <c r="K64" i="79"/>
  <c r="B27" i="83"/>
  <c r="Q27" i="83" s="1"/>
  <c r="L77" i="79"/>
  <c r="E77" i="79"/>
  <c r="C77" i="79"/>
  <c r="C27" i="83" s="1"/>
  <c r="J77" i="79"/>
  <c r="D77" i="79"/>
  <c r="K77" i="79"/>
  <c r="F77" i="79"/>
  <c r="I77" i="79"/>
  <c r="H77" i="79"/>
  <c r="G77" i="79"/>
  <c r="F17" i="79"/>
  <c r="G17" i="76" s="1"/>
  <c r="D17" i="79"/>
  <c r="D17" i="76" s="1"/>
  <c r="E17" i="79"/>
  <c r="F17" i="76" s="1"/>
  <c r="B17" i="76"/>
  <c r="L17" i="76" s="1"/>
  <c r="C17" i="79"/>
  <c r="C17" i="76" s="1"/>
  <c r="C21" i="79"/>
  <c r="C21" i="76" s="1"/>
  <c r="F21" i="79"/>
  <c r="G21" i="76" s="1"/>
  <c r="D21" i="79"/>
  <c r="D21" i="76" s="1"/>
  <c r="E21" i="79"/>
  <c r="F21" i="76" s="1"/>
  <c r="B21" i="76"/>
  <c r="L21" i="76" s="1"/>
  <c r="B20" i="83"/>
  <c r="Q20" i="83" s="1"/>
  <c r="L70" i="79"/>
  <c r="E70" i="79"/>
  <c r="G70" i="79"/>
  <c r="H20" i="83" s="1"/>
  <c r="J70" i="79"/>
  <c r="M20" i="83" s="1"/>
  <c r="H70" i="79"/>
  <c r="J20" i="83" s="1"/>
  <c r="C70" i="79"/>
  <c r="C20" i="83" s="1"/>
  <c r="F70" i="79"/>
  <c r="G20" i="83" s="1"/>
  <c r="K70" i="79"/>
  <c r="I70" i="79"/>
  <c r="K20" i="83" s="1"/>
  <c r="D70" i="79"/>
  <c r="D20" i="83" s="1"/>
  <c r="H69" i="79"/>
  <c r="J19" i="83" s="1"/>
  <c r="I69" i="79"/>
  <c r="K19" i="83" s="1"/>
  <c r="D69" i="79"/>
  <c r="D19" i="83" s="1"/>
  <c r="G69" i="79"/>
  <c r="H19" i="83" s="1"/>
  <c r="K69" i="79"/>
  <c r="B19" i="83"/>
  <c r="Q19" i="83" s="1"/>
  <c r="C69" i="79"/>
  <c r="C19" i="83" s="1"/>
  <c r="F69" i="79"/>
  <c r="G19" i="83" s="1"/>
  <c r="L69" i="79"/>
  <c r="J69" i="79"/>
  <c r="M19" i="83" s="1"/>
  <c r="E69" i="79"/>
  <c r="C28" i="79"/>
  <c r="C28" i="76" s="1"/>
  <c r="F28" i="79"/>
  <c r="G28" i="76" s="1"/>
  <c r="E28" i="79"/>
  <c r="F28" i="76" s="1"/>
  <c r="B28" i="76"/>
  <c r="L28" i="76" s="1"/>
  <c r="D28" i="79"/>
  <c r="D28" i="76" s="1"/>
  <c r="C66" i="79"/>
  <c r="C16" i="83" s="1"/>
  <c r="D66" i="79"/>
  <c r="D16" i="83" s="1"/>
  <c r="J66" i="79"/>
  <c r="M16" i="83" s="1"/>
  <c r="B16" i="83"/>
  <c r="Q16" i="83" s="1"/>
  <c r="I66" i="79"/>
  <c r="K16" i="83" s="1"/>
  <c r="H66" i="79"/>
  <c r="J16" i="83" s="1"/>
  <c r="L66" i="79"/>
  <c r="G66" i="79"/>
  <c r="H16" i="83" s="1"/>
  <c r="F66" i="79"/>
  <c r="G16" i="83" s="1"/>
  <c r="K66" i="79"/>
  <c r="E66" i="79"/>
  <c r="F63" i="79"/>
  <c r="G13" i="83" s="1"/>
  <c r="D63" i="79"/>
  <c r="D13" i="83" s="1"/>
  <c r="L63" i="79"/>
  <c r="E63" i="79"/>
  <c r="I63" i="79"/>
  <c r="K13" i="83" s="1"/>
  <c r="B13" i="83"/>
  <c r="Q13" i="83" s="1"/>
  <c r="H63" i="79"/>
  <c r="J13" i="83" s="1"/>
  <c r="J63" i="79"/>
  <c r="M13" i="83" s="1"/>
  <c r="G63" i="79"/>
  <c r="H13" i="83" s="1"/>
  <c r="K63" i="79"/>
  <c r="C63" i="79"/>
  <c r="C13" i="83" s="1"/>
  <c r="H75" i="79"/>
  <c r="J25" i="83" s="1"/>
  <c r="I75" i="79"/>
  <c r="K25" i="83" s="1"/>
  <c r="C75" i="79"/>
  <c r="C25" i="83" s="1"/>
  <c r="G75" i="79"/>
  <c r="H25" i="83" s="1"/>
  <c r="K75" i="79"/>
  <c r="J75" i="79"/>
  <c r="M25" i="83" s="1"/>
  <c r="F75" i="79"/>
  <c r="G25" i="83" s="1"/>
  <c r="B25" i="83"/>
  <c r="Q25" i="83" s="1"/>
  <c r="D75" i="79"/>
  <c r="D25" i="83" s="1"/>
  <c r="L75" i="79"/>
  <c r="E75" i="79"/>
  <c r="C25" i="79"/>
  <c r="C25" i="76" s="1"/>
  <c r="E25" i="79"/>
  <c r="F25" i="76" s="1"/>
  <c r="D25" i="79"/>
  <c r="D25" i="76" s="1"/>
  <c r="F25" i="79"/>
  <c r="G25" i="76" s="1"/>
  <c r="B25" i="76"/>
  <c r="L25" i="76" s="1"/>
  <c r="C27" i="79"/>
  <c r="C27" i="76" s="1"/>
  <c r="B27" i="76"/>
  <c r="L27" i="76" s="1"/>
  <c r="D27" i="79"/>
  <c r="D27" i="76" s="1"/>
  <c r="E27" i="79"/>
  <c r="F27" i="76" s="1"/>
  <c r="F27" i="79"/>
  <c r="G27" i="76" s="1"/>
  <c r="D20" i="79"/>
  <c r="D20" i="76" s="1"/>
  <c r="B20" i="76"/>
  <c r="L20" i="76" s="1"/>
  <c r="E20" i="79"/>
  <c r="F20" i="76" s="1"/>
  <c r="F20" i="79"/>
  <c r="G20" i="76" s="1"/>
  <c r="C20" i="79"/>
  <c r="C20" i="76" s="1"/>
  <c r="E14" i="79"/>
  <c r="F14" i="76" s="1"/>
  <c r="B14" i="76"/>
  <c r="L14" i="76" s="1"/>
  <c r="F14" i="79"/>
  <c r="G14" i="76" s="1"/>
  <c r="C14" i="79"/>
  <c r="C14" i="76" s="1"/>
  <c r="D14" i="79"/>
  <c r="D14" i="76" s="1"/>
  <c r="D26" i="79"/>
  <c r="D26" i="76" s="1"/>
  <c r="F26" i="79"/>
  <c r="G26" i="76" s="1"/>
  <c r="B26" i="76"/>
  <c r="L26" i="76" s="1"/>
  <c r="C26" i="79"/>
  <c r="C26" i="76" s="1"/>
  <c r="E26" i="79"/>
  <c r="F26" i="76" s="1"/>
  <c r="I74" i="79"/>
  <c r="K24" i="83" s="1"/>
  <c r="E74" i="79"/>
  <c r="L74" i="79"/>
  <c r="K74" i="79"/>
  <c r="H74" i="79"/>
  <c r="J24" i="83" s="1"/>
  <c r="J74" i="79"/>
  <c r="M24" i="83" s="1"/>
  <c r="F74" i="79"/>
  <c r="G24" i="83" s="1"/>
  <c r="C74" i="79"/>
  <c r="C24" i="83" s="1"/>
  <c r="G74" i="79"/>
  <c r="H24" i="83" s="1"/>
  <c r="B24" i="83"/>
  <c r="Q24" i="83" s="1"/>
  <c r="D74" i="79"/>
  <c r="D24" i="83" s="1"/>
  <c r="J76" i="79"/>
  <c r="M26" i="83" s="1"/>
  <c r="F76" i="79"/>
  <c r="G26" i="83" s="1"/>
  <c r="H76" i="79"/>
  <c r="J26" i="83" s="1"/>
  <c r="L76" i="79"/>
  <c r="E76" i="79"/>
  <c r="G76" i="79"/>
  <c r="H26" i="83" s="1"/>
  <c r="B26" i="83"/>
  <c r="Q26" i="83" s="1"/>
  <c r="D76" i="79"/>
  <c r="D26" i="83" s="1"/>
  <c r="C76" i="79"/>
  <c r="C26" i="83" s="1"/>
  <c r="I76" i="79"/>
  <c r="K26" i="83" s="1"/>
  <c r="K76" i="79"/>
  <c r="B15" i="76"/>
  <c r="L15" i="76" s="1"/>
  <c r="D15" i="79"/>
  <c r="D15" i="76" s="1"/>
  <c r="E15" i="79"/>
  <c r="F15" i="76" s="1"/>
  <c r="F15" i="79"/>
  <c r="G15" i="76" s="1"/>
  <c r="C15" i="79"/>
  <c r="C15" i="76" s="1"/>
  <c r="B12" i="76"/>
  <c r="L12" i="76" s="1"/>
  <c r="C12" i="79"/>
  <c r="C12" i="76" s="1"/>
  <c r="D12" i="79"/>
  <c r="D12" i="76" s="1"/>
  <c r="F12" i="79"/>
  <c r="G12" i="76" s="1"/>
  <c r="E12" i="79"/>
  <c r="F12" i="76" s="1"/>
  <c r="G60" i="79"/>
  <c r="H10" i="83" s="1"/>
  <c r="E60" i="79"/>
  <c r="J60" i="79"/>
  <c r="M10" i="83" s="1"/>
  <c r="L60" i="79"/>
  <c r="D60" i="79"/>
  <c r="D10" i="83" s="1"/>
  <c r="B10" i="83"/>
  <c r="Q10" i="83" s="1"/>
  <c r="K60" i="79"/>
  <c r="F60" i="79"/>
  <c r="G10" i="83" s="1"/>
  <c r="H60" i="79"/>
  <c r="J10" i="83" s="1"/>
  <c r="I60" i="79"/>
  <c r="K10" i="83" s="1"/>
  <c r="C60" i="79"/>
  <c r="C10" i="83" s="1"/>
  <c r="C71" i="79"/>
  <c r="C21" i="83" s="1"/>
  <c r="E71" i="79"/>
  <c r="D71" i="79"/>
  <c r="D21" i="83" s="1"/>
  <c r="H71" i="79"/>
  <c r="J21" i="83" s="1"/>
  <c r="L71" i="79"/>
  <c r="G71" i="79"/>
  <c r="H21" i="83" s="1"/>
  <c r="F71" i="79"/>
  <c r="G21" i="83" s="1"/>
  <c r="K71" i="79"/>
  <c r="B21" i="83"/>
  <c r="Q21" i="83" s="1"/>
  <c r="I71" i="79"/>
  <c r="K21" i="83" s="1"/>
  <c r="J71" i="79"/>
  <c r="M21" i="83" s="1"/>
  <c r="L61" i="79"/>
  <c r="B11" i="83"/>
  <c r="Q11" i="83" s="1"/>
  <c r="J61" i="79"/>
  <c r="M11" i="83" s="1"/>
  <c r="F61" i="79"/>
  <c r="G11" i="83" s="1"/>
  <c r="G61" i="79"/>
  <c r="H11" i="83" s="1"/>
  <c r="I11" i="83" s="1"/>
  <c r="H61" i="79"/>
  <c r="J11" i="83" s="1"/>
  <c r="C61" i="79"/>
  <c r="C11" i="83" s="1"/>
  <c r="D61" i="79"/>
  <c r="D11" i="83" s="1"/>
  <c r="E61" i="79"/>
  <c r="K61" i="79"/>
  <c r="I61" i="79"/>
  <c r="K11" i="83" s="1"/>
  <c r="F11" i="79"/>
  <c r="G11" i="76" s="1"/>
  <c r="C11" i="79"/>
  <c r="C11" i="76" s="1"/>
  <c r="D11" i="79"/>
  <c r="D11" i="76" s="1"/>
  <c r="B11" i="76"/>
  <c r="L11" i="76" s="1"/>
  <c r="E11" i="79"/>
  <c r="F11" i="76" s="1"/>
  <c r="E22" i="79"/>
  <c r="F22" i="76" s="1"/>
  <c r="C22" i="79"/>
  <c r="C22" i="76" s="1"/>
  <c r="D22" i="79"/>
  <c r="D22" i="76" s="1"/>
  <c r="B22" i="76"/>
  <c r="L22" i="76" s="1"/>
  <c r="F22" i="79"/>
  <c r="G22" i="76" s="1"/>
  <c r="C24" i="79"/>
  <c r="C24" i="76" s="1"/>
  <c r="B24" i="76"/>
  <c r="L24" i="76" s="1"/>
  <c r="E24" i="79"/>
  <c r="F24" i="76" s="1"/>
  <c r="F24" i="79"/>
  <c r="G24" i="76" s="1"/>
  <c r="D24" i="79"/>
  <c r="D24" i="76" s="1"/>
  <c r="C58" i="79"/>
  <c r="I58" i="79"/>
  <c r="K8" i="83" s="1"/>
  <c r="K58" i="79"/>
  <c r="H58" i="79"/>
  <c r="J8" i="83" s="1"/>
  <c r="J58" i="79"/>
  <c r="M8" i="83" s="1"/>
  <c r="B8" i="83"/>
  <c r="Q8" i="83" s="1"/>
  <c r="F58" i="79"/>
  <c r="G8" i="83" s="1"/>
  <c r="L58" i="79"/>
  <c r="G58" i="79"/>
  <c r="H8" i="83" s="1"/>
  <c r="D58" i="79"/>
  <c r="D8" i="83" s="1"/>
  <c r="E58" i="79"/>
  <c r="J68" i="79"/>
  <c r="M18" i="83" s="1"/>
  <c r="C68" i="79"/>
  <c r="C18" i="83" s="1"/>
  <c r="K68" i="79"/>
  <c r="E68" i="79"/>
  <c r="I68" i="79"/>
  <c r="K18" i="83" s="1"/>
  <c r="D68" i="79"/>
  <c r="D18" i="83" s="1"/>
  <c r="L68" i="79"/>
  <c r="H68" i="79"/>
  <c r="J18" i="83" s="1"/>
  <c r="B18" i="83"/>
  <c r="Q18" i="83" s="1"/>
  <c r="G68" i="79"/>
  <c r="H18" i="83" s="1"/>
  <c r="F68" i="79"/>
  <c r="G18" i="83" s="1"/>
  <c r="L62" i="79"/>
  <c r="E62" i="79"/>
  <c r="F62" i="79"/>
  <c r="G12" i="83" s="1"/>
  <c r="K62" i="79"/>
  <c r="H62" i="79"/>
  <c r="J12" i="83" s="1"/>
  <c r="I62" i="79"/>
  <c r="K12" i="83" s="1"/>
  <c r="C62" i="79"/>
  <c r="C12" i="83" s="1"/>
  <c r="D62" i="79"/>
  <c r="D12" i="83" s="1"/>
  <c r="G62" i="79"/>
  <c r="H12" i="83" s="1"/>
  <c r="J62" i="79"/>
  <c r="M12" i="83" s="1"/>
  <c r="B12" i="83"/>
  <c r="Q12" i="83" s="1"/>
  <c r="B23" i="83"/>
  <c r="Q23" i="83" s="1"/>
  <c r="G73" i="79"/>
  <c r="H23" i="83" s="1"/>
  <c r="C73" i="79"/>
  <c r="C23" i="83" s="1"/>
  <c r="I73" i="79"/>
  <c r="K23" i="83" s="1"/>
  <c r="J73" i="79"/>
  <c r="M23" i="83" s="1"/>
  <c r="L73" i="79"/>
  <c r="H73" i="79"/>
  <c r="J23" i="83" s="1"/>
  <c r="D73" i="79"/>
  <c r="D23" i="83" s="1"/>
  <c r="F73" i="79"/>
  <c r="G23" i="83" s="1"/>
  <c r="E73" i="79"/>
  <c r="K73" i="79"/>
  <c r="B9" i="76"/>
  <c r="L9" i="76" s="1"/>
  <c r="D9" i="79"/>
  <c r="D9" i="76" s="1"/>
  <c r="C9" i="79"/>
  <c r="C9" i="76" s="1"/>
  <c r="E9" i="79"/>
  <c r="F9" i="76" s="1"/>
  <c r="F9" i="79"/>
  <c r="G9" i="76" s="1"/>
  <c r="F19" i="79"/>
  <c r="G19" i="76" s="1"/>
  <c r="D19" i="79"/>
  <c r="D19" i="76" s="1"/>
  <c r="C19" i="79"/>
  <c r="C19" i="76" s="1"/>
  <c r="B19" i="76"/>
  <c r="L19" i="76" s="1"/>
  <c r="E19" i="79"/>
  <c r="F19" i="76" s="1"/>
  <c r="D13" i="79"/>
  <c r="D13" i="76" s="1"/>
  <c r="F13" i="79"/>
  <c r="G13" i="76" s="1"/>
  <c r="C13" i="79"/>
  <c r="C13" i="76" s="1"/>
  <c r="B13" i="76"/>
  <c r="L13" i="76" s="1"/>
  <c r="E13" i="79"/>
  <c r="F13" i="76" s="1"/>
  <c r="F67" i="79"/>
  <c r="G17" i="83" s="1"/>
  <c r="C67" i="79"/>
  <c r="C17" i="83" s="1"/>
  <c r="B17" i="83"/>
  <c r="Q17" i="83" s="1"/>
  <c r="J67" i="79"/>
  <c r="M17" i="83" s="1"/>
  <c r="G67" i="79"/>
  <c r="H17" i="83" s="1"/>
  <c r="L67" i="79"/>
  <c r="I67" i="79"/>
  <c r="K17" i="83" s="1"/>
  <c r="E67" i="79"/>
  <c r="H67" i="79"/>
  <c r="J17" i="83" s="1"/>
  <c r="K67" i="79"/>
  <c r="D67" i="79"/>
  <c r="D17" i="83" s="1"/>
  <c r="C65" i="79"/>
  <c r="C15" i="83" s="1"/>
  <c r="J65" i="79"/>
  <c r="M15" i="83" s="1"/>
  <c r="K65" i="79"/>
  <c r="G65" i="79"/>
  <c r="H15" i="83" s="1"/>
  <c r="I65" i="79"/>
  <c r="K15" i="83" s="1"/>
  <c r="L65" i="79"/>
  <c r="H65" i="79"/>
  <c r="J15" i="83" s="1"/>
  <c r="B15" i="83"/>
  <c r="Q15" i="83" s="1"/>
  <c r="F65" i="79"/>
  <c r="G15" i="83" s="1"/>
  <c r="E65" i="79"/>
  <c r="D65" i="79"/>
  <c r="D15" i="83" s="1"/>
  <c r="F10" i="79"/>
  <c r="G10" i="76" s="1"/>
  <c r="C10" i="79"/>
  <c r="C10" i="76" s="1"/>
  <c r="E10" i="79"/>
  <c r="F10" i="76" s="1"/>
  <c r="B10" i="76"/>
  <c r="L10" i="76" s="1"/>
  <c r="D10" i="79"/>
  <c r="D10" i="76" s="1"/>
  <c r="C23" i="79"/>
  <c r="C23" i="76" s="1"/>
  <c r="D23" i="79"/>
  <c r="D23" i="76" s="1"/>
  <c r="E23" i="79"/>
  <c r="F23" i="76" s="1"/>
  <c r="B23" i="76"/>
  <c r="L23" i="76" s="1"/>
  <c r="F23" i="79"/>
  <c r="G23" i="76" s="1"/>
  <c r="E18" i="79"/>
  <c r="F18" i="76" s="1"/>
  <c r="B18" i="76"/>
  <c r="L18" i="76" s="1"/>
  <c r="F18" i="79"/>
  <c r="G18" i="76" s="1"/>
  <c r="D18" i="79"/>
  <c r="D18" i="76" s="1"/>
  <c r="C18" i="79"/>
  <c r="C18" i="76" s="1"/>
  <c r="F16" i="79"/>
  <c r="G16" i="76" s="1"/>
  <c r="B16" i="76"/>
  <c r="L16" i="76" s="1"/>
  <c r="C16" i="79"/>
  <c r="C16" i="76" s="1"/>
  <c r="D16" i="79"/>
  <c r="D16" i="76" s="1"/>
  <c r="E16" i="79"/>
  <c r="F16" i="76" s="1"/>
  <c r="B9" i="83"/>
  <c r="Q9" i="83" s="1"/>
  <c r="H59" i="79"/>
  <c r="J9" i="83" s="1"/>
  <c r="G59" i="79"/>
  <c r="H9" i="83" s="1"/>
  <c r="I59" i="79"/>
  <c r="K9" i="83" s="1"/>
  <c r="J59" i="79"/>
  <c r="M9" i="83" s="1"/>
  <c r="L59" i="79"/>
  <c r="E59" i="79"/>
  <c r="C59" i="79"/>
  <c r="C9" i="83" s="1"/>
  <c r="F59" i="79"/>
  <c r="G9" i="83" s="1"/>
  <c r="K59" i="79"/>
  <c r="D59" i="79"/>
  <c r="D9" i="83" s="1"/>
  <c r="C72" i="79"/>
  <c r="C22" i="83" s="1"/>
  <c r="K72" i="79"/>
  <c r="L72" i="79"/>
  <c r="B22" i="83"/>
  <c r="Q22" i="83" s="1"/>
  <c r="D72" i="79"/>
  <c r="D22" i="83" s="1"/>
  <c r="F72" i="79"/>
  <c r="G22" i="83" s="1"/>
  <c r="H72" i="79"/>
  <c r="J22" i="83" s="1"/>
  <c r="E72" i="79"/>
  <c r="J72" i="79"/>
  <c r="M22" i="83" s="1"/>
  <c r="G72" i="79"/>
  <c r="H22" i="83" s="1"/>
  <c r="I72" i="79"/>
  <c r="K22" i="83" s="1"/>
  <c r="G14" i="81"/>
  <c r="H14" i="81" s="1"/>
  <c r="L37" i="87"/>
  <c r="L24" i="83" l="1"/>
  <c r="I17" i="76"/>
  <c r="L12" i="83"/>
  <c r="I20" i="76"/>
  <c r="L17" i="83"/>
  <c r="I20" i="83"/>
  <c r="I15" i="76"/>
  <c r="I19" i="83"/>
  <c r="I23" i="76"/>
  <c r="I22" i="76"/>
  <c r="I25" i="76"/>
  <c r="I10" i="83"/>
  <c r="I10" i="76"/>
  <c r="L19" i="83"/>
  <c r="I24" i="76"/>
  <c r="I18" i="76"/>
  <c r="L10" i="83"/>
  <c r="L23" i="83"/>
  <c r="L26" i="83"/>
  <c r="I24" i="83"/>
  <c r="I26" i="76"/>
  <c r="I27" i="76"/>
  <c r="L20" i="83"/>
  <c r="I21" i="76"/>
  <c r="L25" i="83"/>
  <c r="I9" i="83"/>
  <c r="I9" i="76"/>
  <c r="G30" i="76"/>
  <c r="M67" i="79"/>
  <c r="E17" i="83"/>
  <c r="F17" i="83" s="1"/>
  <c r="Q29" i="83"/>
  <c r="I21" i="83"/>
  <c r="H27" i="83"/>
  <c r="H29" i="83" s="1"/>
  <c r="G20" i="92"/>
  <c r="M74" i="79"/>
  <c r="E24" i="83"/>
  <c r="F24" i="83" s="1"/>
  <c r="E20" i="83"/>
  <c r="F20" i="83" s="1"/>
  <c r="M70" i="79"/>
  <c r="I16" i="76"/>
  <c r="L18" i="83"/>
  <c r="I20" i="92"/>
  <c r="J27" i="83"/>
  <c r="J29" i="83" s="1"/>
  <c r="L14" i="83"/>
  <c r="M71" i="79"/>
  <c r="E21" i="83"/>
  <c r="F21" i="83" s="1"/>
  <c r="I12" i="83"/>
  <c r="M61" i="79"/>
  <c r="E11" i="83"/>
  <c r="F11" i="83" s="1"/>
  <c r="I17" i="83"/>
  <c r="M68" i="79"/>
  <c r="E18" i="83"/>
  <c r="F18" i="83" s="1"/>
  <c r="M75" i="79"/>
  <c r="E25" i="83"/>
  <c r="F25" i="83" s="1"/>
  <c r="I28" i="76"/>
  <c r="K27" i="83"/>
  <c r="K29" i="83" s="1"/>
  <c r="J20" i="92"/>
  <c r="E23" i="83"/>
  <c r="F23" i="83" s="1"/>
  <c r="M73" i="79"/>
  <c r="E16" i="83"/>
  <c r="F16" i="83" s="1"/>
  <c r="M66" i="79"/>
  <c r="L22" i="83"/>
  <c r="L15" i="83"/>
  <c r="I22" i="83"/>
  <c r="I15" i="83"/>
  <c r="I19" i="76"/>
  <c r="L8" i="83"/>
  <c r="I11" i="76"/>
  <c r="E10" i="83"/>
  <c r="F10" i="83" s="1"/>
  <c r="M60" i="79"/>
  <c r="I13" i="83"/>
  <c r="I16" i="83"/>
  <c r="G27" i="83"/>
  <c r="G29" i="83" s="1"/>
  <c r="F20" i="92"/>
  <c r="M69" i="79"/>
  <c r="E19" i="83"/>
  <c r="F19" i="83" s="1"/>
  <c r="M72" i="79"/>
  <c r="E22" i="83"/>
  <c r="F22" i="83" s="1"/>
  <c r="M59" i="79"/>
  <c r="E9" i="83"/>
  <c r="F9" i="83" s="1"/>
  <c r="M62" i="79"/>
  <c r="E12" i="83"/>
  <c r="F12" i="83" s="1"/>
  <c r="I23" i="83"/>
  <c r="L20" i="92"/>
  <c r="M27" i="83"/>
  <c r="L13" i="83"/>
  <c r="I14" i="83"/>
  <c r="L9" i="83"/>
  <c r="L30" i="76"/>
  <c r="I18" i="83"/>
  <c r="I8" i="83"/>
  <c r="L11" i="83"/>
  <c r="L21" i="83"/>
  <c r="I26" i="83"/>
  <c r="I14" i="76"/>
  <c r="E13" i="83"/>
  <c r="F13" i="83" s="1"/>
  <c r="M63" i="79"/>
  <c r="M77" i="79"/>
  <c r="E27" i="83"/>
  <c r="D20" i="92"/>
  <c r="C8" i="83"/>
  <c r="D85" i="79"/>
  <c r="C11" i="92" s="1"/>
  <c r="K90" i="79"/>
  <c r="D86" i="79"/>
  <c r="C12" i="92" s="1"/>
  <c r="J83" i="79"/>
  <c r="I83" i="79"/>
  <c r="J9" i="92" s="1"/>
  <c r="D83" i="79"/>
  <c r="C9" i="92" s="1"/>
  <c r="H88" i="79"/>
  <c r="I15" i="92" s="1"/>
  <c r="H82" i="79"/>
  <c r="I8" i="92" s="1"/>
  <c r="J87" i="79"/>
  <c r="I87" i="79"/>
  <c r="J13" i="92" s="1"/>
  <c r="K82" i="79"/>
  <c r="J89" i="79"/>
  <c r="K89" i="79"/>
  <c r="J88" i="79"/>
  <c r="F87" i="79"/>
  <c r="F13" i="92" s="1"/>
  <c r="H86" i="79"/>
  <c r="I12" i="92" s="1"/>
  <c r="F91" i="79"/>
  <c r="F19" i="92" s="1"/>
  <c r="D89" i="79"/>
  <c r="C16" i="92" s="1"/>
  <c r="D91" i="79"/>
  <c r="C19" i="92" s="1"/>
  <c r="I88" i="79"/>
  <c r="J15" i="92" s="1"/>
  <c r="E87" i="79"/>
  <c r="D13" i="92" s="1"/>
  <c r="H85" i="79"/>
  <c r="I11" i="92" s="1"/>
  <c r="I84" i="79"/>
  <c r="J10" i="92" s="1"/>
  <c r="E90" i="79"/>
  <c r="D17" i="92" s="1"/>
  <c r="G86" i="79"/>
  <c r="G12" i="92" s="1"/>
  <c r="H83" i="79"/>
  <c r="I9" i="92" s="1"/>
  <c r="G85" i="79"/>
  <c r="G11" i="92" s="1"/>
  <c r="J90" i="79"/>
  <c r="G89" i="79"/>
  <c r="G16" i="92" s="1"/>
  <c r="K87" i="79"/>
  <c r="I86" i="79"/>
  <c r="J12" i="92" s="1"/>
  <c r="E88" i="79"/>
  <c r="D15" i="92" s="1"/>
  <c r="K85" i="79"/>
  <c r="E83" i="79"/>
  <c r="D9" i="92" s="1"/>
  <c r="J82" i="79"/>
  <c r="F84" i="79"/>
  <c r="F10" i="92" s="1"/>
  <c r="G91" i="79"/>
  <c r="G19" i="92" s="1"/>
  <c r="D90" i="79"/>
  <c r="C17" i="92" s="1"/>
  <c r="I82" i="79"/>
  <c r="J8" i="92" s="1"/>
  <c r="E85" i="79"/>
  <c r="D11" i="92" s="1"/>
  <c r="G84" i="79"/>
  <c r="G10" i="92" s="1"/>
  <c r="J84" i="79"/>
  <c r="H89" i="79"/>
  <c r="I16" i="92" s="1"/>
  <c r="F85" i="79"/>
  <c r="F11" i="92" s="1"/>
  <c r="G88" i="79"/>
  <c r="G15" i="92" s="1"/>
  <c r="I85" i="79"/>
  <c r="J11" i="92" s="1"/>
  <c r="G82" i="79"/>
  <c r="G8" i="92" s="1"/>
  <c r="G87" i="79"/>
  <c r="G13" i="92" s="1"/>
  <c r="K83" i="79"/>
  <c r="J85" i="79"/>
  <c r="F86" i="79"/>
  <c r="F12" i="92" s="1"/>
  <c r="E86" i="79"/>
  <c r="D12" i="92" s="1"/>
  <c r="F90" i="79"/>
  <c r="F17" i="92" s="1"/>
  <c r="K88" i="79"/>
  <c r="H84" i="79"/>
  <c r="I10" i="92" s="1"/>
  <c r="D87" i="79"/>
  <c r="C13" i="92" s="1"/>
  <c r="K91" i="79"/>
  <c r="H91" i="79"/>
  <c r="I19" i="92" s="1"/>
  <c r="H87" i="79"/>
  <c r="I13" i="92" s="1"/>
  <c r="I89" i="79"/>
  <c r="J16" i="92" s="1"/>
  <c r="F83" i="79"/>
  <c r="F9" i="92" s="1"/>
  <c r="E84" i="79"/>
  <c r="D10" i="92" s="1"/>
  <c r="D88" i="79"/>
  <c r="C15" i="92" s="1"/>
  <c r="D82" i="79"/>
  <c r="I90" i="79"/>
  <c r="J17" i="92" s="1"/>
  <c r="G83" i="79"/>
  <c r="G9" i="92" s="1"/>
  <c r="D84" i="79"/>
  <c r="C10" i="92" s="1"/>
  <c r="G90" i="79"/>
  <c r="G17" i="92" s="1"/>
  <c r="J91" i="79"/>
  <c r="E89" i="79"/>
  <c r="D16" i="92" s="1"/>
  <c r="J86" i="79"/>
  <c r="E91" i="79"/>
  <c r="D19" i="92" s="1"/>
  <c r="K84" i="79"/>
  <c r="F82" i="79"/>
  <c r="F8" i="92" s="1"/>
  <c r="H90" i="79"/>
  <c r="I17" i="92" s="1"/>
  <c r="K86" i="79"/>
  <c r="F89" i="79"/>
  <c r="F16" i="92" s="1"/>
  <c r="F88" i="79"/>
  <c r="F15" i="92" s="1"/>
  <c r="I91" i="79"/>
  <c r="J19" i="92" s="1"/>
  <c r="E82" i="79"/>
  <c r="D8" i="92" s="1"/>
  <c r="F30" i="76"/>
  <c r="D27" i="83"/>
  <c r="D29" i="83" s="1"/>
  <c r="C20" i="92"/>
  <c r="E8" i="83"/>
  <c r="M58" i="79"/>
  <c r="I12" i="76"/>
  <c r="L16" i="83"/>
  <c r="M65" i="79"/>
  <c r="E15" i="83"/>
  <c r="F15" i="83" s="1"/>
  <c r="I13" i="76"/>
  <c r="E26" i="83"/>
  <c r="F26" i="83" s="1"/>
  <c r="M76" i="79"/>
  <c r="I25" i="83"/>
  <c r="M64" i="79"/>
  <c r="E14" i="83"/>
  <c r="F14" i="83" s="1"/>
  <c r="K11" i="92" l="1"/>
  <c r="K12" i="92"/>
  <c r="L29" i="83"/>
  <c r="E12" i="92"/>
  <c r="L27" i="83"/>
  <c r="H19" i="92"/>
  <c r="K19" i="92"/>
  <c r="E16" i="92"/>
  <c r="E9" i="92"/>
  <c r="K17" i="92"/>
  <c r="K9" i="92"/>
  <c r="E13" i="92"/>
  <c r="H12" i="92"/>
  <c r="K16" i="92"/>
  <c r="H13" i="92"/>
  <c r="M88" i="79"/>
  <c r="L15" i="92" s="1"/>
  <c r="L88" i="79"/>
  <c r="H10" i="92"/>
  <c r="M84" i="79"/>
  <c r="L10" i="92" s="1"/>
  <c r="L84" i="79"/>
  <c r="H9" i="92"/>
  <c r="M87" i="79"/>
  <c r="L13" i="92" s="1"/>
  <c r="L87" i="79"/>
  <c r="C8" i="92"/>
  <c r="C21" i="92" s="1"/>
  <c r="C82" i="79"/>
  <c r="C88" i="79"/>
  <c r="C86" i="79"/>
  <c r="C89" i="79"/>
  <c r="C85" i="79"/>
  <c r="C83" i="79"/>
  <c r="C84" i="79"/>
  <c r="C90" i="79"/>
  <c r="C87" i="79"/>
  <c r="C91" i="79"/>
  <c r="E19" i="92"/>
  <c r="H16" i="92"/>
  <c r="E15" i="92"/>
  <c r="K8" i="92"/>
  <c r="J21" i="92"/>
  <c r="H11" i="92"/>
  <c r="H20" i="92"/>
  <c r="L89" i="79"/>
  <c r="M89" i="79"/>
  <c r="L16" i="92" s="1"/>
  <c r="M86" i="79"/>
  <c r="L12" i="92" s="1"/>
  <c r="L86" i="79"/>
  <c r="E11" i="92"/>
  <c r="F21" i="92"/>
  <c r="E10" i="92"/>
  <c r="E17" i="92"/>
  <c r="M90" i="79"/>
  <c r="L17" i="92" s="1"/>
  <c r="L90" i="79"/>
  <c r="I29" i="83"/>
  <c r="K20" i="92"/>
  <c r="I27" i="83"/>
  <c r="N67" i="79"/>
  <c r="N72" i="79"/>
  <c r="N69" i="79"/>
  <c r="N68" i="79"/>
  <c r="N58" i="79"/>
  <c r="N73" i="79"/>
  <c r="N66" i="79"/>
  <c r="N63" i="79"/>
  <c r="N76" i="79"/>
  <c r="N74" i="79"/>
  <c r="N59" i="79"/>
  <c r="N61" i="79"/>
  <c r="N60" i="79"/>
  <c r="N64" i="79"/>
  <c r="N77" i="79"/>
  <c r="N75" i="79"/>
  <c r="N70" i="79"/>
  <c r="N62" i="79"/>
  <c r="N71" i="79"/>
  <c r="N65" i="79"/>
  <c r="M83" i="79"/>
  <c r="L9" i="92" s="1"/>
  <c r="L83" i="79"/>
  <c r="F8" i="83"/>
  <c r="E29" i="83"/>
  <c r="F29" i="83" s="1"/>
  <c r="I11" i="97"/>
  <c r="J11" i="97" s="1"/>
  <c r="B30" i="83"/>
  <c r="H8" i="92"/>
  <c r="G21" i="92"/>
  <c r="B33" i="76"/>
  <c r="I7" i="97"/>
  <c r="L82" i="79"/>
  <c r="M82" i="79"/>
  <c r="L8" i="92" s="1"/>
  <c r="K13" i="92"/>
  <c r="F27" i="83"/>
  <c r="L91" i="79"/>
  <c r="M91" i="79"/>
  <c r="L19" i="92" s="1"/>
  <c r="H15" i="92"/>
  <c r="L85" i="79"/>
  <c r="M85" i="79"/>
  <c r="L11" i="92" s="1"/>
  <c r="I30" i="76"/>
  <c r="K10" i="92"/>
  <c r="E20" i="92"/>
  <c r="D21" i="92"/>
  <c r="H17" i="92"/>
  <c r="K15" i="92"/>
  <c r="I21" i="92"/>
  <c r="E8" i="92" l="1"/>
  <c r="E21" i="92"/>
  <c r="K21" i="92"/>
  <c r="O72" i="79"/>
  <c r="B121" i="79" s="1"/>
  <c r="O65" i="79"/>
  <c r="B114" i="79" s="1"/>
  <c r="O77" i="79"/>
  <c r="B126" i="79" s="1"/>
  <c r="O63" i="79"/>
  <c r="B112" i="79" s="1"/>
  <c r="O71" i="79"/>
  <c r="B120" i="79" s="1"/>
  <c r="O74" i="79"/>
  <c r="B123" i="79" s="1"/>
  <c r="O62" i="79"/>
  <c r="B111" i="79" s="1"/>
  <c r="O66" i="79"/>
  <c r="B115" i="79" s="1"/>
  <c r="O67" i="79"/>
  <c r="B116" i="79" s="1"/>
  <c r="O64" i="79"/>
  <c r="B113" i="79" s="1"/>
  <c r="O60" i="79"/>
  <c r="B109" i="79" s="1"/>
  <c r="O59" i="79"/>
  <c r="B108" i="79" s="1"/>
  <c r="O70" i="79"/>
  <c r="B119" i="79" s="1"/>
  <c r="O68" i="79"/>
  <c r="B117" i="79" s="1"/>
  <c r="O73" i="79"/>
  <c r="B122" i="79" s="1"/>
  <c r="O58" i="79"/>
  <c r="B107" i="79" s="1"/>
  <c r="O61" i="79"/>
  <c r="B110" i="79" s="1"/>
  <c r="O75" i="79"/>
  <c r="B124" i="79" s="1"/>
  <c r="O76" i="79"/>
  <c r="B125" i="79" s="1"/>
  <c r="O69" i="79"/>
  <c r="B118" i="79" s="1"/>
  <c r="H21" i="92"/>
  <c r="O85" i="79"/>
  <c r="B97" i="79" s="1"/>
  <c r="O82" i="79"/>
  <c r="B94" i="79" s="1"/>
  <c r="O87" i="79"/>
  <c r="B99" i="79" s="1"/>
  <c r="O90" i="79"/>
  <c r="B102" i="79" s="1"/>
  <c r="O88" i="79"/>
  <c r="B100" i="79" s="1"/>
  <c r="O91" i="79"/>
  <c r="B103" i="79" s="1"/>
  <c r="O86" i="79"/>
  <c r="B98" i="79" s="1"/>
  <c r="O84" i="79"/>
  <c r="B96" i="79" s="1"/>
  <c r="O89" i="79"/>
  <c r="B101" i="79" s="1"/>
  <c r="O83" i="79"/>
  <c r="B95" i="79" s="1"/>
  <c r="J7" i="97"/>
  <c r="E29" i="97"/>
  <c r="E99" i="79" l="1"/>
  <c r="G99" i="79"/>
  <c r="F99" i="79"/>
  <c r="I99" i="79" s="1"/>
  <c r="D99" i="79"/>
  <c r="E97" i="79"/>
  <c r="G97" i="79"/>
  <c r="D97" i="79"/>
  <c r="F97" i="79"/>
  <c r="I97" i="79" s="1"/>
  <c r="G115" i="79"/>
  <c r="E115" i="79"/>
  <c r="F115" i="79"/>
  <c r="D115" i="79"/>
  <c r="G95" i="79"/>
  <c r="E95" i="79"/>
  <c r="D95" i="79"/>
  <c r="F95" i="79"/>
  <c r="I95" i="79" s="1"/>
  <c r="E125" i="79"/>
  <c r="D125" i="79"/>
  <c r="F125" i="79"/>
  <c r="G125" i="79"/>
  <c r="F111" i="79"/>
  <c r="G111" i="79"/>
  <c r="E111" i="79"/>
  <c r="D111" i="79"/>
  <c r="D108" i="79"/>
  <c r="G108" i="79"/>
  <c r="F108" i="79"/>
  <c r="E108" i="79"/>
  <c r="G113" i="79"/>
  <c r="E113" i="79"/>
  <c r="F113" i="79"/>
  <c r="D113" i="79"/>
  <c r="G123" i="79"/>
  <c r="F123" i="79"/>
  <c r="D123" i="79"/>
  <c r="E123" i="79"/>
  <c r="D110" i="79"/>
  <c r="F110" i="79"/>
  <c r="E110" i="79"/>
  <c r="G110" i="79"/>
  <c r="D107" i="79"/>
  <c r="F107" i="79"/>
  <c r="E107" i="79"/>
  <c r="G107" i="79"/>
  <c r="E112" i="79"/>
  <c r="F112" i="79"/>
  <c r="G112" i="79"/>
  <c r="D112" i="79"/>
  <c r="G94" i="79"/>
  <c r="F94" i="79"/>
  <c r="I94" i="79" s="1"/>
  <c r="D94" i="79"/>
  <c r="E94" i="79"/>
  <c r="E109" i="79"/>
  <c r="G109" i="79"/>
  <c r="D109" i="79"/>
  <c r="F109" i="79"/>
  <c r="D116" i="79"/>
  <c r="E116" i="79"/>
  <c r="G116" i="79"/>
  <c r="F116" i="79"/>
  <c r="G118" i="79"/>
  <c r="E118" i="79"/>
  <c r="F118" i="79"/>
  <c r="D118" i="79"/>
  <c r="D101" i="79"/>
  <c r="G101" i="79"/>
  <c r="E101" i="79"/>
  <c r="F101" i="79"/>
  <c r="I101" i="79" s="1"/>
  <c r="E124" i="79"/>
  <c r="D124" i="79"/>
  <c r="G124" i="79"/>
  <c r="F124" i="79"/>
  <c r="G96" i="79"/>
  <c r="E96" i="79"/>
  <c r="D96" i="79"/>
  <c r="F96" i="79"/>
  <c r="I96" i="79" s="1"/>
  <c r="G120" i="79"/>
  <c r="F120" i="79"/>
  <c r="D120" i="79"/>
  <c r="E120" i="79"/>
  <c r="G98" i="79"/>
  <c r="F98" i="79"/>
  <c r="I98" i="79" s="1"/>
  <c r="D98" i="79"/>
  <c r="E98" i="79"/>
  <c r="F103" i="79"/>
  <c r="I103" i="79" s="1"/>
  <c r="D103" i="79"/>
  <c r="E103" i="79"/>
  <c r="G103" i="79"/>
  <c r="F122" i="79"/>
  <c r="D122" i="79"/>
  <c r="E122" i="79"/>
  <c r="G122" i="79"/>
  <c r="D126" i="79"/>
  <c r="E126" i="79"/>
  <c r="F126" i="79"/>
  <c r="G126" i="79"/>
  <c r="F114" i="79"/>
  <c r="D114" i="79"/>
  <c r="G114" i="79"/>
  <c r="E114" i="79"/>
  <c r="G100" i="79"/>
  <c r="D100" i="79"/>
  <c r="F100" i="79"/>
  <c r="I100" i="79" s="1"/>
  <c r="E100" i="79"/>
  <c r="G117" i="79"/>
  <c r="F117" i="79"/>
  <c r="D117" i="79"/>
  <c r="E117" i="79"/>
  <c r="D102" i="79"/>
  <c r="E102" i="79"/>
  <c r="G102" i="79"/>
  <c r="F102" i="79"/>
  <c r="I102" i="79" s="1"/>
  <c r="E119" i="79"/>
  <c r="F119" i="79"/>
  <c r="G119" i="79"/>
  <c r="D119" i="79"/>
  <c r="F121" i="79"/>
  <c r="G121" i="79"/>
  <c r="D121" i="79"/>
  <c r="E121" i="79"/>
</calcChain>
</file>

<file path=xl/sharedStrings.xml><?xml version="1.0" encoding="utf-8"?>
<sst xmlns="http://schemas.openxmlformats.org/spreadsheetml/2006/main" count="1479" uniqueCount="790">
  <si>
    <t>Arkansas Public Service Commission</t>
  </si>
  <si>
    <r>
      <t xml:space="preserve">Standardized Annual Reporting Workbook </t>
    </r>
    <r>
      <rPr>
        <i/>
        <sz val="12"/>
        <rFont val="Calibri"/>
        <family val="2"/>
        <scheme val="minor"/>
      </rPr>
      <t>v4.0 August 2017</t>
    </r>
  </si>
  <si>
    <t>General</t>
  </si>
  <si>
    <t>Energy Efficeny Portolio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</si>
  <si>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</si>
  <si>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</si>
  <si>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</si>
  <si>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</si>
  <si>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</si>
  <si>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</si>
  <si>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</si>
  <si>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</si>
  <si>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</si>
  <si>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</si>
  <si>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</si>
  <si>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</si>
  <si>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</si>
  <si>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</si>
  <si>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</si>
  <si>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</si>
  <si>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</si>
  <si>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</si>
  <si>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</si>
  <si>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</si>
  <si>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</si>
  <si>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</si>
  <si>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</si>
  <si>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</si>
  <si>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</si>
  <si>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</si>
  <si>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</si>
  <si>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</si>
  <si>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</si>
  <si>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</si>
  <si>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</si>
  <si>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</si>
  <si>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</si>
  <si>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</si>
  <si>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</si>
  <si>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</si>
  <si>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</si>
  <si>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</si>
  <si>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</si>
  <si>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</si>
  <si>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</si>
  <si>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</si>
  <si>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</si>
  <si>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</si>
  <si>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</si>
  <si>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</si>
  <si>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</si>
  <si>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</si>
  <si>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</si>
  <si>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</si>
  <si>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</si>
  <si>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</si>
  <si>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</si>
  <si>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</si>
  <si>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</si>
  <si>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</si>
  <si>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</si>
  <si>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</si>
  <si>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</si>
  <si>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</si>
  <si>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</si>
  <si>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</si>
  <si>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</si>
  <si>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</si>
  <si>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Utility Type</t>
  </si>
  <si>
    <t>Utility Full Name</t>
  </si>
  <si>
    <t xml:space="preserve">Summit Utilities Arkansas </t>
  </si>
  <si>
    <t>Natural Gas</t>
  </si>
  <si>
    <t>Utility Abbreviated Name</t>
  </si>
  <si>
    <t>SUA</t>
  </si>
  <si>
    <t>Program Year</t>
  </si>
  <si>
    <t>Docket</t>
  </si>
  <si>
    <t>07-081-TF</t>
  </si>
  <si>
    <t>Date Filed</t>
  </si>
  <si>
    <t>Name of Contact</t>
  </si>
  <si>
    <t>Jose Laboy</t>
  </si>
  <si>
    <t>Email Address</t>
  </si>
  <si>
    <t>Jlaboy@summitutilities.com</t>
  </si>
  <si>
    <t>Telephone Number</t>
  </si>
  <si>
    <t>501-658-5278</t>
  </si>
  <si>
    <t>Full-Time EE Employees</t>
  </si>
  <si>
    <t>Program Name</t>
  </si>
  <si>
    <t>Target Sector</t>
  </si>
  <si>
    <t>Program Type</t>
  </si>
  <si>
    <t>Delivery Channel</t>
  </si>
  <si>
    <t>Residential Solutions Program</t>
  </si>
  <si>
    <t>Res/Small Business</t>
  </si>
  <si>
    <t>Prescriptive/Standard Offer</t>
  </si>
  <si>
    <t>Implementing Contractor</t>
  </si>
  <si>
    <t>Access to Afford Energy &amp; Conservation</t>
  </si>
  <si>
    <t>Residential</t>
  </si>
  <si>
    <t>Commercial Solutions</t>
  </si>
  <si>
    <t>Commercial &amp; Industrial</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</si>
  <si>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</si>
  <si>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</si>
  <si>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</si>
  <si>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</si>
  <si>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</si>
  <si>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</si>
  <si>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</si>
  <si>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</si>
  <si>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</si>
  <si>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</si>
  <si>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</si>
  <si>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</si>
  <si>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</si>
  <si>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Manufactured Homes</t>
  </si>
  <si>
    <t>M/TF - HVAC/Furnace</t>
  </si>
  <si>
    <t>M/TF - Insulation</t>
  </si>
  <si>
    <t>M/TF - Pool Pumps</t>
  </si>
  <si>
    <t>M/TF - Water Heater</t>
  </si>
  <si>
    <t>M/TF - Windows</t>
  </si>
  <si>
    <t>Multi-family</t>
  </si>
  <si>
    <t>Other</t>
  </si>
  <si>
    <t>WH - Audits</t>
  </si>
  <si>
    <t>WH - Direct Install</t>
  </si>
  <si>
    <t>WH - Retrofit</t>
  </si>
  <si>
    <t>Audit</t>
  </si>
  <si>
    <t>Custom</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</si>
  <si>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</si>
  <si>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</si>
  <si>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</si>
  <si>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</si>
  <si>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</si>
  <si>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</si>
  <si>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</si>
  <si>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</si>
  <si>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</si>
  <si>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</si>
  <si>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</si>
  <si>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</si>
  <si>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</si>
  <si>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</si>
  <si>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</si>
  <si>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</si>
  <si>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</si>
  <si>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</si>
  <si>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</si>
  <si>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</si>
  <si>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</si>
  <si>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</si>
  <si>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Total</t>
  </si>
  <si>
    <t>Total:</t>
  </si>
  <si>
    <t>Total Portfolio Budget:</t>
  </si>
  <si>
    <t>Budget Reconciliation Table</t>
  </si>
  <si>
    <t>Initial Budget*</t>
  </si>
  <si>
    <t>Revised Budget</t>
  </si>
  <si>
    <t>Difference</t>
  </si>
  <si>
    <t>Change</t>
  </si>
  <si>
    <t>Explanation for the Change</t>
  </si>
  <si>
    <t>Decreased budget by moving dollars to Access to Affordable Energy &amp; Conservation This is within 10% rule.</t>
  </si>
  <si>
    <t>Increased budget by moving dollars from the Residential Solutions Program.  This is withing the 10% rule.</t>
  </si>
  <si>
    <t xml:space="preserve">No change. </t>
  </si>
  <si>
    <t>Not Applicable</t>
  </si>
  <si>
    <t>Total Portfolio:</t>
  </si>
  <si>
    <t>Order #</t>
  </si>
  <si>
    <t>approved the Initial Budget.</t>
  </si>
  <si>
    <t>Demand 
Savings</t>
  </si>
  <si>
    <t>Energy 
Savings</t>
  </si>
  <si>
    <t>Participants</t>
  </si>
  <si>
    <t>Participant Definition</t>
  </si>
  <si>
    <t>Measure</t>
  </si>
  <si>
    <t>Customer</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</si>
  <si>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</si>
  <si>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</si>
  <si>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</si>
  <si>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</si>
  <si>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</si>
  <si>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</si>
  <si>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</si>
  <si>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</si>
  <si>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</si>
  <si>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</si>
  <si>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</si>
  <si>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</si>
  <si>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</si>
  <si>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</si>
  <si>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</si>
  <si>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</si>
  <si>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</si>
  <si>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</si>
  <si>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</si>
  <si>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</si>
  <si>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Column1</t>
  </si>
  <si>
    <t xml:space="preserve">Arkansas Association of Educational Administrators (AAEA) Annual Trade Show </t>
  </si>
  <si>
    <t xml:space="preserve">Educate School District Superintendents on the value of high efficiency natural gas equipment and the associated utility rebates </t>
  </si>
  <si>
    <t>Marriot Hotel Little Rock</t>
  </si>
  <si>
    <t xml:space="preserve">Arkansas Association of Educational Administrators </t>
  </si>
  <si>
    <t>N</t>
  </si>
  <si>
    <t>Arkansas School Plant Managers Association (ASMPA) Conference</t>
  </si>
  <si>
    <t xml:space="preserve">Managed Summit table which included rebate marketing materials.  Met with several AR School Maintenance Directors. </t>
  </si>
  <si>
    <t>Hot Springs Convention Center</t>
  </si>
  <si>
    <t>Arkansas School Plant Managers Association (ASMPA)</t>
  </si>
  <si>
    <t>NAHRO Executive Conference</t>
  </si>
  <si>
    <t xml:space="preserve">Educate Housing Authority Executive Directors on various HUD regulations. Managed Summit table which included rebate marketing materials.  Met with several HA Maintenance Directors. </t>
  </si>
  <si>
    <t>Wyndam Hotel - Little Rock</t>
  </si>
  <si>
    <t>NAHRO</t>
  </si>
  <si>
    <t>NAHRO Maintenance Conference</t>
  </si>
  <si>
    <t xml:space="preserve">Educate Housing Authority Maintenance Directors on various codes, methods and building regulations. Managed Summit table which included rebate marketing materials.  Met with several HA Maintenance Directors. </t>
  </si>
  <si>
    <t>Hot Springs Hotel</t>
  </si>
  <si>
    <t>AR Trade Connect Meeting</t>
  </si>
  <si>
    <t>Rebate &amp; Processing Information</t>
  </si>
  <si>
    <t>Whole Hog Café' - Little Rock</t>
  </si>
  <si>
    <t>Summit Utilities</t>
  </si>
  <si>
    <t>Smokin In Style - Hot Springs</t>
  </si>
  <si>
    <t>Summit Utilities Divisional Office - Jonesboro</t>
  </si>
  <si>
    <t>Totals:</t>
  </si>
  <si>
    <t>Events:</t>
  </si>
  <si>
    <t>Internal Training (Utility or Administrator Staff)</t>
  </si>
  <si>
    <t>End Use Natural Gas Codes &amp; Standards Updates</t>
  </si>
  <si>
    <t>International Energy Conservation Code – 2027 Edition</t>
  </si>
  <si>
    <t>Webinar</t>
  </si>
  <si>
    <t>Energy Solutions Center (ESC)</t>
  </si>
  <si>
    <t>Y</t>
  </si>
  <si>
    <t>High - Temperature Heating &amp; Ventilation</t>
  </si>
  <si>
    <t>Heating &amp; Ventilating with 100% Outside Air</t>
  </si>
  <si>
    <t>Natural Gas/Hydrogen Blends</t>
  </si>
  <si>
    <t>Hydrogen Blending End Use Applications and Considerations</t>
  </si>
  <si>
    <t>Southern Gas Association (SGA)</t>
  </si>
  <si>
    <t>New Construction</t>
  </si>
  <si>
    <t>The Tip of the Spear for your Commercial Portfolio</t>
  </si>
  <si>
    <t>CLEAResult</t>
  </si>
  <si>
    <t>Franklin Energy Summit</t>
  </si>
  <si>
    <t>In-person (Charleston, SC)</t>
  </si>
  <si>
    <t>Franklin Energy</t>
  </si>
  <si>
    <t>Navigating ChatGPT</t>
  </si>
  <si>
    <t>ChatGPT in Utilitiy World</t>
  </si>
  <si>
    <t>Green Buildings Initiative (GBI)</t>
  </si>
  <si>
    <t>Green Certification Programs for C&amp;I Customers</t>
  </si>
  <si>
    <t>Natural Gas Champions</t>
  </si>
  <si>
    <t>Equitable Origin</t>
  </si>
  <si>
    <t>The Rise of Certified Natural Gas</t>
  </si>
  <si>
    <t>Unlock Savings and Sustainability with Gas Heat Pumps</t>
  </si>
  <si>
    <t>A Webinar Exploration and Q&amp;A with a Panel of Experts</t>
  </si>
  <si>
    <t>Energy Efficiency is Foundational</t>
  </si>
  <si>
    <t>Resilient pathways to serving homeowners in shifting moments</t>
  </si>
  <si>
    <t xml:space="preserve"> Technology &amp; Market Assessment Forum</t>
  </si>
  <si>
    <t xml:space="preserve">Virtual </t>
  </si>
  <si>
    <t>Rinnai American Corporation</t>
  </si>
  <si>
    <t>Tankless Water Heaters, Endless Hot Water &amp; Carbon Emissions Reductions</t>
  </si>
  <si>
    <t>Renewable Natural Gas</t>
  </si>
  <si>
    <t>Supply Assessment</t>
  </si>
  <si>
    <t>American Gas Association (AGA)</t>
  </si>
  <si>
    <t xml:space="preserve">PWC Technical Forum </t>
  </si>
  <si>
    <t>TRM and EM&amp;V Assessment</t>
  </si>
  <si>
    <t>In-person</t>
  </si>
  <si>
    <t>PWC</t>
  </si>
  <si>
    <t>Leading the Way in Infrared Heating</t>
  </si>
  <si>
    <t>From High Efficiency to Hydrogen Readiness</t>
  </si>
  <si>
    <t>An overview of the Home Energy Rating System</t>
  </si>
  <si>
    <t>Understanding the HERS® Index and the impacts of Natural Gas Appliances</t>
  </si>
  <si>
    <t>FortisBC Pilots with Gas Heat Pump Systems</t>
  </si>
  <si>
    <t>Demonstrating High-Efficiency Gas Heat Pump Systems</t>
  </si>
  <si>
    <t>NOT USED - HELD FOR FUTURE USE</t>
  </si>
  <si>
    <t xml:space="preserve"> </t>
  </si>
  <si>
    <t>Utility</t>
  </si>
  <si>
    <t>Affiliate</t>
  </si>
  <si>
    <t>3rd Party</t>
  </si>
  <si>
    <t>Portfolio Total</t>
  </si>
  <si>
    <t>EECR Reconciliation Table</t>
  </si>
  <si>
    <t>Total Portfolio Expenditures:</t>
  </si>
  <si>
    <t>EECR Expenses:</t>
  </si>
  <si>
    <t>Explanation for Difference:</t>
  </si>
  <si>
    <t xml:space="preserve">Programs savings reported are net savings and do not include adjustments for leakage. </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</si>
  <si>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</si>
  <si>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</si>
  <si>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</si>
  <si>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</si>
  <si>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</si>
  <si>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</si>
  <si>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</si>
  <si>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</si>
  <si>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</si>
  <si>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</si>
  <si>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</si>
  <si>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</si>
  <si>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</si>
  <si>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</si>
  <si>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</si>
  <si>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</si>
  <si>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</si>
  <si>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</si>
  <si>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</si>
  <si>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TRC Levelized Cost = Total TRC Cost x Capital Recovery Factor (CRF) / Incremental Annual Net Energy Savings.</t>
  </si>
  <si>
    <t>The CRF is based on weighted average measure life (Lifetime Energy Savings / Annualized Energy Saved) and the discount rate.</t>
  </si>
  <si>
    <t>Key Assumptions</t>
  </si>
  <si>
    <t>Discount Rate</t>
  </si>
  <si>
    <t>Notes/Source Documents</t>
  </si>
  <si>
    <t>Nominal Discount Rate (%)</t>
  </si>
  <si>
    <t>Exhibit JLL-3, CenterPoint Energy Conservation Improvement Program Portfolio Filing. Docket 07-081-tf-Doc. 406</t>
  </si>
  <si>
    <t>Inflation Rate (%)</t>
  </si>
  <si>
    <t>Real Discount Rate</t>
  </si>
  <si>
    <t>Program Benefits</t>
  </si>
  <si>
    <t>Avoided Energy Costs</t>
  </si>
  <si>
    <t>SCS</t>
  </si>
  <si>
    <t>LCS</t>
  </si>
  <si>
    <t>[Class 4]</t>
  </si>
  <si>
    <t>[Class 5]</t>
  </si>
  <si>
    <t>Natural Gas ($/MMBtu)</t>
  </si>
  <si>
    <t>On-Peak ($/MWh)</t>
  </si>
  <si>
    <t>Off-Peak ($/MWh)</t>
  </si>
  <si>
    <t>Carbon Cost BY ($/ton)</t>
  </si>
  <si>
    <t>Carbon Cost BY (YYYY)</t>
  </si>
  <si>
    <t>Carbon Cost EY (YYYY)</t>
  </si>
  <si>
    <t>[Line Loss Category]</t>
  </si>
  <si>
    <t>Avoided Capacity Cost</t>
  </si>
  <si>
    <t>[Class 1]</t>
  </si>
  <si>
    <t>[Class 2]</t>
  </si>
  <si>
    <t>[Class 3]</t>
  </si>
  <si>
    <t>Proxy Unit $/kW</t>
  </si>
  <si>
    <t>Proxy Unit In Service Date</t>
  </si>
  <si>
    <t>RECC ($/kw-yr)</t>
  </si>
  <si>
    <t>RECC BY (YYYY)</t>
  </si>
  <si>
    <t>RECC EY (YYYY)</t>
  </si>
  <si>
    <t>Market Price ($/kw-yr)</t>
  </si>
  <si>
    <t>Market Price BY (YYYY)</t>
  </si>
  <si>
    <t>Market Price EY (YYYY)</t>
  </si>
  <si>
    <t>Capacity Reserve Margin</t>
  </si>
  <si>
    <t>Marginal Distribution ($/kw-yr)</t>
  </si>
  <si>
    <t>Marginal Transmission ($/kw-yr)</t>
  </si>
  <si>
    <t>NEBs</t>
  </si>
  <si>
    <t>Electricity ($/kWh)</t>
  </si>
  <si>
    <t>Off Peak Avoided cost of $27.78 per MWh per SWEPCO 2019 SARP Workbook 07-082-TF_442_5</t>
  </si>
  <si>
    <t>Natural Gas ($/Therm)</t>
  </si>
  <si>
    <t>LPG ($/gallon)</t>
  </si>
  <si>
    <t>Water ($/gallon)</t>
  </si>
  <si>
    <t>AR TRM v10.0</t>
  </si>
  <si>
    <t>Waste Water ($/gallon)</t>
  </si>
  <si>
    <t>Avoided Replacement Cost ($PV)</t>
  </si>
  <si>
    <t>Deferred Replacement Cost ($PV)</t>
  </si>
  <si>
    <t>Per ADM Evaluation of 2018 DSM Portfolio and Protocol L, TRM Version 6.1 Volume 1</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</si>
  <si>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</si>
  <si>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</si>
  <si>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</si>
  <si>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</si>
  <si>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Electric Savings</t>
  </si>
  <si>
    <t>Natural Gas Savings</t>
  </si>
  <si>
    <t>Propane Savings</t>
  </si>
  <si>
    <t>Water/Waste Water</t>
  </si>
  <si>
    <t>Replacement Cost</t>
  </si>
  <si>
    <t>Total
NPV $</t>
  </si>
  <si>
    <t>Annual
KWh</t>
  </si>
  <si>
    <t>NPV $</t>
  </si>
  <si>
    <t>Annual
Therms</t>
  </si>
  <si>
    <t>Annual
Gallons</t>
  </si>
  <si>
    <t>Avoided
NPV $</t>
  </si>
  <si>
    <t>Deferred
NPV $</t>
  </si>
  <si>
    <t>Cost-Effectiveness Test</t>
  </si>
  <si>
    <t>Participant Cost Test
(PCT)</t>
  </si>
  <si>
    <t>Ratepayer Impact Measure
(RIM)</t>
  </si>
  <si>
    <t>Program Administrator Cost
(PAC)</t>
  </si>
  <si>
    <t>Societal Cost Test</t>
  </si>
  <si>
    <t>Net Benefits
($000's)</t>
  </si>
  <si>
    <t>Current Programs</t>
  </si>
  <si>
    <t>Discontinued Programs</t>
  </si>
  <si>
    <t>Is the Utility currently operating under a Formula Rate Plan (FRP)?</t>
  </si>
  <si>
    <t>No</t>
  </si>
  <si>
    <t>If Yes, provide the effective date of FRP.</t>
  </si>
  <si>
    <t xml:space="preserve">Programs savings reported are net savings and include adjustments for leakage. </t>
  </si>
  <si>
    <t>Baseline Calculation</t>
  </si>
  <si>
    <t>Portfolio Level Summary</t>
  </si>
  <si>
    <t>Initial Budget</t>
  </si>
  <si>
    <t>SD Exemptions Adjustment</t>
  </si>
  <si>
    <t>Actual Expenses ($)</t>
  </si>
  <si>
    <t>Adjusted Baseline</t>
  </si>
  <si>
    <t>Portfolio Net Benefits ($)</t>
  </si>
  <si>
    <t>Incentive Calculation</t>
  </si>
  <si>
    <t>Savings Achievement</t>
  </si>
  <si>
    <t>Commission Established Goal</t>
  </si>
  <si>
    <t>% of Goal Achieved</t>
  </si>
  <si>
    <t>10% of Portfolio Net Benefits ($)</t>
  </si>
  <si>
    <t>Incentive Cap</t>
  </si>
  <si>
    <t>Maximum Allowed Incentive ($)</t>
  </si>
  <si>
    <t>Eligible Incentive $'s</t>
  </si>
  <si>
    <t>Program</t>
  </si>
  <si>
    <t>Annual Therms Savings</t>
  </si>
  <si>
    <t>Lifetime Therms Savings</t>
  </si>
  <si>
    <t>EUL</t>
  </si>
  <si>
    <t>Cost of Carbon - $ per Therm</t>
  </si>
  <si>
    <t>Ex Ante</t>
  </si>
  <si>
    <t>Ex Post</t>
  </si>
  <si>
    <t>Low</t>
  </si>
  <si>
    <t>Res. Equipment Rebates</t>
  </si>
  <si>
    <t>Mid</t>
  </si>
  <si>
    <t>Comm. Equipment Rebates</t>
  </si>
  <si>
    <t>High</t>
  </si>
  <si>
    <t>Commercial Boiler</t>
  </si>
  <si>
    <t>C&amp;I Solutions</t>
  </si>
  <si>
    <t>Commercial Food Service</t>
  </si>
  <si>
    <t>Home Energy Reports</t>
  </si>
  <si>
    <t>Low Flow</t>
  </si>
  <si>
    <t>Saving Homes Program</t>
  </si>
  <si>
    <t xml:space="preserve">Low-Income Saving Homes </t>
  </si>
  <si>
    <t>NPV</t>
  </si>
  <si>
    <t>Historical Data (Program Data - Prior Two Years)</t>
  </si>
  <si>
    <t>Annual Budget &amp; Actual Costs</t>
  </si>
  <si>
    <t>Number of Participants</t>
  </si>
  <si>
    <t>Budget</t>
  </si>
  <si>
    <t>Actual</t>
  </si>
  <si>
    <t>Plan</t>
  </si>
  <si>
    <t>Evaluated</t>
  </si>
  <si>
    <t>Regulatory</t>
  </si>
  <si>
    <t>Total Portfolio - Current Programs</t>
  </si>
  <si>
    <t xml:space="preserve">Note any changes made to a program in the primary reporting year that differ from the prior two years. </t>
  </si>
  <si>
    <t>Water Heating Program</t>
  </si>
  <si>
    <t>Space Heating Program</t>
  </si>
  <si>
    <t>Arkansas Weatherization Program</t>
  </si>
  <si>
    <t>Home Energy Affordability Loan Program</t>
  </si>
  <si>
    <t>Total Portfolio - Discontinued Programs</t>
  </si>
  <si>
    <t xml:space="preserve">Total Portfolio - Prior Two Years </t>
  </si>
  <si>
    <t>Historical Data (Portfolio Data - Prior Four Years)</t>
  </si>
  <si>
    <t>EE Portfolio</t>
  </si>
  <si>
    <t>Revenue and Sales</t>
  </si>
  <si>
    <t>Costs</t>
  </si>
  <si>
    <t>Revenue</t>
  </si>
  <si>
    <t>Glossary</t>
  </si>
  <si>
    <t>Term</t>
  </si>
  <si>
    <t>Definition</t>
  </si>
  <si>
    <t>Actual Expenditures</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</si>
  <si>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</si>
  <si>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</si>
  <si>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</si>
  <si>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</si>
  <si>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</si>
  <si>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</si>
  <si>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</si>
  <si>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</si>
  <si>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</si>
  <si>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</si>
  <si>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Savings</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</si>
  <si>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</si>
  <si>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</si>
  <si>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</si>
  <si>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</si>
  <si>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</si>
  <si>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</si>
  <si>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</si>
  <si>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</si>
  <si>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</si>
  <si>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</si>
  <si>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</si>
  <si>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</si>
  <si>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</si>
  <si>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</si>
  <si>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</si>
  <si>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</si>
  <si>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</si>
  <si>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</si>
  <si>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</si>
  <si>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</si>
  <si>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</si>
  <si>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</si>
  <si>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</si>
  <si>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</si>
  <si>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</si>
  <si>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</si>
  <si>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</si>
  <si>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</si>
  <si>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</si>
  <si>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</si>
  <si>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</si>
  <si>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</si>
  <si>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</si>
  <si>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</si>
  <si>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</si>
  <si>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</si>
  <si>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</si>
  <si>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</si>
  <si>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</si>
  <si>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</si>
  <si>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</si>
  <si>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</si>
  <si>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</si>
  <si>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</si>
  <si>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</si>
  <si>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</si>
  <si>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</si>
  <si>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</si>
  <si>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</si>
  <si>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Behavior/Education</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</si>
  <si>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</si>
  <si>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Consumer Product Rebate</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</si>
  <si>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</si>
  <si>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</si>
  <si>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</si>
  <si>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</si>
  <si>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</si>
  <si>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</si>
  <si>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Market Specific/Hard to Reach</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</si>
  <si>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</si>
  <si>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</si>
  <si>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</si>
  <si>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 programs that encourage the purchase and installation of some or all of a specified set of pre-approved measures.</t>
  </si>
  <si>
    <t>Measure/Technology Focus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</si>
  <si>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</si>
  <si>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 Home</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</si>
  <si>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</si>
  <si>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</si>
  <si>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Accounts</t>
  </si>
  <si>
    <t>The number of individually metered accounts. A participating customer may have more than one account.</t>
  </si>
  <si>
    <t xml:space="preserve">The number of specific end-users identified by a unique customer identifier. A single customer may have one or more accounts. </t>
  </si>
  <si>
    <t>Equipment</t>
  </si>
  <si>
    <t>The specific number of units of energy efficiency equipment installed through the program.</t>
  </si>
  <si>
    <t>Homes</t>
  </si>
  <si>
    <t>The number of residences where assessments were conducted and/or energy efficiency measure(s) installed.</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</si>
  <si>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</si>
  <si>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</si>
  <si>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</si>
  <si>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Projects</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</si>
  <si>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</si>
  <si>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</si>
  <si>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</si>
  <si>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</si>
  <si>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</si>
  <si>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</si>
  <si>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</si>
  <si>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</si>
  <si>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</si>
  <si>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</si>
  <si>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</si>
  <si>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</si>
  <si>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</si>
  <si>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</si>
  <si>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</si>
  <si>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</si>
  <si>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</si>
  <si>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</si>
  <si>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</si>
  <si>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</si>
  <si>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</si>
  <si>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</si>
  <si>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</si>
  <si>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</si>
  <si>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</si>
  <si>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</si>
  <si>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</si>
  <si>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</si>
  <si>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</si>
  <si>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</si>
  <si>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</si>
  <si>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</si>
  <si>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</si>
  <si>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</si>
  <si>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</si>
  <si>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</si>
  <si>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</si>
  <si>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</si>
  <si>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</si>
  <si>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</si>
  <si>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</si>
  <si>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</si>
  <si>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</si>
  <si>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</si>
  <si>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</si>
  <si>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</si>
  <si>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</si>
  <si>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</si>
  <si>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</si>
  <si>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</si>
  <si>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</si>
  <si>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</si>
  <si>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</si>
  <si>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</si>
  <si>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</si>
  <si>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</si>
  <si>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</si>
  <si>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</si>
  <si>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</si>
  <si>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</si>
  <si>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</si>
  <si>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</si>
  <si>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</si>
  <si>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</si>
  <si>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</si>
  <si>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</si>
  <si>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</si>
  <si>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</si>
  <si>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</si>
  <si>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</si>
  <si>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</si>
  <si>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</si>
  <si>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</si>
  <si>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</si>
  <si>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</si>
  <si>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</si>
  <si>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</si>
  <si>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</si>
  <si>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</si>
  <si>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</si>
  <si>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</si>
  <si>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</si>
  <si>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</si>
  <si>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</si>
  <si>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</si>
  <si>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</si>
  <si>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</si>
  <si>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</si>
  <si>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</si>
  <si>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</si>
  <si>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</si>
  <si>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</si>
  <si>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</si>
  <si>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contractors for weatherization services</t>
  </si>
  <si>
    <t>Direct install costs for all programs with direct install provisions</t>
  </si>
  <si>
    <t>EM&amp;V</t>
  </si>
  <si>
    <t>Coupons and upstream program incentives</t>
  </si>
  <si>
    <t>Payments to consultants for preparation/update of Deemed Savings and</t>
  </si>
  <si>
    <t>Residential energy audits</t>
  </si>
  <si>
    <t>Technical Reference Manual</t>
  </si>
  <si>
    <t>Consultants costs for IEM and independent third party evaluations</t>
  </si>
  <si>
    <t>Administration</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</si>
  <si>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</si>
  <si>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</si>
  <si>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</si>
  <si>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</si>
  <si>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</si>
  <si>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</si>
  <si>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</si>
  <si>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</si>
  <si>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</si>
  <si>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</si>
  <si>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</si>
  <si>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Coupon Redemption</t>
  </si>
  <si>
    <t>******Single-Class******</t>
  </si>
  <si>
    <t>Direct Install</t>
  </si>
  <si>
    <t>Small Business</t>
  </si>
  <si>
    <t>Retail Outlets</t>
  </si>
  <si>
    <t>Self-Install</t>
  </si>
  <si>
    <t>Municipalities/Schools</t>
  </si>
  <si>
    <t>Statewide Administrator</t>
  </si>
  <si>
    <t>Agriculture</t>
  </si>
  <si>
    <t>Trade Ally</t>
  </si>
  <si>
    <t>Utility Outreach (email/direct mail)</t>
  </si>
  <si>
    <t>******Multi-Class******</t>
  </si>
  <si>
    <t>Website</t>
  </si>
  <si>
    <t>Res/C&amp;I</t>
  </si>
  <si>
    <t>Small Business/C&amp;I</t>
  </si>
  <si>
    <t>All Classes</t>
  </si>
  <si>
    <t>Portfolio Information</t>
  </si>
  <si>
    <t>Sector</t>
  </si>
  <si>
    <t>Type</t>
  </si>
  <si>
    <t>Channel</t>
  </si>
  <si>
    <t>-</t>
  </si>
  <si>
    <t>Program Year Evaluation</t>
  </si>
  <si>
    <t>Lifetime Savings</t>
  </si>
  <si>
    <t>TRC Total Cost</t>
  </si>
  <si>
    <t>TRC Total Benefits</t>
  </si>
  <si>
    <t>TRC Net Benefits</t>
  </si>
  <si>
    <t>TRC Ratio</t>
  </si>
  <si>
    <t>History</t>
  </si>
  <si>
    <t>Savings Energy</t>
  </si>
  <si>
    <t>Savings Demand</t>
  </si>
  <si>
    <t xml:space="preserve">Budget </t>
  </si>
  <si>
    <t>Group</t>
  </si>
  <si>
    <t>Rank</t>
  </si>
  <si>
    <t>Table 1</t>
  </si>
  <si>
    <t>Energy</t>
  </si>
  <si>
    <t>TRC Net $</t>
  </si>
  <si>
    <t>PAC Ratio</t>
  </si>
  <si>
    <t>Target</t>
  </si>
  <si>
    <t>Achieved</t>
  </si>
  <si>
    <t>% Achieved</t>
  </si>
  <si>
    <t>Table 2</t>
  </si>
  <si>
    <t>Table 3</t>
  </si>
  <si>
    <t>Table 4</t>
  </si>
  <si>
    <t>Year</t>
  </si>
  <si>
    <t>Sales</t>
  </si>
  <si>
    <t>EE Budget</t>
  </si>
  <si>
    <t>EE Expense</t>
  </si>
  <si>
    <t>Report 1</t>
  </si>
  <si>
    <t>Benefits</t>
  </si>
  <si>
    <t>Report 2</t>
  </si>
  <si>
    <t>Net</t>
  </si>
  <si>
    <t>Value</t>
  </si>
  <si>
    <t>Cost-Effectiveness</t>
  </si>
  <si>
    <t>Goal Achievement</t>
  </si>
  <si>
    <t>Actual 
Expenditures</t>
  </si>
  <si>
    <t>Performance 
Incentives</t>
  </si>
  <si>
    <t>TRC 
Net Benefits</t>
  </si>
  <si>
    <t>TRC
Ratio</t>
  </si>
  <si>
    <t>PAC
Ratio</t>
  </si>
  <si>
    <t>Commission 
Established 
Target</t>
  </si>
  <si>
    <t>Actual 
Savings 
Achieved</t>
  </si>
  <si>
    <t>% of 
Target 
Achieved</t>
  </si>
  <si>
    <t>(NPV)</t>
  </si>
  <si>
    <t>% of Baseline</t>
  </si>
  <si>
    <t>(%)</t>
  </si>
  <si>
    <t>Work Book is Incomplete 
- Click Here For Details-</t>
  </si>
  <si>
    <t>% of 
Budget</t>
  </si>
  <si>
    <t>($)</t>
  </si>
  <si>
    <t>EE Portfolio Expenditure Summary by Cost Type</t>
  </si>
  <si>
    <t>% of</t>
  </si>
  <si>
    <t>Cost Type</t>
  </si>
  <si>
    <t>Revenue and Expenditures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</si>
  <si>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</si>
  <si>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</si>
  <si>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</si>
  <si>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</si>
  <si>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</si>
  <si>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</si>
  <si>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</si>
  <si>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</si>
  <si>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</si>
  <si>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</si>
  <si>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(%=e/d)</t>
  </si>
  <si>
    <t>(%=f/d)</t>
  </si>
  <si>
    <t>Table 5</t>
  </si>
  <si>
    <t>Select program from dropdown menu to view details.</t>
  </si>
  <si>
    <t>Expenditures</t>
  </si>
  <si>
    <t>%</t>
  </si>
  <si>
    <t>TOTAL:</t>
  </si>
  <si>
    <t>TOTAL</t>
  </si>
  <si>
    <t>Select the Data to be Displayed in Chart</t>
  </si>
  <si>
    <t>Savings (Therms)</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</si>
  <si>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</si>
  <si>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</si>
  <si>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</si>
  <si>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</si>
  <si>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</si>
  <si>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</si>
  <si>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</si>
  <si>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</si>
  <si>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</si>
  <si>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</si>
  <si>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</si>
  <si>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</si>
  <si>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</si>
  <si>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</si>
  <si>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Expenditures
(A)</t>
  </si>
  <si>
    <t>Planning &amp; Design
(B)</t>
  </si>
  <si>
    <t>As % of Total Portfolio Expenditures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</si>
  <si>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</si>
  <si>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</si>
  <si>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</si>
  <si>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</si>
  <si>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</si>
  <si>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</si>
  <si>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</si>
  <si>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</si>
  <si>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</si>
  <si>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</si>
  <si>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</si>
  <si>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</si>
  <si>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</si>
  <si>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</si>
  <si>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</si>
  <si>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</si>
  <si>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</si>
  <si>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</si>
  <si>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</si>
  <si>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</si>
  <si>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Expenses</t>
  </si>
  <si>
    <t>Total Cost</t>
  </si>
  <si>
    <t>Levelized cost</t>
  </si>
  <si>
    <t>Historical Data (Next Annual Report)</t>
  </si>
  <si>
    <t>Annual Budget &amp; Actual Cost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</si>
  <si>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</si>
  <si>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</si>
  <si>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</si>
  <si>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</si>
  <si>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</si>
  <si>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</si>
  <si>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</si>
  <si>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</si>
  <si>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</si>
  <si>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</si>
  <si>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</si>
  <si>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</si>
  <si>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</si>
  <si>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</si>
  <si>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Electric</t>
  </si>
  <si>
    <t>MWh</t>
  </si>
  <si>
    <t>Therms</t>
  </si>
  <si>
    <t>MW</t>
  </si>
  <si>
    <t>Empty List</t>
  </si>
  <si>
    <t>Status Report</t>
  </si>
  <si>
    <t>Cells Incomplete</t>
  </si>
  <si>
    <t>Status</t>
  </si>
  <si>
    <t>Report 4</t>
  </si>
  <si>
    <t>Errors:</t>
  </si>
  <si>
    <t>Baseline Year</t>
  </si>
  <si>
    <t>Docket No.</t>
  </si>
  <si>
    <t>Order No.</t>
  </si>
  <si>
    <t>08-137-U</t>
  </si>
  <si>
    <t>13-002-U</t>
  </si>
  <si>
    <t>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</si>
</sst>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d\.mmm\.yy"/>
    <numFmt numFmtId="175" formatCode="0.000_)"/>
    <numFmt numFmtId="176" formatCode="&quot;$&quot;#,##0\ ;\(&quot;$&quot;#,##0\)"/>
    <numFmt numFmtId="177" formatCode="General_)"/>
    <numFmt numFmtId="178" formatCode="0.00_)"/>
    <numFmt numFmtId="179" formatCode="mm/dd/yy"/>
    <numFmt numFmtId="180" formatCode="[$-409]mmmm\-yyyy;@"/>
    <numFmt numFmtId="181" formatCode="_-* #,##0.00_-;\-* #,##0.00_-;_-* &quot;-&quot;??_-;_-@_-"/>
    <numFmt numFmtId="182" formatCode="_(&quot;$&quot;* #,##0.00_);_(&quot;$&quot;* \(#,##0.00\);_(&quot;$&quot;*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u/>
      <sz val="10"/>
      <color theme="10"/>
      <name val="Arial"/>
      <family val="2"/>
    </font>
    <font>
      <sz val="10"/>
      <name val="Arial"/>
      <family val="2"/>
    </font>
    <font>
      <sz val="10"/>
      <color theme="1"/>
      <name val="Arial"/>
      <family val="2"/>
    </font>
    <font>
      <sz val="11"/>
      <color theme="1"/>
      <name val="Arial"/>
      <family val="2"/>
    </font>
    <font>
      <sz val="9"/>
      <color rgb="FF006100"/>
      <name val="Calibri"/>
      <family val="2"/>
      <scheme val="minor"/>
    </font>
    <font>
      <sz val="9"/>
      <color rgb="FF9C0006"/>
      <name val="Calibri"/>
      <family val="2"/>
      <scheme val="minor"/>
    </font>
    <font>
      <sz val="12"/>
      <name val="Arial"/>
      <family val="2"/>
    </font>
    <font>
      <sz val="11"/>
      <color rgb="FFFF0000"/>
      <name val="Calibri"/>
      <family val="2"/>
      <scheme val="minor"/>
    </font>
    <font>
      <b/>
      <sz val="11"/>
      <color theme="1"/>
      <name val="Calibri"/>
      <family val="2"/>
      <scheme val="minor"/>
    </font>
    <font>
      <sz val="11"/>
      <color theme="1"/>
      <name val="Calibri"/>
      <family val="2"/>
    </font>
    <font>
      <sz val="11"/>
      <name val="Calibri"/>
      <family val="2"/>
    </font>
    <font>
      <sz val="12"/>
      <color theme="1"/>
      <name val="Calibri"/>
      <family val="2"/>
      <scheme val="minor"/>
    </font>
    <font>
      <sz val="8"/>
      <name val="Times New Roman"/>
      <family val="1"/>
    </font>
    <font>
      <sz val="10"/>
      <name val="Times New Roman"/>
      <family val="1"/>
    </font>
    <font>
      <sz val="11"/>
      <name val="Tms Rmn"/>
    </font>
    <font>
      <sz val="10"/>
      <color indexed="24"/>
      <name val="Courier New"/>
      <family val="3"/>
    </font>
    <font>
      <sz val="10"/>
      <name val="MS Serif"/>
      <family val="1"/>
    </font>
    <font>
      <sz val="10"/>
      <color indexed="12"/>
      <name val="Courier"/>
      <family val="3"/>
    </font>
    <font>
      <sz val="10"/>
      <color indexed="16"/>
      <name val="MS Serif"/>
      <family val="1"/>
    </font>
    <font>
      <b/>
      <sz val="16"/>
      <name val="Times New Roman"/>
      <family val="1"/>
    </font>
    <font>
      <b/>
      <sz val="12"/>
      <name val="Arial"/>
      <family val="2"/>
    </font>
    <font>
      <b/>
      <sz val="8"/>
      <name val="MS Sans Serif"/>
      <family val="2"/>
    </font>
    <font>
      <u/>
      <sz val="10"/>
      <color indexed="12"/>
      <name val="Arial"/>
      <family val="2"/>
    </font>
    <font>
      <u/>
      <sz val="10"/>
      <color theme="10"/>
      <name val="Comic Sans MS"/>
      <family val="2"/>
    </font>
    <font>
      <u/>
      <sz val="12"/>
      <color theme="10"/>
      <name val="Arial"/>
      <family val="2"/>
    </font>
    <font>
      <b/>
      <i/>
      <sz val="16"/>
      <name val="Helv"/>
    </font>
    <font>
      <sz val="12"/>
      <color theme="1"/>
      <name val="Times New Roman"/>
      <family val="2"/>
    </font>
    <font>
      <sz val="10"/>
      <color theme="1"/>
      <name val="Comic Sans MS"/>
      <family val="2"/>
    </font>
    <font>
      <sz val="12"/>
      <name val="Times New Roman"/>
      <family val="1"/>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sz val="8"/>
      <name val="MS Sans Serif"/>
      <family val="2"/>
    </font>
    <font>
      <b/>
      <sz val="8"/>
      <color indexed="8"/>
      <name val="Helv"/>
    </font>
    <font>
      <sz val="14"/>
      <color theme="1"/>
      <name val="Calibri"/>
      <family val="2"/>
      <scheme val="minor"/>
    </font>
    <font>
      <sz val="11"/>
      <color theme="0"/>
      <name val="Calibri"/>
      <family val="2"/>
      <scheme val="minor"/>
    </font>
    <font>
      <sz val="10"/>
      <color theme="1"/>
      <name val="Calibri"/>
      <family val="2"/>
      <scheme val="minor"/>
    </font>
    <font>
      <sz val="11"/>
      <color rgb="FF3F3F76"/>
      <name val="Calibri"/>
      <family val="2"/>
      <scheme val="minor"/>
    </font>
    <font>
      <sz val="10"/>
      <name val="Verdana"/>
      <family val="2"/>
    </font>
    <font>
      <sz val="10"/>
      <name val="MS Sans Serif"/>
      <family val="2"/>
    </font>
    <font>
      <sz val="10"/>
      <name val="Geneva"/>
    </font>
    <font>
      <u/>
      <sz val="11"/>
      <color theme="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11"/>
      <color theme="10"/>
      <name val="Calibri"/>
      <family val="2"/>
      <scheme val="minor"/>
    </font>
    <font>
      <b/>
      <sz val="11"/>
      <color indexed="10"/>
      <name val="Calibri"/>
      <family val="2"/>
    </font>
    <font>
      <sz val="12"/>
      <color indexed="8"/>
      <name val="Calibri"/>
      <family val="2"/>
    </font>
    <font>
      <sz val="11"/>
      <color theme="1"/>
      <name val="Trebuchet MS"/>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4"/>
      <name val="Calibri"/>
      <family val="2"/>
      <scheme val="minor"/>
    </font>
    <font>
      <sz val="11"/>
      <color indexed="19"/>
      <name val="Calibri"/>
      <family val="2"/>
    </font>
    <font>
      <sz val="7"/>
      <name val="Small Fonts"/>
      <family val="2"/>
    </font>
    <font>
      <sz val="10"/>
      <color rgb="FF000000"/>
      <name val="Times New Roman"/>
      <family val="1"/>
    </font>
    <font>
      <b/>
      <sz val="11"/>
      <color indexed="63"/>
      <name val="Calibri"/>
      <family val="2"/>
    </font>
    <font>
      <b/>
      <sz val="18"/>
      <color indexed="62"/>
      <name val="Cambria"/>
      <family val="2"/>
    </font>
    <font>
      <b/>
      <sz val="18"/>
      <color theme="3"/>
      <name val="Cambria"/>
      <family val="2"/>
      <scheme val="major"/>
    </font>
    <font>
      <sz val="11"/>
      <color rgb="FF9C6500"/>
      <name val="Calibri"/>
      <family val="2"/>
      <scheme val="minor"/>
    </font>
    <font>
      <sz val="11"/>
      <color theme="1"/>
      <name val="Comic Sans MS"/>
      <family val="2"/>
    </font>
    <font>
      <b/>
      <sz val="15"/>
      <color theme="3"/>
      <name val="Comic Sans MS"/>
      <family val="2"/>
    </font>
    <font>
      <b/>
      <sz val="13"/>
      <color theme="3"/>
      <name val="Comic Sans MS"/>
      <family val="2"/>
    </font>
    <font>
      <b/>
      <sz val="11"/>
      <color theme="3"/>
      <name val="Comic Sans MS"/>
      <family val="2"/>
    </font>
    <font>
      <sz val="10"/>
      <color theme="0"/>
      <name val="Comic Sans MS"/>
      <family val="2"/>
    </font>
    <font>
      <sz val="11"/>
      <color indexed="37"/>
      <name val="Calibri"/>
      <family val="2"/>
    </font>
    <font>
      <sz val="10"/>
      <color rgb="FF9C0006"/>
      <name val="Comic Sans MS"/>
      <family val="2"/>
    </font>
    <font>
      <b/>
      <sz val="11"/>
      <color indexed="17"/>
      <name val="Calibri"/>
      <family val="2"/>
    </font>
    <font>
      <b/>
      <sz val="10"/>
      <color rgb="FFFA7D00"/>
      <name val="Comic Sans MS"/>
      <family val="2"/>
    </font>
    <font>
      <b/>
      <sz val="10"/>
      <color theme="0"/>
      <name val="Comic Sans MS"/>
      <family val="2"/>
    </font>
    <font>
      <sz val="10"/>
      <color indexed="8"/>
      <name val="Comic Sans MS"/>
      <family val="2"/>
    </font>
    <font>
      <i/>
      <sz val="10"/>
      <color rgb="FF7F7F7F"/>
      <name val="Comic Sans MS"/>
      <family val="2"/>
    </font>
    <font>
      <sz val="10"/>
      <color rgb="FF006100"/>
      <name val="Comic Sans MS"/>
      <family val="2"/>
    </font>
    <font>
      <b/>
      <sz val="15"/>
      <color indexed="56"/>
      <name val="Calibri"/>
      <family val="2"/>
    </font>
    <font>
      <b/>
      <sz val="13"/>
      <color indexed="56"/>
      <name val="Calibri"/>
      <family val="2"/>
    </font>
    <font>
      <sz val="11"/>
      <color indexed="48"/>
      <name val="Calibri"/>
      <family val="2"/>
    </font>
    <font>
      <sz val="11"/>
      <color rgb="FF3F3F76"/>
      <name val="Arial"/>
      <family val="2"/>
    </font>
    <font>
      <sz val="10"/>
      <color rgb="FF3F3F76"/>
      <name val="Comic Sans MS"/>
      <family val="2"/>
    </font>
    <font>
      <sz val="10"/>
      <color rgb="FFFA7D00"/>
      <name val="Comic Sans MS"/>
      <family val="2"/>
    </font>
    <font>
      <sz val="10"/>
      <color rgb="FF9C6500"/>
      <name val="Comic Sans MS"/>
      <family val="2"/>
    </font>
    <font>
      <sz val="12"/>
      <name val="Courier"/>
      <family val="3"/>
    </font>
    <font>
      <sz val="10"/>
      <color indexed="0"/>
      <name val="Arial"/>
      <family val="2"/>
    </font>
    <font>
      <b/>
      <sz val="10"/>
      <color rgb="FF3F3F3F"/>
      <name val="Comic Sans MS"/>
      <family val="2"/>
    </font>
    <font>
      <sz val="8"/>
      <color indexed="62"/>
      <name val="Arial"/>
      <family val="2"/>
    </font>
    <font>
      <b/>
      <sz val="8"/>
      <color indexed="8"/>
      <name val="Arial"/>
      <family val="2"/>
    </font>
    <font>
      <sz val="19"/>
      <name val="Arial"/>
      <family val="2"/>
    </font>
    <font>
      <sz val="8"/>
      <color indexed="14"/>
      <name val="Arial"/>
      <family val="2"/>
    </font>
    <font>
      <b/>
      <sz val="10"/>
      <color theme="1"/>
      <name val="Comic Sans MS"/>
      <family val="2"/>
    </font>
    <font>
      <sz val="11"/>
      <color indexed="14"/>
      <name val="Calibri"/>
      <family val="2"/>
    </font>
    <font>
      <sz val="10"/>
      <color rgb="FFFF0000"/>
      <name val="Comic Sans MS"/>
      <family val="2"/>
    </font>
    <font>
      <sz val="10"/>
      <color theme="1"/>
      <name val="Calibri"/>
      <family val="2"/>
    </font>
    <font>
      <b/>
      <sz val="11"/>
      <color rgb="FFFFFFFF"/>
      <name val="Calibri"/>
      <family val="2"/>
    </font>
    <font>
      <b/>
      <sz val="12"/>
      <color rgb="FFFFFFFF"/>
      <name val="Calibri"/>
      <family val="2"/>
    </font>
    <font>
      <sz val="11"/>
      <color rgb="FF000000"/>
      <name val="Calibri"/>
      <family val="2"/>
    </font>
    <font>
      <sz val="11"/>
      <color rgb="FF343434"/>
      <name val="Aptos Narrow"/>
      <family val="2"/>
    </font>
    <font>
      <sz val="11"/>
      <name val="Aptos Narrow"/>
      <family val="2"/>
    </font>
  </fonts>
  <fills count="1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indexed="44"/>
        <bgColor indexed="64"/>
      </patternFill>
    </fill>
    <fill>
      <patternFill patternType="solid">
        <fgColor indexed="47"/>
        <bgColor indexed="64"/>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9"/>
        <bgColor indexed="64"/>
      </patternFill>
    </fill>
    <fill>
      <patternFill patternType="solid">
        <fgColor indexed="51"/>
        <bgColor indexed="64"/>
      </patternFill>
    </fill>
    <fill>
      <patternFill patternType="solid">
        <fgColor rgb="FFFFCC99"/>
      </patternFill>
    </fill>
    <fill>
      <patternFill patternType="solid">
        <fgColor theme="6" tint="0.79998168889431442"/>
        <bgColor indexed="65"/>
      </patternFill>
    </fill>
    <fill>
      <patternFill patternType="solid">
        <fgColor theme="9" tint="0.59999389629810485"/>
        <bgColor indexed="65"/>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indexed="56"/>
      </patternFill>
    </fill>
    <fill>
      <patternFill patternType="solid">
        <fgColor indexed="54"/>
      </patternFill>
    </fill>
    <fill>
      <patternFill patternType="solid">
        <fgColor indexed="9"/>
      </patternFill>
    </fill>
    <fill>
      <patternFill patternType="solid">
        <fgColor indexed="31"/>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12"/>
      </patternFill>
    </fill>
    <fill>
      <patternFill patternType="solid">
        <fgColor indexed="23"/>
      </patternFill>
    </fill>
    <fill>
      <patternFill patternType="solid">
        <fgColor indexed="20"/>
      </patternFill>
    </fill>
    <fill>
      <patternFill patternType="solid">
        <fgColor rgb="FF5C7F92"/>
        <bgColor indexed="64"/>
      </patternFill>
    </fill>
    <fill>
      <patternFill patternType="solid">
        <fgColor rgb="FFFFFFCC"/>
        <bgColor rgb="FF000000"/>
      </patternFill>
    </fill>
  </fills>
  <borders count="2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auto="1"/>
      </top>
      <bottom style="medium">
        <color auto="1"/>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48"/>
      </left>
      <right style="thin">
        <color indexed="48"/>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style="medium">
        <color auto="1"/>
      </top>
      <bottom style="medium">
        <color auto="1"/>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style="medium">
        <color auto="1"/>
      </top>
      <bottom style="medium">
        <color auto="1"/>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medium">
        <color rgb="FF7F7F7F"/>
      </left>
      <right style="medium">
        <color rgb="FF7F7F7F"/>
      </right>
      <top style="medium">
        <color rgb="FF7F7F7F"/>
      </top>
      <bottom/>
      <diagonal/>
    </border>
    <border>
      <left style="medium">
        <color rgb="FF7F7F7F"/>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medium">
        <color rgb="FF808080"/>
      </left>
      <right style="medium">
        <color rgb="FF808080"/>
      </right>
      <top/>
      <bottom/>
      <diagonal/>
    </border>
    <border>
      <left/>
      <right style="medium">
        <color rgb="FF808080"/>
      </right>
      <top/>
      <bottom/>
      <diagonal/>
    </border>
    <border>
      <left/>
      <right style="medium">
        <color rgb="FF7F7F7F"/>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56"/>
      </top>
      <bottom style="double">
        <color indexed="56"/>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3"/>
      </left>
      <right style="thin">
        <color indexed="63"/>
      </right>
      <top style="thin">
        <color indexed="63"/>
      </top>
      <bottom style="medium">
        <color indexed="64"/>
      </bottom>
      <diagonal/>
    </border>
    <border>
      <left style="thin">
        <color indexed="63"/>
      </left>
      <right style="thin">
        <color indexed="63"/>
      </right>
      <top style="thin">
        <color indexed="63"/>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s>
  <cellStyleXfs count="14600">
    <xf numFmtId="0" fontId="0" fillId="0" borderId="0"/>
    <xf numFmtId="0" fontId="24" fillId="2" borderId="0" applyFill="0">
      <alignment horizontal="left"/>
    </xf>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27" fillId="0" borderId="0" applyNumberFormat="0" applyBorder="0" applyProtection="0">
      <alignment horizontal="left"/>
    </xf>
    <xf numFmtId="0" fontId="9" fillId="8"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51" fillId="29" borderId="66" applyNumberFormat="0" applyProtection="0">
      <alignment horizontal="center" vertical="center"/>
    </xf>
    <xf numFmtId="0" fontId="9" fillId="11" borderId="0" applyNumberFormat="0" applyBorder="0" applyAlignment="0" applyProtection="0"/>
    <xf numFmtId="0" fontId="10" fillId="12"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1" fontId="6"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37" fontId="23" fillId="0" borderId="0" applyFill="0" applyBorder="0" applyProtection="0">
      <alignment horizontal="center"/>
    </xf>
    <xf numFmtId="169" fontId="23" fillId="0" borderId="0" applyFill="0" applyBorder="0" applyAlignment="0" applyProtection="0"/>
    <xf numFmtId="43" fontId="8" fillId="0" borderId="0" applyFont="0" applyFill="0" applyBorder="0" applyAlignment="0" applyProtection="0"/>
    <xf numFmtId="42" fontId="6"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44" fontId="22" fillId="0" borderId="0" applyFont="0" applyFill="0" applyBorder="0" applyAlignment="0" applyProtection="0"/>
    <xf numFmtId="44" fontId="8"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25" fillId="0" borderId="0" applyNumberFormat="0" applyFill="0" applyProtection="0">
      <alignment horizontal="left"/>
    </xf>
    <xf numFmtId="0" fontId="25" fillId="0" borderId="0" applyNumberFormat="0" applyFill="0" applyProtection="0">
      <alignment horizontal="left"/>
    </xf>
    <xf numFmtId="0" fontId="26" fillId="0" borderId="0" applyNumberFormat="0" applyFill="0" applyProtection="0">
      <alignment horizontal="left"/>
    </xf>
    <xf numFmtId="0" fontId="26" fillId="0" borderId="0" applyNumberFormat="0" applyFill="0" applyProtection="0">
      <alignment horizontal="left"/>
    </xf>
    <xf numFmtId="0" fontId="16" fillId="0" borderId="3"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3" fillId="27" borderId="4" applyNumberFormat="0">
      <alignment horizontal="left"/>
      <protection locked="0"/>
    </xf>
    <xf numFmtId="0" fontId="23" fillId="27" borderId="4" applyNumberFormat="0">
      <alignment horizontal="left"/>
      <protection locked="0"/>
    </xf>
    <xf numFmtId="0" fontId="17" fillId="0" borderId="5" applyNumberFormat="0" applyFill="0" applyAlignment="0" applyProtection="0"/>
    <xf numFmtId="0" fontId="17" fillId="0" borderId="5" applyNumberFormat="0" applyFill="0" applyAlignment="0" applyProtection="0"/>
    <xf numFmtId="0" fontId="18" fillId="23" borderId="0" applyNumberFormat="0" applyBorder="0" applyAlignment="0" applyProtection="0"/>
    <xf numFmtId="0" fontId="18" fillId="23" borderId="0"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26" fillId="28" borderId="7" applyNumberFormat="0" applyAlignment="0" applyProtection="0"/>
    <xf numFmtId="0" fontId="26" fillId="28" borderId="7" applyNumberFormat="0" applyAlignment="0" applyProtection="0"/>
    <xf numFmtId="9" fontId="6"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7" fontId="23" fillId="0" borderId="0"/>
    <xf numFmtId="0" fontId="24" fillId="2" borderId="0" applyFill="0">
      <alignment horizontal="left"/>
    </xf>
    <xf numFmtId="0" fontId="24" fillId="2" borderId="4" applyFill="0">
      <alignment horizontal="left" vertical="top" wrapText="1"/>
    </xf>
    <xf numFmtId="37" fontId="23" fillId="27" borderId="4" applyProtection="0">
      <alignment horizontal="center"/>
    </xf>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37" fontId="23" fillId="0" borderId="0" applyFill="0" applyBorder="0" applyProtection="0">
      <alignment horizontal="center"/>
    </xf>
    <xf numFmtId="0" fontId="71" fillId="0" borderId="0" applyNumberFormat="0" applyFill="0" applyBorder="0" applyAlignment="0" applyProtection="0"/>
    <xf numFmtId="43" fontId="72" fillId="0" borderId="0" applyFont="0" applyFill="0" applyBorder="0" applyAlignment="0" applyProtection="0"/>
    <xf numFmtId="0" fontId="4" fillId="0" borderId="0"/>
    <xf numFmtId="9" fontId="4" fillId="0" borderId="0" applyFont="0" applyFill="0" applyBorder="0" applyAlignment="0" applyProtection="0"/>
    <xf numFmtId="0" fontId="75" fillId="36" borderId="0" applyNumberFormat="0" applyBorder="0" applyAlignment="0" applyProtection="0"/>
    <xf numFmtId="0" fontId="76" fillId="37"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9"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6" fillId="0" borderId="0"/>
    <xf numFmtId="0" fontId="77" fillId="0" borderId="0"/>
    <xf numFmtId="9" fontId="9"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74" fillId="0" borderId="0"/>
    <xf numFmtId="9" fontId="80" fillId="0" borderId="0" applyFont="0" applyFill="0" applyBorder="0" applyAlignment="0" applyProtection="0"/>
    <xf numFmtId="0" fontId="83" fillId="0" borderId="0">
      <alignment horizontal="center" wrapText="1"/>
      <protection locked="0"/>
    </xf>
    <xf numFmtId="174" fontId="84" fillId="0" borderId="0" applyFill="0" applyBorder="0" applyAlignment="0"/>
    <xf numFmtId="175" fontId="85" fillId="0" borderId="0"/>
    <xf numFmtId="175" fontId="85" fillId="0" borderId="0"/>
    <xf numFmtId="175" fontId="85" fillId="0" borderId="0"/>
    <xf numFmtId="175" fontId="85" fillId="0" borderId="0"/>
    <xf numFmtId="175" fontId="85" fillId="0" borderId="0"/>
    <xf numFmtId="175" fontId="85" fillId="0" borderId="0"/>
    <xf numFmtId="175" fontId="85" fillId="0" borderId="0"/>
    <xf numFmtId="175" fontId="85" fillId="0" borderId="0"/>
    <xf numFmtId="41"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86" fillId="0" borderId="0" applyFont="0" applyFill="0" applyBorder="0" applyAlignment="0" applyProtection="0"/>
    <xf numFmtId="0" fontId="87" fillId="0" borderId="0" applyNumberFormat="0" applyAlignment="0">
      <alignment horizontal="left"/>
    </xf>
    <xf numFmtId="42"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9" fillId="0" borderId="0" applyFont="0" applyFill="0" applyBorder="0" applyAlignment="0" applyProtection="0"/>
    <xf numFmtId="44" fontId="80"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7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6" fontId="86" fillId="0" borderId="0" applyFont="0" applyFill="0" applyBorder="0" applyAlignment="0" applyProtection="0"/>
    <xf numFmtId="0" fontId="6" fillId="39" borderId="0" applyNumberFormat="0" applyAlignment="0">
      <alignment horizontal="right"/>
    </xf>
    <xf numFmtId="0" fontId="6" fillId="40" borderId="0" applyNumberFormat="0" applyAlignment="0"/>
    <xf numFmtId="177" fontId="88" fillId="0" borderId="0">
      <alignment horizontal="left"/>
      <protection locked="0"/>
    </xf>
    <xf numFmtId="0" fontId="89" fillId="0" borderId="0" applyNumberFormat="0" applyAlignment="0">
      <alignment horizontal="left"/>
    </xf>
    <xf numFmtId="2" fontId="86" fillId="0" borderId="0" applyFont="0" applyFill="0" applyBorder="0" applyAlignment="0" applyProtection="0"/>
    <xf numFmtId="38" fontId="43" fillId="25" borderId="0" applyNumberFormat="0" applyBorder="0" applyAlignment="0" applyProtection="0"/>
    <xf numFmtId="0" fontId="90" fillId="0" borderId="0"/>
    <xf numFmtId="0" fontId="91" fillId="0" borderId="17" applyNumberFormat="0" applyAlignment="0" applyProtection="0">
      <alignment horizontal="left" vertical="center"/>
    </xf>
    <xf numFmtId="0" fontId="91" fillId="0" borderId="76">
      <alignment horizontal="left" vertical="center"/>
    </xf>
    <xf numFmtId="0" fontId="92" fillId="0" borderId="57">
      <alignment horizontal="center"/>
    </xf>
    <xf numFmtId="0" fontId="92" fillId="0" borderId="0">
      <alignment horizontal="center"/>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0" fontId="43" fillId="22" borderId="74" applyNumberFormat="0" applyBorder="0" applyAlignment="0" applyProtection="0"/>
    <xf numFmtId="178" fontId="96" fillId="0" borderId="0"/>
    <xf numFmtId="0" fontId="6" fillId="0" borderId="0"/>
    <xf numFmtId="0" fontId="4" fillId="0" borderId="0"/>
    <xf numFmtId="0" fontId="6" fillId="0" borderId="0"/>
    <xf numFmtId="0" fontId="6" fillId="0" borderId="0"/>
    <xf numFmtId="0" fontId="6" fillId="0" borderId="0"/>
    <xf numFmtId="0" fontId="4" fillId="0" borderId="0"/>
    <xf numFmtId="0" fontId="6" fillId="0" borderId="0"/>
    <xf numFmtId="0" fontId="6" fillId="0" borderId="0"/>
    <xf numFmtId="0" fontId="97" fillId="0" borderId="0"/>
    <xf numFmtId="0" fontId="97" fillId="0" borderId="0"/>
    <xf numFmtId="0" fontId="6" fillId="0" borderId="0"/>
    <xf numFmtId="0" fontId="4" fillId="0" borderId="0"/>
    <xf numFmtId="0" fontId="98"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74" fillId="0" borderId="0"/>
    <xf numFmtId="0" fontId="73" fillId="0" borderId="0"/>
    <xf numFmtId="0" fontId="77" fillId="0" borderId="0"/>
    <xf numFmtId="0" fontId="4" fillId="0" borderId="0"/>
    <xf numFmtId="0" fontId="4" fillId="0" borderId="0"/>
    <xf numFmtId="0" fontId="4" fillId="0" borderId="0"/>
    <xf numFmtId="0" fontId="77" fillId="0" borderId="0"/>
    <xf numFmtId="0" fontId="4" fillId="0" borderId="0"/>
    <xf numFmtId="0" fontId="77" fillId="0" borderId="0"/>
    <xf numFmtId="0" fontId="99" fillId="0" borderId="0"/>
    <xf numFmtId="0" fontId="6" fillId="0" borderId="0"/>
    <xf numFmtId="0" fontId="4" fillId="38" borderId="82" applyNumberFormat="0" applyFont="0" applyAlignment="0" applyProtection="0"/>
    <xf numFmtId="14" fontId="83" fillId="0" borderId="0">
      <alignment horizontal="center" wrapText="1"/>
      <protection locked="0"/>
    </xf>
    <xf numFmtId="10" fontId="6" fillId="0" borderId="0" applyFont="0" applyFill="0" applyBorder="0" applyAlignment="0" applyProtection="0"/>
    <xf numFmtId="9" fontId="4" fillId="0" borderId="0" applyFont="0" applyFill="0" applyBorder="0" applyAlignment="0" applyProtection="0"/>
    <xf numFmtId="9" fontId="73"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0" fillId="41" borderId="0" applyNumberFormat="0" applyFont="0" applyBorder="0" applyAlignment="0">
      <alignment horizontal="center"/>
    </xf>
    <xf numFmtId="179" fontId="101" fillId="0" borderId="0" applyNumberFormat="0" applyFill="0" applyBorder="0" applyAlignment="0" applyProtection="0">
      <alignment horizontal="left"/>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2" fillId="43" borderId="0" applyNumberFormat="0" applyProtection="0">
      <alignment horizontal="left" vertical="center"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2" fillId="45" borderId="84" applyNumberFormat="0" applyProtection="0">
      <alignment horizontal="left" vertical="center" indent="1"/>
    </xf>
    <xf numFmtId="4" fontId="30" fillId="46" borderId="0" applyNumberFormat="0" applyProtection="0">
      <alignment horizontal="left" vertical="center" indent="1"/>
    </xf>
    <xf numFmtId="4" fontId="103" fillId="47" borderId="0" applyNumberFormat="0" applyProtection="0">
      <alignment horizontal="left" vertical="center" indent="1"/>
    </xf>
    <xf numFmtId="4" fontId="30" fillId="48" borderId="83" applyNumberFormat="0" applyProtection="0">
      <alignment horizontal="right" vertical="center"/>
    </xf>
    <xf numFmtId="4" fontId="30" fillId="46" borderId="0" applyNumberFormat="0" applyProtection="0">
      <alignment horizontal="left" vertical="center" indent="1"/>
    </xf>
    <xf numFmtId="4" fontId="30" fillId="43" borderId="0" applyNumberFormat="0" applyProtection="0">
      <alignment horizontal="left" vertical="center" indent="1"/>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5" fillId="50" borderId="0" applyNumberFormat="0" applyProtection="0">
      <alignment horizontal="left" vertical="center" indent="1"/>
    </xf>
    <xf numFmtId="4" fontId="106" fillId="46" borderId="83" applyNumberFormat="0" applyProtection="0">
      <alignment horizontal="right" vertical="center"/>
    </xf>
    <xf numFmtId="0" fontId="107" fillId="51" borderId="0"/>
    <xf numFmtId="49" fontId="108" fillId="51" borderId="0"/>
    <xf numFmtId="49" fontId="109" fillId="51" borderId="85"/>
    <xf numFmtId="49" fontId="109" fillId="51" borderId="0"/>
    <xf numFmtId="0" fontId="107" fillId="52" borderId="85">
      <protection locked="0"/>
    </xf>
    <xf numFmtId="0" fontId="107" fillId="51" borderId="0"/>
    <xf numFmtId="0" fontId="110" fillId="53" borderId="0"/>
    <xf numFmtId="0" fontId="100" fillId="1" borderId="76" applyNumberFormat="0" applyFont="0" applyAlignment="0">
      <alignment horizontal="center"/>
    </xf>
    <xf numFmtId="0" fontId="111" fillId="0" borderId="0" applyNumberFormat="0" applyFill="0" applyBorder="0" applyAlignment="0">
      <alignment horizontal="center"/>
    </xf>
    <xf numFmtId="40" fontId="112" fillId="0" borderId="0" applyBorder="0">
      <alignment horizontal="right"/>
    </xf>
    <xf numFmtId="43" fontId="6" fillId="0" borderId="0" applyFont="0" applyFill="0" applyBorder="0" applyAlignment="0" applyProtection="0"/>
    <xf numFmtId="9" fontId="73" fillId="0" borderId="0" applyFont="0" applyFill="0" applyBorder="0" applyAlignment="0" applyProtection="0"/>
    <xf numFmtId="0" fontId="74" fillId="0" borderId="0"/>
    <xf numFmtId="9" fontId="74" fillId="0" borderId="0" applyFont="0" applyFill="0" applyBorder="0" applyAlignment="0" applyProtection="0"/>
    <xf numFmtId="0" fontId="4" fillId="0" borderId="0"/>
    <xf numFmtId="44" fontId="74" fillId="0" borderId="0" applyFont="0" applyFill="0" applyBorder="0" applyAlignment="0" applyProtection="0"/>
    <xf numFmtId="43" fontId="74" fillId="0" borderId="0" applyFont="0" applyFill="0" applyBorder="0" applyAlignment="0" applyProtection="0"/>
    <xf numFmtId="4" fontId="30" fillId="48" borderId="83" applyNumberFormat="0" applyProtection="0">
      <alignment horizontal="left" vertical="center" indent="1"/>
    </xf>
    <xf numFmtId="0" fontId="4" fillId="55" borderId="0" applyNumberFormat="0" applyBorder="0" applyAlignment="0" applyProtection="0"/>
    <xf numFmtId="0" fontId="4" fillId="0" borderId="0"/>
    <xf numFmtId="0" fontId="9" fillId="0" borderId="0"/>
    <xf numFmtId="0" fontId="116" fillId="54" borderId="86" applyNumberFormat="0" applyAlignment="0" applyProtection="0"/>
    <xf numFmtId="9" fontId="9" fillId="0" borderId="0" applyFont="0" applyFill="0" applyBorder="0" applyAlignment="0" applyProtection="0"/>
    <xf numFmtId="43" fontId="74" fillId="0" borderId="0" applyFont="0" applyFill="0" applyBorder="0" applyAlignment="0" applyProtection="0"/>
    <xf numFmtId="0" fontId="4" fillId="55" borderId="0" applyNumberFormat="0" applyBorder="0" applyAlignment="0" applyProtection="0"/>
    <xf numFmtId="0" fontId="4" fillId="55" borderId="0" applyNumberFormat="0" applyBorder="0" applyAlignment="0" applyProtection="0"/>
    <xf numFmtId="0" fontId="6" fillId="0" borderId="0"/>
    <xf numFmtId="4" fontId="30" fillId="48" borderId="83" applyNumberFormat="0" applyProtection="0">
      <alignment horizontal="left" vertical="center" indent="1"/>
    </xf>
    <xf numFmtId="9" fontId="74" fillId="0" borderId="0" applyFont="0" applyFill="0" applyBorder="0" applyAlignment="0" applyProtection="0"/>
    <xf numFmtId="0" fontId="4" fillId="0" borderId="0"/>
    <xf numFmtId="0" fontId="4" fillId="0" borderId="0"/>
    <xf numFmtId="4" fontId="30" fillId="48" borderId="83" applyNumberFormat="0" applyProtection="0">
      <alignment horizontal="left" vertical="center" indent="1"/>
    </xf>
    <xf numFmtId="0" fontId="117" fillId="0" borderId="0"/>
    <xf numFmtId="0" fontId="74" fillId="0" borderId="0"/>
    <xf numFmtId="43" fontId="4" fillId="0" borderId="0" applyFont="0" applyFill="0" applyBorder="0" applyAlignment="0" applyProtection="0"/>
    <xf numFmtId="0" fontId="4" fillId="0" borderId="0"/>
    <xf numFmtId="0" fontId="118" fillId="0" borderId="0"/>
    <xf numFmtId="0" fontId="4" fillId="56" borderId="0" applyNumberFormat="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1" fontId="118" fillId="0" borderId="0" applyFont="0" applyFill="0" applyBorder="0" applyAlignment="0" applyProtection="0"/>
    <xf numFmtId="0" fontId="73" fillId="0" borderId="0"/>
    <xf numFmtId="0" fontId="74" fillId="0" borderId="0"/>
    <xf numFmtId="0" fontId="119" fillId="0" borderId="0"/>
    <xf numFmtId="4" fontId="30" fillId="48" borderId="83" applyNumberFormat="0" applyProtection="0">
      <alignment horizontal="left" vertical="center" indent="1"/>
    </xf>
    <xf numFmtId="0" fontId="4" fillId="38" borderId="82" applyNumberFormat="0" applyFont="0" applyAlignment="0" applyProtection="0"/>
    <xf numFmtId="43" fontId="6" fillId="0" borderId="0" applyFont="0" applyFill="0" applyBorder="0" applyAlignment="0" applyProtection="0"/>
    <xf numFmtId="0" fontId="4" fillId="0" borderId="0"/>
    <xf numFmtId="4" fontId="30" fillId="48" borderId="83" applyNumberFormat="0" applyProtection="0">
      <alignment horizontal="left" vertical="center" indent="1"/>
    </xf>
    <xf numFmtId="0" fontId="121" fillId="0" borderId="0" applyNumberFormat="0" applyFill="0" applyBorder="0" applyAlignment="0" applyProtection="0"/>
    <xf numFmtId="0" fontId="122" fillId="0" borderId="87" applyNumberFormat="0" applyFill="0" applyAlignment="0" applyProtection="0"/>
    <xf numFmtId="0" fontId="123" fillId="0" borderId="88" applyNumberFormat="0" applyFill="0" applyAlignment="0" applyProtection="0"/>
    <xf numFmtId="0" fontId="124" fillId="0" borderId="89" applyNumberFormat="0" applyFill="0" applyAlignment="0" applyProtection="0"/>
    <xf numFmtId="0" fontId="124" fillId="0" borderId="0" applyNumberFormat="0" applyFill="0" applyBorder="0" applyAlignment="0" applyProtection="0"/>
    <xf numFmtId="0" fontId="125" fillId="36" borderId="0" applyNumberFormat="0" applyBorder="0" applyAlignment="0" applyProtection="0"/>
    <xf numFmtId="0" fontId="126" fillId="37" borderId="0" applyNumberFormat="0" applyBorder="0" applyAlignment="0" applyProtection="0"/>
    <xf numFmtId="0" fontId="127" fillId="57" borderId="0" applyNumberFormat="0" applyBorder="0" applyAlignment="0" applyProtection="0"/>
    <xf numFmtId="0" fontId="116" fillId="54" borderId="86" applyNumberFormat="0" applyAlignment="0" applyProtection="0"/>
    <xf numFmtId="0" fontId="128" fillId="58" borderId="90" applyNumberFormat="0" applyAlignment="0" applyProtection="0"/>
    <xf numFmtId="0" fontId="129" fillId="58" borderId="86" applyNumberFormat="0" applyAlignment="0" applyProtection="0"/>
    <xf numFmtId="0" fontId="130" fillId="0" borderId="91" applyNumberFormat="0" applyFill="0" applyAlignment="0" applyProtection="0"/>
    <xf numFmtId="0" fontId="131" fillId="59" borderId="92" applyNumberFormat="0" applyAlignment="0" applyProtection="0"/>
    <xf numFmtId="0" fontId="78" fillId="0" borderId="0" applyNumberFormat="0" applyFill="0" applyBorder="0" applyAlignment="0" applyProtection="0"/>
    <xf numFmtId="0" fontId="4" fillId="38" borderId="82" applyNumberFormat="0" applyFont="0" applyAlignment="0" applyProtection="0"/>
    <xf numFmtId="0" fontId="132" fillId="0" borderId="0" applyNumberFormat="0" applyFill="0" applyBorder="0" applyAlignment="0" applyProtection="0"/>
    <xf numFmtId="0" fontId="79" fillId="0" borderId="93" applyNumberFormat="0" applyFill="0" applyAlignment="0" applyProtection="0"/>
    <xf numFmtId="0" fontId="11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11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114" fillId="68" borderId="0" applyNumberFormat="0" applyBorder="0" applyAlignment="0" applyProtection="0"/>
    <xf numFmtId="0" fontId="4" fillId="55"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11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114" fillId="75" borderId="0" applyNumberFormat="0" applyBorder="0" applyAlignment="0" applyProtection="0"/>
    <xf numFmtId="0" fontId="4" fillId="76" borderId="0" applyNumberFormat="0" applyBorder="0" applyAlignment="0" applyProtection="0"/>
    <xf numFmtId="0" fontId="4" fillId="77" borderId="0" applyNumberFormat="0" applyBorder="0" applyAlignment="0" applyProtection="0"/>
    <xf numFmtId="0" fontId="4" fillId="78" borderId="0" applyNumberFormat="0" applyBorder="0" applyAlignment="0" applyProtection="0"/>
    <xf numFmtId="0" fontId="114" fillId="79" borderId="0" applyNumberFormat="0" applyBorder="0" applyAlignment="0" applyProtection="0"/>
    <xf numFmtId="0" fontId="4" fillId="80" borderId="0" applyNumberFormat="0" applyBorder="0" applyAlignment="0" applyProtection="0"/>
    <xf numFmtId="0" fontId="4" fillId="56" borderId="0" applyNumberFormat="0" applyBorder="0" applyAlignment="0" applyProtection="0"/>
    <xf numFmtId="0" fontId="4" fillId="81" borderId="0" applyNumberFormat="0" applyBorder="0" applyAlignment="0" applyProtection="0"/>
    <xf numFmtId="0" fontId="6" fillId="0" borderId="0"/>
    <xf numFmtId="4" fontId="30" fillId="48" borderId="83" applyNumberFormat="0" applyProtection="0">
      <alignment horizontal="left" vertical="center" indent="1"/>
    </xf>
    <xf numFmtId="4" fontId="30" fillId="48" borderId="83" applyNumberFormat="0" applyProtection="0">
      <alignment horizontal="left" vertical="center" indent="1"/>
    </xf>
    <xf numFmtId="4" fontId="30" fillId="48" borderId="83" applyNumberFormat="0" applyProtection="0">
      <alignment horizontal="left" vertical="center" indent="1"/>
    </xf>
    <xf numFmtId="0" fontId="4" fillId="56" borderId="0" applyNumberFormat="0" applyBorder="0" applyAlignment="0" applyProtection="0"/>
    <xf numFmtId="0" fontId="4" fillId="74" borderId="0" applyNumberFormat="0" applyBorder="0" applyAlignment="0" applyProtection="0"/>
    <xf numFmtId="0" fontId="4" fillId="77" borderId="0" applyNumberFormat="0" applyBorder="0" applyAlignment="0" applyProtection="0"/>
    <xf numFmtId="43" fontId="4" fillId="0" borderId="0" applyFont="0" applyFill="0" applyBorder="0" applyAlignment="0" applyProtection="0"/>
    <xf numFmtId="0" fontId="120" fillId="0" borderId="0" applyNumberFormat="0" applyFill="0" applyBorder="0" applyAlignment="0" applyProtection="0">
      <alignment vertical="top"/>
      <protection locked="0"/>
    </xf>
    <xf numFmtId="0" fontId="133" fillId="0" borderId="0" applyNumberFormat="0" applyFill="0" applyBorder="0" applyAlignment="0" applyProtection="0"/>
    <xf numFmtId="0" fontId="6" fillId="0" borderId="0"/>
    <xf numFmtId="0" fontId="6" fillId="0" borderId="0"/>
    <xf numFmtId="4" fontId="30" fillId="48" borderId="83" applyNumberFormat="0" applyProtection="0">
      <alignment horizontal="left" vertical="center" indent="1"/>
    </xf>
    <xf numFmtId="4" fontId="30" fillId="48" borderId="83" applyNumberFormat="0" applyProtection="0">
      <alignment horizontal="left" vertical="center" indent="1"/>
    </xf>
    <xf numFmtId="0" fontId="4" fillId="0" borderId="0"/>
    <xf numFmtId="0" fontId="9" fillId="4" borderId="0" applyNumberFormat="0" applyBorder="0" applyAlignment="0" applyProtection="0"/>
    <xf numFmtId="0" fontId="9" fillId="10" borderId="0" applyNumberFormat="0" applyBorder="0" applyAlignment="0" applyProtection="0"/>
    <xf numFmtId="0" fontId="9" fillId="23" borderId="0" applyNumberFormat="0" applyBorder="0" applyAlignment="0" applyProtection="0"/>
    <xf numFmtId="0" fontId="6" fillId="0" borderId="0"/>
    <xf numFmtId="0" fontId="6" fillId="0" borderId="0"/>
    <xf numFmtId="0" fontId="117" fillId="0" borderId="0"/>
    <xf numFmtId="0" fontId="6" fillId="0" borderId="0"/>
    <xf numFmtId="0" fontId="9" fillId="0" borderId="0" applyFill="0" applyProtection="0"/>
    <xf numFmtId="0" fontId="74" fillId="0" borderId="0"/>
    <xf numFmtId="4" fontId="30" fillId="48" borderId="83" applyNumberFormat="0" applyProtection="0">
      <alignment horizontal="left" vertical="center" indent="1"/>
    </xf>
    <xf numFmtId="0" fontId="74" fillId="0" borderId="0"/>
    <xf numFmtId="4" fontId="30" fillId="48" borderId="83" applyNumberFormat="0" applyProtection="0">
      <alignment horizontal="left" vertical="center" indent="1"/>
    </xf>
    <xf numFmtId="9" fontId="74" fillId="0" borderId="0" applyFont="0" applyFill="0" applyBorder="0" applyAlignment="0" applyProtection="0"/>
    <xf numFmtId="43" fontId="74" fillId="0" borderId="0" applyFont="0" applyFill="0" applyBorder="0" applyAlignment="0" applyProtection="0"/>
    <xf numFmtId="4" fontId="30" fillId="48" borderId="83" applyNumberFormat="0" applyProtection="0">
      <alignment horizontal="left" vertical="center" indent="1"/>
    </xf>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9" fillId="8"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9" fillId="2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9"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9"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9"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9" fillId="7" borderId="0" applyNumberFormat="0" applyBorder="0" applyAlignment="0" applyProtection="0"/>
    <xf numFmtId="0" fontId="4" fillId="7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9" fillId="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9" fillId="24"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9" fillId="24"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9" fillId="24"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9" fillId="24" borderId="0" applyNumberFormat="0" applyBorder="0" applyAlignment="0" applyProtection="0"/>
    <xf numFmtId="0" fontId="4" fillId="8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9" fillId="6"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9" fillId="6"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9" fillId="6"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9" fillId="6" borderId="0" applyNumberFormat="0" applyBorder="0" applyAlignment="0" applyProtection="0"/>
    <xf numFmtId="0" fontId="4" fillId="6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9" fillId="8"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9" fillId="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9" fillId="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9" fillId="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9" fillId="3" borderId="0" applyNumberFormat="0" applyBorder="0" applyAlignment="0" applyProtection="0"/>
    <xf numFmtId="0" fontId="4" fillId="7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9" fillId="6"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9" fillId="24"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9" fillId="24"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9" fillId="24"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9" fillId="24" borderId="0" applyNumberFormat="0" applyBorder="0" applyAlignment="0" applyProtection="0"/>
    <xf numFmtId="0" fontId="4" fillId="56"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8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5" borderId="0" applyNumberFormat="0" applyBorder="0" applyAlignment="0" applyProtection="0"/>
    <xf numFmtId="0" fontId="134" fillId="84" borderId="1" applyNumberFormat="0" applyAlignment="0" applyProtection="0"/>
    <xf numFmtId="0" fontId="134" fillId="84"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35"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6" fillId="0" borderId="0" applyFont="0" applyFill="0" applyBorder="0" applyAlignment="0" applyProtection="0"/>
    <xf numFmtId="44" fontId="6"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3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35"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5" fillId="6" borderId="0" applyNumberFormat="0" applyBorder="0" applyAlignment="0" applyProtection="0"/>
    <xf numFmtId="0" fontId="137" fillId="0" borderId="94" applyNumberFormat="0" applyFill="0" applyAlignment="0" applyProtection="0"/>
    <xf numFmtId="0" fontId="138" fillId="0" borderId="95" applyNumberFormat="0" applyFill="0" applyAlignment="0" applyProtection="0"/>
    <xf numFmtId="0" fontId="139" fillId="0" borderId="96" applyNumberFormat="0" applyFill="0" applyAlignment="0" applyProtection="0"/>
    <xf numFmtId="0" fontId="139" fillId="0" borderId="0" applyNumberFormat="0" applyFill="0" applyBorder="0" applyAlignment="0" applyProtection="0"/>
    <xf numFmtId="0" fontId="140" fillId="23" borderId="1" applyNumberFormat="0" applyAlignment="0" applyProtection="0"/>
    <xf numFmtId="0" fontId="141" fillId="54" borderId="86" applyNumberFormat="0" applyAlignment="0" applyProtection="0"/>
    <xf numFmtId="0" fontId="141" fillId="54" borderId="86" applyNumberFormat="0" applyAlignment="0" applyProtection="0"/>
    <xf numFmtId="0" fontId="141" fillId="54" borderId="86" applyNumberFormat="0" applyAlignment="0" applyProtection="0"/>
    <xf numFmtId="0" fontId="141" fillId="54" borderId="86" applyNumberFormat="0" applyAlignment="0" applyProtection="0"/>
    <xf numFmtId="0" fontId="116" fillId="54" borderId="86" applyNumberFormat="0" applyAlignment="0" applyProtection="0"/>
    <xf numFmtId="0" fontId="116" fillId="54" borderId="86" applyNumberFormat="0" applyAlignment="0" applyProtection="0"/>
    <xf numFmtId="0" fontId="140" fillId="23" borderId="1" applyNumberFormat="0" applyAlignment="0" applyProtection="0"/>
    <xf numFmtId="0" fontId="21" fillId="0" borderId="97" applyNumberFormat="0" applyFill="0" applyAlignment="0" applyProtection="0"/>
    <xf numFmtId="0" fontId="142" fillId="23" borderId="0" applyNumberFormat="0" applyBorder="0" applyAlignment="0" applyProtection="0"/>
    <xf numFmtId="37" fontId="143" fillId="0" borderId="0"/>
    <xf numFmtId="37" fontId="143" fillId="0" borderId="0"/>
    <xf numFmtId="37" fontId="143" fillId="0" borderId="0"/>
    <xf numFmtId="37" fontId="143" fillId="0" borderId="0"/>
    <xf numFmtId="37" fontId="143" fillId="0" borderId="0"/>
    <xf numFmtId="180" fontId="4" fillId="0" borderId="0"/>
    <xf numFmtId="0" fontId="6" fillId="0" borderId="0"/>
    <xf numFmtId="0" fontId="6" fillId="0" borderId="0"/>
    <xf numFmtId="0" fontId="136" fillId="0" borderId="0"/>
    <xf numFmtId="0" fontId="144" fillId="0" borderId="0"/>
    <xf numFmtId="0" fontId="144" fillId="0" borderId="0"/>
    <xf numFmtId="0" fontId="6" fillId="0" borderId="0"/>
    <xf numFmtId="0" fontId="4" fillId="0" borderId="0"/>
    <xf numFmtId="0" fontId="82"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115" fillId="0" borderId="0"/>
    <xf numFmtId="0" fontId="6" fillId="0" borderId="0"/>
    <xf numFmtId="0" fontId="6" fillId="0" borderId="0"/>
    <xf numFmtId="0" fontId="6" fillId="0" borderId="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6" fillId="24" borderId="6"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6" fillId="24" borderId="6"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145" fillId="84" borderId="7" applyNumberFormat="0" applyAlignment="0" applyProtection="0"/>
    <xf numFmtId="0" fontId="145" fillId="84" borderId="7" applyNumberFormat="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 fontId="43" fillId="14" borderId="98" applyNumberFormat="0" applyProtection="0">
      <alignment horizontal="left" vertical="center" indent="1"/>
    </xf>
    <xf numFmtId="0" fontId="6" fillId="85" borderId="7" applyNumberFormat="0" applyProtection="0">
      <alignment horizontal="left" vertical="center" indent="1"/>
    </xf>
    <xf numFmtId="0" fontId="146" fillId="0" borderId="0" applyNumberFormat="0" applyFill="0" applyBorder="0" applyAlignment="0" applyProtection="0"/>
    <xf numFmtId="0" fontId="20" fillId="0" borderId="99" applyNumberFormat="0" applyFill="0" applyAlignment="0" applyProtection="0"/>
    <xf numFmtId="0" fontId="20" fillId="0" borderId="99" applyNumberFormat="0" applyFill="0" applyAlignment="0" applyProtection="0"/>
    <xf numFmtId="0" fontId="147" fillId="0" borderId="0" applyNumberFormat="0" applyFill="0" applyBorder="0" applyAlignment="0" applyProtection="0"/>
    <xf numFmtId="0" fontId="148" fillId="57" borderId="0" applyNumberFormat="0" applyBorder="0" applyAlignment="0" applyProtection="0"/>
    <xf numFmtId="0" fontId="114" fillId="63" borderId="0" applyNumberFormat="0" applyBorder="0" applyAlignment="0" applyProtection="0"/>
    <xf numFmtId="0" fontId="114" fillId="67" borderId="0" applyNumberFormat="0" applyBorder="0" applyAlignment="0" applyProtection="0"/>
    <xf numFmtId="0" fontId="114" fillId="70" borderId="0" applyNumberFormat="0" applyBorder="0" applyAlignment="0" applyProtection="0"/>
    <xf numFmtId="0" fontId="114" fillId="74" borderId="0" applyNumberFormat="0" applyBorder="0" applyAlignment="0" applyProtection="0"/>
    <xf numFmtId="0" fontId="114" fillId="78" borderId="0" applyNumberFormat="0" applyBorder="0" applyAlignment="0" applyProtection="0"/>
    <xf numFmtId="0" fontId="114" fillId="81" borderId="0" applyNumberFormat="0" applyBorder="0" applyAlignment="0" applyProtection="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9" fillId="2" borderId="0" applyNumberFormat="0" applyBorder="0" applyAlignment="0" applyProtection="0"/>
    <xf numFmtId="0" fontId="149" fillId="61" borderId="0" applyNumberFormat="0" applyBorder="0" applyAlignment="0" applyProtection="0"/>
    <xf numFmtId="43" fontId="6" fillId="0" borderId="0" applyFont="0" applyFill="0" applyBorder="0" applyAlignment="0" applyProtection="0"/>
    <xf numFmtId="0" fontId="4" fillId="0" borderId="0"/>
    <xf numFmtId="0" fontId="24" fillId="2" borderId="0" applyFill="0">
      <alignment horizontal="left"/>
    </xf>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5" borderId="0" applyNumberFormat="0" applyBorder="0" applyAlignment="0" applyProtection="0"/>
    <xf numFmtId="43" fontId="6" fillId="0" borderId="0" applyFont="0" applyFill="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2" borderId="0" applyFill="0">
      <alignment horizontal="left"/>
    </xf>
    <xf numFmtId="0" fontId="98" fillId="5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8" fillId="7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8" fillId="7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8" fillId="8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7" fillId="0" borderId="0" applyNumberFormat="0" applyBorder="0" applyProtection="0">
      <alignment horizontal="left"/>
    </xf>
    <xf numFmtId="0" fontId="98" fillId="62" borderId="0" applyNumberFormat="0" applyBorder="0" applyAlignment="0" applyProtection="0"/>
    <xf numFmtId="0" fontId="9" fillId="10" borderId="0" applyNumberFormat="0" applyBorder="0" applyAlignment="0" applyProtection="0"/>
    <xf numFmtId="0" fontId="27" fillId="0" borderId="0" applyNumberFormat="0" applyBorder="0" applyProtection="0">
      <alignment horizontal="left"/>
    </xf>
    <xf numFmtId="0" fontId="9" fillId="8" borderId="0" applyNumberFormat="0" applyBorder="0" applyAlignment="0" applyProtection="0"/>
    <xf numFmtId="0" fontId="9" fillId="8" borderId="0" applyNumberFormat="0" applyBorder="0" applyAlignment="0" applyProtection="0"/>
    <xf numFmtId="0" fontId="98" fillId="6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8" fillId="69"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8" fillId="7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8" fillId="7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8" fillId="56"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14" fillId="63" borderId="0" applyNumberFormat="0" applyBorder="0" applyAlignment="0" applyProtection="0"/>
    <xf numFmtId="0" fontId="114" fillId="63" borderId="0" applyNumberFormat="0" applyBorder="0" applyAlignment="0" applyProtection="0"/>
    <xf numFmtId="0" fontId="114" fillId="63" borderId="0" applyNumberFormat="0" applyBorder="0" applyAlignment="0" applyProtection="0"/>
    <xf numFmtId="0" fontId="153" fillId="6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14" fillId="67" borderId="0" applyNumberFormat="0" applyBorder="0" applyAlignment="0" applyProtection="0"/>
    <xf numFmtId="0" fontId="114" fillId="67" borderId="0" applyNumberFormat="0" applyBorder="0" applyAlignment="0" applyProtection="0"/>
    <xf numFmtId="0" fontId="114" fillId="67" borderId="0" applyNumberFormat="0" applyBorder="0" applyAlignment="0" applyProtection="0"/>
    <xf numFmtId="0" fontId="153" fillId="6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14" fillId="70" borderId="0" applyNumberFormat="0" applyBorder="0" applyAlignment="0" applyProtection="0"/>
    <xf numFmtId="0" fontId="114" fillId="70" borderId="0" applyNumberFormat="0" applyBorder="0" applyAlignment="0" applyProtection="0"/>
    <xf numFmtId="0" fontId="114" fillId="70" borderId="0" applyNumberFormat="0" applyBorder="0" applyAlignment="0" applyProtection="0"/>
    <xf numFmtId="0" fontId="153" fillId="7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14" fillId="74" borderId="0" applyNumberFormat="0" applyBorder="0" applyAlignment="0" applyProtection="0"/>
    <xf numFmtId="0" fontId="114" fillId="74" borderId="0" applyNumberFormat="0" applyBorder="0" applyAlignment="0" applyProtection="0"/>
    <xf numFmtId="0" fontId="114" fillId="74" borderId="0" applyNumberFormat="0" applyBorder="0" applyAlignment="0" applyProtection="0"/>
    <xf numFmtId="0" fontId="153" fillId="7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4" fillId="78" borderId="0" applyNumberFormat="0" applyBorder="0" applyAlignment="0" applyProtection="0"/>
    <xf numFmtId="0" fontId="114" fillId="78" borderId="0" applyNumberFormat="0" applyBorder="0" applyAlignment="0" applyProtection="0"/>
    <xf numFmtId="0" fontId="114" fillId="78" borderId="0" applyNumberFormat="0" applyBorder="0" applyAlignment="0" applyProtection="0"/>
    <xf numFmtId="0" fontId="153" fillId="7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4" fillId="81" borderId="0" applyNumberFormat="0" applyBorder="0" applyAlignment="0" applyProtection="0"/>
    <xf numFmtId="0" fontId="114" fillId="81" borderId="0" applyNumberFormat="0" applyBorder="0" applyAlignment="0" applyProtection="0"/>
    <xf numFmtId="0" fontId="114" fillId="81" borderId="0" applyNumberFormat="0" applyBorder="0" applyAlignment="0" applyProtection="0"/>
    <xf numFmtId="0" fontId="153" fillId="81" borderId="0" applyNumberFormat="0" applyBorder="0" applyAlignment="0" applyProtection="0"/>
    <xf numFmtId="0" fontId="9" fillId="86" borderId="0" applyNumberFormat="0" applyBorder="0" applyAlignment="0" applyProtection="0"/>
    <xf numFmtId="0" fontId="9" fillId="87" borderId="0" applyNumberFormat="0" applyBorder="0" applyAlignment="0" applyProtection="0"/>
    <xf numFmtId="0" fontId="10" fillId="88"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14" fillId="60" borderId="0" applyNumberFormat="0" applyBorder="0" applyAlignment="0" applyProtection="0"/>
    <xf numFmtId="0" fontId="114" fillId="60"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14" fillId="60" borderId="0" applyNumberFormat="0" applyBorder="0" applyAlignment="0" applyProtection="0"/>
    <xf numFmtId="0" fontId="114" fillId="60" borderId="0" applyNumberFormat="0" applyBorder="0" applyAlignment="0" applyProtection="0"/>
    <xf numFmtId="0" fontId="10" fillId="16" borderId="0" applyNumberFormat="0" applyBorder="0" applyAlignment="0" applyProtection="0"/>
    <xf numFmtId="0" fontId="114" fillId="60" borderId="0" applyNumberFormat="0" applyBorder="0" applyAlignment="0" applyProtection="0"/>
    <xf numFmtId="0" fontId="114" fillId="6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53" fillId="60" borderId="0" applyNumberFormat="0" applyBorder="0" applyAlignment="0" applyProtection="0"/>
    <xf numFmtId="0" fontId="10" fillId="89" borderId="0" applyNumberFormat="0" applyBorder="0" applyAlignment="0" applyProtection="0"/>
    <xf numFmtId="0" fontId="114" fillId="60"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16"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10" fillId="89" borderId="0" applyNumberFormat="0" applyBorder="0" applyAlignment="0" applyProtection="0"/>
    <xf numFmtId="0" fontId="9" fillId="90" borderId="0" applyNumberFormat="0" applyBorder="0" applyAlignment="0" applyProtection="0"/>
    <xf numFmtId="0" fontId="9" fillId="91" borderId="0" applyNumberFormat="0" applyBorder="0" applyAlignment="0" applyProtection="0"/>
    <xf numFmtId="0" fontId="10" fillId="92"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14" fillId="64" borderId="0" applyNumberFormat="0" applyBorder="0" applyAlignment="0" applyProtection="0"/>
    <xf numFmtId="0" fontId="114" fillId="64"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14" fillId="64" borderId="0" applyNumberFormat="0" applyBorder="0" applyAlignment="0" applyProtection="0"/>
    <xf numFmtId="0" fontId="114" fillId="64" borderId="0" applyNumberFormat="0" applyBorder="0" applyAlignment="0" applyProtection="0"/>
    <xf numFmtId="0" fontId="10" fillId="17" borderId="0" applyNumberFormat="0" applyBorder="0" applyAlignment="0" applyProtection="0"/>
    <xf numFmtId="0" fontId="114" fillId="64" borderId="0" applyNumberFormat="0" applyBorder="0" applyAlignment="0" applyProtection="0"/>
    <xf numFmtId="0" fontId="114" fillId="6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53" fillId="64" borderId="0" applyNumberFormat="0" applyBorder="0" applyAlignment="0" applyProtection="0"/>
    <xf numFmtId="0" fontId="10" fillId="93" borderId="0" applyNumberFormat="0" applyBorder="0" applyAlignment="0" applyProtection="0"/>
    <xf numFmtId="0" fontId="114" fillId="64"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17"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10" fillId="96"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14" fillId="68" borderId="0" applyNumberFormat="0" applyBorder="0" applyAlignment="0" applyProtection="0"/>
    <xf numFmtId="0" fontId="114" fillId="68"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14" fillId="68" borderId="0" applyNumberFormat="0" applyBorder="0" applyAlignment="0" applyProtection="0"/>
    <xf numFmtId="0" fontId="114" fillId="68" borderId="0" applyNumberFormat="0" applyBorder="0" applyAlignment="0" applyProtection="0"/>
    <xf numFmtId="0" fontId="10" fillId="18" borderId="0" applyNumberFormat="0" applyBorder="0" applyAlignment="0" applyProtection="0"/>
    <xf numFmtId="0" fontId="114" fillId="68" borderId="0" applyNumberFormat="0" applyBorder="0" applyAlignment="0" applyProtection="0"/>
    <xf numFmtId="0" fontId="114" fillId="6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53" fillId="68" borderId="0" applyNumberFormat="0" applyBorder="0" applyAlignment="0" applyProtection="0"/>
    <xf numFmtId="0" fontId="10" fillId="97" borderId="0" applyNumberFormat="0" applyBorder="0" applyAlignment="0" applyProtection="0"/>
    <xf numFmtId="0" fontId="114" fillId="68"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18"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9" fillId="90" borderId="0" applyNumberFormat="0" applyBorder="0" applyAlignment="0" applyProtection="0"/>
    <xf numFmtId="0" fontId="9" fillId="98" borderId="0" applyNumberFormat="0" applyBorder="0" applyAlignment="0" applyProtection="0"/>
    <xf numFmtId="0" fontId="10" fillId="91"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14" fillId="71" borderId="0" applyNumberFormat="0" applyBorder="0" applyAlignment="0" applyProtection="0"/>
    <xf numFmtId="0" fontId="114" fillId="71"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14" fillId="71" borderId="0" applyNumberFormat="0" applyBorder="0" applyAlignment="0" applyProtection="0"/>
    <xf numFmtId="0" fontId="114" fillId="71" borderId="0" applyNumberFormat="0" applyBorder="0" applyAlignment="0" applyProtection="0"/>
    <xf numFmtId="0" fontId="10" fillId="13" borderId="0" applyNumberFormat="0" applyBorder="0" applyAlignment="0" applyProtection="0"/>
    <xf numFmtId="0" fontId="114" fillId="71" borderId="0" applyNumberFormat="0" applyBorder="0" applyAlignment="0" applyProtection="0"/>
    <xf numFmtId="0" fontId="114" fillId="7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53" fillId="71" borderId="0" applyNumberFormat="0" applyBorder="0" applyAlignment="0" applyProtection="0"/>
    <xf numFmtId="0" fontId="10" fillId="99" borderId="0" applyNumberFormat="0" applyBorder="0" applyAlignment="0" applyProtection="0"/>
    <xf numFmtId="0" fontId="114" fillId="71"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13"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9" fillId="100" borderId="0" applyNumberFormat="0" applyBorder="0" applyAlignment="0" applyProtection="0"/>
    <xf numFmtId="0" fontId="9" fillId="101"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14" fillId="75" borderId="0" applyNumberFormat="0" applyBorder="0" applyAlignment="0" applyProtection="0"/>
    <xf numFmtId="0" fontId="114" fillId="75"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14" fillId="75" borderId="0" applyNumberFormat="0" applyBorder="0" applyAlignment="0" applyProtection="0"/>
    <xf numFmtId="0" fontId="114" fillId="75" borderId="0" applyNumberFormat="0" applyBorder="0" applyAlignment="0" applyProtection="0"/>
    <xf numFmtId="0" fontId="10" fillId="14" borderId="0" applyNumberFormat="0" applyBorder="0" applyAlignment="0" applyProtection="0"/>
    <xf numFmtId="0" fontId="114" fillId="75" borderId="0" applyNumberFormat="0" applyBorder="0" applyAlignment="0" applyProtection="0"/>
    <xf numFmtId="0" fontId="114" fillId="75"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53" fillId="75" borderId="0" applyNumberFormat="0" applyBorder="0" applyAlignment="0" applyProtection="0"/>
    <xf numFmtId="0" fontId="10" fillId="88" borderId="0" applyNumberFormat="0" applyBorder="0" applyAlignment="0" applyProtection="0"/>
    <xf numFmtId="0" fontId="114" fillId="75"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14"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10" fillId="88" borderId="0" applyNumberFormat="0" applyBorder="0" applyAlignment="0" applyProtection="0"/>
    <xf numFmtId="0" fontId="9" fillId="102" borderId="0" applyNumberFormat="0" applyBorder="0" applyAlignment="0" applyProtection="0"/>
    <xf numFmtId="0" fontId="9" fillId="103" borderId="0" applyNumberFormat="0" applyBorder="0" applyAlignment="0" applyProtection="0"/>
    <xf numFmtId="0" fontId="10" fillId="104"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14" fillId="79" borderId="0" applyNumberFormat="0" applyBorder="0" applyAlignment="0" applyProtection="0"/>
    <xf numFmtId="0" fontId="114" fillId="79"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14" fillId="79" borderId="0" applyNumberFormat="0" applyBorder="0" applyAlignment="0" applyProtection="0"/>
    <xf numFmtId="0" fontId="114" fillId="79" borderId="0" applyNumberFormat="0" applyBorder="0" applyAlignment="0" applyProtection="0"/>
    <xf numFmtId="0" fontId="10" fillId="19" borderId="0" applyNumberFormat="0" applyBorder="0" applyAlignment="0" applyProtection="0"/>
    <xf numFmtId="0" fontId="114" fillId="79" borderId="0" applyNumberFormat="0" applyBorder="0" applyAlignment="0" applyProtection="0"/>
    <xf numFmtId="0" fontId="114" fillId="7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53" fillId="79" borderId="0" applyNumberFormat="0" applyBorder="0" applyAlignment="0" applyProtection="0"/>
    <xf numFmtId="0" fontId="10" fillId="105" borderId="0" applyNumberFormat="0" applyBorder="0" applyAlignment="0" applyProtection="0"/>
    <xf numFmtId="0" fontId="114" fillId="79"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9"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0" fillId="105" borderId="0" applyNumberFormat="0" applyBorder="0" applyAlignment="0" applyProtection="0"/>
    <xf numFmtId="0" fontId="11" fillId="3"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1" fillId="3" borderId="0" applyNumberFormat="0" applyBorder="0" applyAlignment="0" applyProtection="0"/>
    <xf numFmtId="0" fontId="154" fillId="102" borderId="0" applyNumberFormat="0" applyBorder="0" applyAlignment="0" applyProtection="0"/>
    <xf numFmtId="0" fontId="126" fillId="37" borderId="0" applyNumberFormat="0" applyBorder="0" applyAlignment="0" applyProtection="0"/>
    <xf numFmtId="0" fontId="126" fillId="37" borderId="0" applyNumberFormat="0" applyBorder="0" applyAlignment="0" applyProtection="0"/>
    <xf numFmtId="0" fontId="154" fillId="102" borderId="0" applyNumberFormat="0" applyBorder="0" applyAlignment="0" applyProtection="0"/>
    <xf numFmtId="0" fontId="126" fillId="37" borderId="0" applyNumberFormat="0" applyBorder="0" applyAlignment="0" applyProtection="0"/>
    <xf numFmtId="0" fontId="155" fillId="37" borderId="0" applyNumberFormat="0" applyBorder="0" applyAlignment="0" applyProtection="0"/>
    <xf numFmtId="0" fontId="154" fillId="102" borderId="0" applyNumberFormat="0" applyBorder="0" applyAlignment="0" applyProtection="0"/>
    <xf numFmtId="0" fontId="12" fillId="20" borderId="1" applyNumberFormat="0" applyAlignment="0" applyProtection="0"/>
    <xf numFmtId="0" fontId="156" fillId="106" borderId="98" applyNumberFormat="0" applyAlignment="0" applyProtection="0"/>
    <xf numFmtId="0" fontId="156" fillId="106" borderId="98" applyNumberFormat="0" applyAlignment="0" applyProtection="0"/>
    <xf numFmtId="0" fontId="12" fillId="20" borderId="1" applyNumberFormat="0" applyAlignment="0" applyProtection="0"/>
    <xf numFmtId="0" fontId="156" fillId="106" borderId="98" applyNumberFormat="0" applyAlignment="0" applyProtection="0"/>
    <xf numFmtId="0" fontId="12" fillId="20" borderId="1" applyNumberFormat="0" applyAlignment="0" applyProtection="0"/>
    <xf numFmtId="0" fontId="156" fillId="106" borderId="98" applyNumberFormat="0" applyAlignment="0" applyProtection="0"/>
    <xf numFmtId="0" fontId="12" fillId="20" borderId="1" applyNumberFormat="0" applyAlignment="0" applyProtection="0"/>
    <xf numFmtId="0" fontId="129" fillId="58" borderId="86" applyNumberFormat="0" applyAlignment="0" applyProtection="0"/>
    <xf numFmtId="0" fontId="12" fillId="20" borderId="1" applyNumberFormat="0" applyAlignment="0" applyProtection="0"/>
    <xf numFmtId="0" fontId="129" fillId="58" borderId="86" applyNumberFormat="0" applyAlignment="0" applyProtection="0"/>
    <xf numFmtId="0" fontId="156" fillId="106" borderId="98" applyNumberFormat="0" applyAlignment="0" applyProtection="0"/>
    <xf numFmtId="0" fontId="12" fillId="20" borderId="1" applyNumberFormat="0" applyAlignment="0" applyProtection="0"/>
    <xf numFmtId="0" fontId="129" fillId="58" borderId="86" applyNumberFormat="0" applyAlignment="0" applyProtection="0"/>
    <xf numFmtId="0" fontId="157" fillId="58" borderId="86" applyNumberFormat="0" applyAlignment="0" applyProtection="0"/>
    <xf numFmtId="0" fontId="156" fillId="106" borderId="98" applyNumberFormat="0" applyAlignment="0" applyProtection="0"/>
    <xf numFmtId="0" fontId="13" fillId="99" borderId="2" applyNumberFormat="0" applyAlignment="0" applyProtection="0"/>
    <xf numFmtId="0" fontId="13" fillId="99" borderId="2" applyNumberFormat="0" applyAlignment="0" applyProtection="0"/>
    <xf numFmtId="0" fontId="13" fillId="21" borderId="2" applyNumberFormat="0" applyAlignment="0" applyProtection="0"/>
    <xf numFmtId="0" fontId="13" fillId="99" borderId="2" applyNumberFormat="0" applyAlignment="0" applyProtection="0"/>
    <xf numFmtId="0" fontId="131" fillId="59" borderId="92" applyNumberFormat="0" applyAlignment="0" applyProtection="0"/>
    <xf numFmtId="0" fontId="131" fillId="59" borderId="92" applyNumberFormat="0" applyAlignment="0" applyProtection="0"/>
    <xf numFmtId="0" fontId="13" fillId="99" borderId="2" applyNumberFormat="0" applyAlignment="0" applyProtection="0"/>
    <xf numFmtId="0" fontId="131" fillId="59" borderId="92" applyNumberFormat="0" applyAlignment="0" applyProtection="0"/>
    <xf numFmtId="0" fontId="158" fillId="59" borderId="92" applyNumberFormat="0" applyAlignment="0" applyProtection="0"/>
    <xf numFmtId="0" fontId="13" fillId="99" borderId="2"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3"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9" fillId="0" borderId="0" applyFont="0" applyFill="0" applyBorder="0" applyAlignment="0" applyProtection="0"/>
    <xf numFmtId="43" fontId="9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4" fontId="159"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6"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5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159" fillId="0" borderId="0" applyFont="0" applyFill="0" applyBorder="0" applyAlignment="0" applyProtection="0"/>
    <xf numFmtId="44" fontId="6" fillId="0" borderId="0" applyFont="0" applyFill="0" applyBorder="0" applyAlignment="0" applyProtection="0"/>
    <xf numFmtId="44" fontId="15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107" borderId="0" applyNumberFormat="0" applyBorder="0" applyAlignment="0" applyProtection="0"/>
    <xf numFmtId="0" fontId="20" fillId="108" borderId="0" applyNumberFormat="0" applyBorder="0" applyAlignment="0" applyProtection="0"/>
    <xf numFmtId="0" fontId="20" fillId="109" borderId="0" applyNumberFormat="0" applyBorder="0" applyAlignment="0" applyProtection="0"/>
    <xf numFmtId="0" fontId="14"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60" fillId="0" borderId="0" applyNumberFormat="0" applyFill="0" applyBorder="0" applyAlignment="0" applyProtection="0"/>
    <xf numFmtId="0" fontId="15" fillId="4" borderId="0" applyNumberFormat="0" applyBorder="0" applyAlignment="0" applyProtection="0"/>
    <xf numFmtId="0" fontId="9" fillId="95" borderId="0" applyNumberFormat="0" applyBorder="0" applyAlignment="0" applyProtection="0"/>
    <xf numFmtId="0" fontId="9" fillId="95" borderId="0" applyNumberFormat="0" applyBorder="0" applyAlignment="0" applyProtection="0"/>
    <xf numFmtId="0" fontId="15" fillId="4" borderId="0" applyNumberFormat="0" applyBorder="0" applyAlignment="0" applyProtection="0"/>
    <xf numFmtId="0" fontId="9" fillId="95" borderId="0" applyNumberFormat="0" applyBorder="0" applyAlignment="0" applyProtection="0"/>
    <xf numFmtId="0" fontId="125" fillId="36" borderId="0" applyNumberFormat="0" applyBorder="0" applyAlignment="0" applyProtection="0"/>
    <xf numFmtId="0" fontId="125" fillId="36" borderId="0" applyNumberFormat="0" applyBorder="0" applyAlignment="0" applyProtection="0"/>
    <xf numFmtId="0" fontId="9" fillId="95" borderId="0" applyNumberFormat="0" applyBorder="0" applyAlignment="0" applyProtection="0"/>
    <xf numFmtId="0" fontId="125" fillId="36" borderId="0" applyNumberFormat="0" applyBorder="0" applyAlignment="0" applyProtection="0"/>
    <xf numFmtId="0" fontId="161" fillId="36" borderId="0" applyNumberFormat="0" applyBorder="0" applyAlignment="0" applyProtection="0"/>
    <xf numFmtId="0" fontId="9" fillId="95" borderId="0" applyNumberFormat="0" applyBorder="0" applyAlignment="0" applyProtection="0"/>
    <xf numFmtId="0" fontId="162" fillId="0" borderId="100" applyNumberFormat="0" applyFill="0" applyAlignment="0" applyProtection="0"/>
    <xf numFmtId="0" fontId="137" fillId="0" borderId="101" applyNumberFormat="0" applyFill="0" applyAlignment="0" applyProtection="0"/>
    <xf numFmtId="0" fontId="137" fillId="0" borderId="101" applyNumberFormat="0" applyFill="0" applyAlignment="0" applyProtection="0"/>
    <xf numFmtId="0" fontId="162" fillId="0" borderId="100" applyNumberFormat="0" applyFill="0" applyAlignment="0" applyProtection="0"/>
    <xf numFmtId="0" fontId="137" fillId="0" borderId="101" applyNumberFormat="0" applyFill="0" applyAlignment="0" applyProtection="0"/>
    <xf numFmtId="0" fontId="122" fillId="0" borderId="87" applyNumberFormat="0" applyFill="0" applyAlignment="0" applyProtection="0"/>
    <xf numFmtId="0" fontId="122" fillId="0" borderId="87" applyNumberFormat="0" applyFill="0" applyAlignment="0" applyProtection="0"/>
    <xf numFmtId="0" fontId="137" fillId="0" borderId="101" applyNumberFormat="0" applyFill="0" applyAlignment="0" applyProtection="0"/>
    <xf numFmtId="0" fontId="25" fillId="0" borderId="0" applyNumberFormat="0" applyFill="0" applyProtection="0">
      <alignment horizontal="left"/>
    </xf>
    <xf numFmtId="0" fontId="122" fillId="0" borderId="87" applyNumberFormat="0" applyFill="0" applyAlignment="0" applyProtection="0"/>
    <xf numFmtId="0" fontId="150" fillId="0" borderId="87" applyNumberFormat="0" applyFill="0" applyAlignment="0" applyProtection="0"/>
    <xf numFmtId="0" fontId="137" fillId="0" borderId="101" applyNumberFormat="0" applyFill="0" applyAlignment="0" applyProtection="0"/>
    <xf numFmtId="0" fontId="162" fillId="0" borderId="100" applyNumberFormat="0" applyFill="0" applyAlignment="0" applyProtection="0"/>
    <xf numFmtId="0" fontId="25" fillId="0" borderId="0" applyNumberFormat="0" applyFill="0" applyProtection="0">
      <alignment horizontal="left"/>
    </xf>
    <xf numFmtId="0" fontId="163" fillId="0" borderId="102" applyNumberFormat="0" applyFill="0" applyAlignment="0" applyProtection="0"/>
    <xf numFmtId="0" fontId="138" fillId="0" borderId="103" applyNumberFormat="0" applyFill="0" applyAlignment="0" applyProtection="0"/>
    <xf numFmtId="0" fontId="138" fillId="0" borderId="103" applyNumberFormat="0" applyFill="0" applyAlignment="0" applyProtection="0"/>
    <xf numFmtId="0" fontId="163" fillId="0" borderId="102" applyNumberFormat="0" applyFill="0" applyAlignment="0" applyProtection="0"/>
    <xf numFmtId="0" fontId="138" fillId="0" borderId="103" applyNumberFormat="0" applyFill="0" applyAlignment="0" applyProtection="0"/>
    <xf numFmtId="0" fontId="123" fillId="0" borderId="88" applyNumberFormat="0" applyFill="0" applyAlignment="0" applyProtection="0"/>
    <xf numFmtId="0" fontId="123" fillId="0" borderId="88" applyNumberFormat="0" applyFill="0" applyAlignment="0" applyProtection="0"/>
    <xf numFmtId="0" fontId="138" fillId="0" borderId="103" applyNumberFormat="0" applyFill="0" applyAlignment="0" applyProtection="0"/>
    <xf numFmtId="0" fontId="151" fillId="0" borderId="88" applyNumberFormat="0" applyFill="0" applyAlignment="0" applyProtection="0"/>
    <xf numFmtId="0" fontId="26" fillId="0" borderId="0" applyNumberFormat="0" applyFill="0" applyProtection="0">
      <alignment horizontal="left"/>
    </xf>
    <xf numFmtId="0" fontId="123" fillId="0" borderId="88" applyNumberFormat="0" applyFill="0" applyAlignment="0" applyProtection="0"/>
    <xf numFmtId="0" fontId="151" fillId="0" borderId="88" applyNumberFormat="0" applyFill="0" applyAlignment="0" applyProtection="0"/>
    <xf numFmtId="0" fontId="138" fillId="0" borderId="103" applyNumberFormat="0" applyFill="0" applyAlignment="0" applyProtection="0"/>
    <xf numFmtId="0" fontId="163" fillId="0" borderId="102" applyNumberFormat="0" applyFill="0" applyAlignment="0" applyProtection="0"/>
    <xf numFmtId="0" fontId="26" fillId="0" borderId="0" applyNumberFormat="0" applyFill="0" applyProtection="0">
      <alignment horizontal="left"/>
    </xf>
    <xf numFmtId="0" fontId="16" fillId="0" borderId="3" applyNumberFormat="0" applyFill="0" applyAlignment="0" applyProtection="0"/>
    <xf numFmtId="0" fontId="139" fillId="0" borderId="104" applyNumberFormat="0" applyFill="0" applyAlignment="0" applyProtection="0"/>
    <xf numFmtId="0" fontId="139" fillId="0" borderId="104" applyNumberFormat="0" applyFill="0" applyAlignment="0" applyProtection="0"/>
    <xf numFmtId="0" fontId="16" fillId="0" borderId="3" applyNumberFormat="0" applyFill="0" applyAlignment="0" applyProtection="0"/>
    <xf numFmtId="0" fontId="139" fillId="0" borderId="104" applyNumberFormat="0" applyFill="0" applyAlignment="0" applyProtection="0"/>
    <xf numFmtId="0" fontId="124" fillId="0" borderId="89" applyNumberFormat="0" applyFill="0" applyAlignment="0" applyProtection="0"/>
    <xf numFmtId="0" fontId="124" fillId="0" borderId="89" applyNumberFormat="0" applyFill="0" applyAlignment="0" applyProtection="0"/>
    <xf numFmtId="0" fontId="139" fillId="0" borderId="104" applyNumberFormat="0" applyFill="0" applyAlignment="0" applyProtection="0"/>
    <xf numFmtId="0" fontId="124" fillId="0" borderId="89" applyNumberFormat="0" applyFill="0" applyAlignment="0" applyProtection="0"/>
    <xf numFmtId="0" fontId="152" fillId="0" borderId="89" applyNumberFormat="0" applyFill="0" applyAlignment="0" applyProtection="0"/>
    <xf numFmtId="0" fontId="139" fillId="0" borderId="104" applyNumberFormat="0" applyFill="0" applyAlignment="0" applyProtection="0"/>
    <xf numFmtId="0" fontId="16"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6" fillId="0" borderId="0" applyNumberFormat="0" applyFill="0" applyBorder="0" applyAlignment="0" applyProtection="0"/>
    <xf numFmtId="0" fontId="139"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39" fillId="0" borderId="0" applyNumberFormat="0" applyFill="0" applyBorder="0" applyAlignment="0" applyProtection="0"/>
    <xf numFmtId="0" fontId="124" fillId="0" borderId="0" applyNumberFormat="0" applyFill="0" applyBorder="0" applyAlignment="0" applyProtection="0"/>
    <xf numFmtId="0" fontId="152" fillId="0" borderId="0" applyNumberFormat="0" applyFill="0" applyBorder="0" applyAlignment="0" applyProtection="0"/>
    <xf numFmtId="0" fontId="139" fillId="0" borderId="0" applyNumberFormat="0" applyFill="0" applyBorder="0" applyAlignment="0" applyProtection="0"/>
    <xf numFmtId="0" fontId="140" fillId="7" borderId="1" applyNumberFormat="0" applyAlignment="0" applyProtection="0"/>
    <xf numFmtId="0" fontId="164" fillId="103" borderId="98" applyNumberFormat="0" applyAlignment="0" applyProtection="0"/>
    <xf numFmtId="0" fontId="164" fillId="103" borderId="98" applyNumberFormat="0" applyAlignment="0" applyProtection="0"/>
    <xf numFmtId="0" fontId="140" fillId="7" borderId="1" applyNumberFormat="0" applyAlignment="0" applyProtection="0"/>
    <xf numFmtId="0" fontId="164" fillId="103" borderId="98" applyNumberFormat="0" applyAlignment="0" applyProtection="0"/>
    <xf numFmtId="0" fontId="140" fillId="7" borderId="1" applyNumberFormat="0" applyAlignment="0" applyProtection="0"/>
    <xf numFmtId="0" fontId="165" fillId="54" borderId="86" applyNumberFormat="0" applyAlignment="0" applyProtection="0"/>
    <xf numFmtId="0" fontId="140" fillId="7" borderId="1" applyNumberFormat="0" applyAlignment="0" applyProtection="0"/>
    <xf numFmtId="0" fontId="164" fillId="103" borderId="98" applyNumberFormat="0" applyAlignment="0" applyProtection="0"/>
    <xf numFmtId="0" fontId="140" fillId="7" borderId="1" applyNumberFormat="0" applyAlignment="0" applyProtection="0"/>
    <xf numFmtId="0" fontId="116" fillId="54" borderId="86" applyNumberFormat="0" applyAlignment="0" applyProtection="0"/>
    <xf numFmtId="0" fontId="116" fillId="54" borderId="86" applyNumberFormat="0" applyAlignment="0" applyProtection="0"/>
    <xf numFmtId="0" fontId="164" fillId="103" borderId="98" applyNumberFormat="0" applyAlignment="0" applyProtection="0"/>
    <xf numFmtId="0" fontId="23" fillId="27" borderId="74" applyNumberFormat="0">
      <alignment horizontal="left"/>
      <protection locked="0"/>
    </xf>
    <xf numFmtId="0" fontId="140" fillId="7" borderId="1" applyNumberFormat="0" applyAlignment="0" applyProtection="0"/>
    <xf numFmtId="0" fontId="116" fillId="54" borderId="86" applyNumberFormat="0" applyAlignment="0" applyProtection="0"/>
    <xf numFmtId="0" fontId="166" fillId="54" borderId="86" applyNumberFormat="0" applyAlignment="0" applyProtection="0"/>
    <xf numFmtId="0" fontId="164" fillId="103" borderId="98" applyNumberFormat="0" applyAlignment="0" applyProtection="0"/>
    <xf numFmtId="0" fontId="140" fillId="7" borderId="1" applyNumberFormat="0" applyAlignment="0" applyProtection="0"/>
    <xf numFmtId="0" fontId="23" fillId="27" borderId="74" applyNumberFormat="0">
      <alignment horizontal="left"/>
      <protection locked="0"/>
    </xf>
    <xf numFmtId="0" fontId="17" fillId="0" borderId="5" applyNumberFormat="0" applyFill="0" applyAlignment="0" applyProtection="0"/>
    <xf numFmtId="0" fontId="15" fillId="0" borderId="105" applyNumberFormat="0" applyFill="0" applyAlignment="0" applyProtection="0"/>
    <xf numFmtId="0" fontId="15" fillId="0" borderId="105" applyNumberFormat="0" applyFill="0" applyAlignment="0" applyProtection="0"/>
    <xf numFmtId="0" fontId="17" fillId="0" borderId="5" applyNumberFormat="0" applyFill="0" applyAlignment="0" applyProtection="0"/>
    <xf numFmtId="0" fontId="15" fillId="0" borderId="105" applyNumberFormat="0" applyFill="0" applyAlignment="0" applyProtection="0"/>
    <xf numFmtId="0" fontId="130" fillId="0" borderId="91" applyNumberFormat="0" applyFill="0" applyAlignment="0" applyProtection="0"/>
    <xf numFmtId="0" fontId="130" fillId="0" borderId="91" applyNumberFormat="0" applyFill="0" applyAlignment="0" applyProtection="0"/>
    <xf numFmtId="0" fontId="15" fillId="0" borderId="105" applyNumberFormat="0" applyFill="0" applyAlignment="0" applyProtection="0"/>
    <xf numFmtId="0" fontId="130" fillId="0" borderId="91" applyNumberFormat="0" applyFill="0" applyAlignment="0" applyProtection="0"/>
    <xf numFmtId="0" fontId="167" fillId="0" borderId="91" applyNumberFormat="0" applyFill="0" applyAlignment="0" applyProtection="0"/>
    <xf numFmtId="0" fontId="15" fillId="0" borderId="105" applyNumberFormat="0" applyFill="0" applyAlignment="0" applyProtection="0"/>
    <xf numFmtId="0" fontId="18" fillId="2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8" fillId="23" borderId="0" applyNumberFormat="0" applyBorder="0" applyAlignment="0" applyProtection="0"/>
    <xf numFmtId="0" fontId="15" fillId="103" borderId="0" applyNumberFormat="0" applyBorder="0" applyAlignment="0" applyProtection="0"/>
    <xf numFmtId="0" fontId="148" fillId="57" borderId="0" applyNumberFormat="0" applyBorder="0" applyAlignment="0" applyProtection="0"/>
    <xf numFmtId="0" fontId="148" fillId="57" borderId="0" applyNumberFormat="0" applyBorder="0" applyAlignment="0" applyProtection="0"/>
    <xf numFmtId="0" fontId="15" fillId="103" borderId="0" applyNumberFormat="0" applyBorder="0" applyAlignment="0" applyProtection="0"/>
    <xf numFmtId="0" fontId="148" fillId="57" borderId="0" applyNumberFormat="0" applyBorder="0" applyAlignment="0" applyProtection="0"/>
    <xf numFmtId="0" fontId="168" fillId="57" borderId="0" applyNumberFormat="0" applyBorder="0" applyAlignment="0" applyProtection="0"/>
    <xf numFmtId="0" fontId="15" fillId="103" borderId="0" applyNumberFormat="0" applyBorder="0" applyAlignment="0" applyProtection="0"/>
    <xf numFmtId="0" fontId="149" fillId="0" borderId="0"/>
    <xf numFmtId="0" fontId="43" fillId="110" borderId="0"/>
    <xf numFmtId="0" fontId="43" fillId="110" borderId="0"/>
    <xf numFmtId="0" fontId="30" fillId="0" borderId="0">
      <alignment vertical="top"/>
    </xf>
    <xf numFmtId="0" fontId="149" fillId="0" borderId="0"/>
    <xf numFmtId="0" fontId="6" fillId="0" borderId="0"/>
    <xf numFmtId="0" fontId="4" fillId="0" borderId="0"/>
    <xf numFmtId="0" fontId="149" fillId="0" borderId="0"/>
    <xf numFmtId="0" fontId="4" fillId="0" borderId="0"/>
    <xf numFmtId="0" fontId="43" fillId="110" borderId="0"/>
    <xf numFmtId="0" fontId="43" fillId="110" borderId="0"/>
    <xf numFmtId="0" fontId="149" fillId="0" borderId="0"/>
    <xf numFmtId="0" fontId="98" fillId="0" borderId="0"/>
    <xf numFmtId="0" fontId="149" fillId="0" borderId="0"/>
    <xf numFmtId="0" fontId="98" fillId="0" borderId="0"/>
    <xf numFmtId="0" fontId="149" fillId="0" borderId="0"/>
    <xf numFmtId="0" fontId="98" fillId="0" borderId="0"/>
    <xf numFmtId="0" fontId="149" fillId="0" borderId="0"/>
    <xf numFmtId="0" fontId="149" fillId="0" borderId="0"/>
    <xf numFmtId="0" fontId="149" fillId="0" borderId="0"/>
    <xf numFmtId="0" fontId="149" fillId="0" borderId="0"/>
    <xf numFmtId="0" fontId="6" fillId="0" borderId="0"/>
    <xf numFmtId="0" fontId="149" fillId="0" borderId="0"/>
    <xf numFmtId="0" fontId="4" fillId="0" borderId="0"/>
    <xf numFmtId="0" fontId="4" fillId="0" borderId="0"/>
    <xf numFmtId="0" fontId="98" fillId="0" borderId="0"/>
    <xf numFmtId="0" fontId="9" fillId="0" borderId="0"/>
    <xf numFmtId="0" fontId="4" fillId="0" borderId="0"/>
    <xf numFmtId="0" fontId="98" fillId="0" borderId="0"/>
    <xf numFmtId="0" fontId="9" fillId="0" borderId="0"/>
    <xf numFmtId="0" fontId="6" fillId="0" borderId="0"/>
    <xf numFmtId="0" fontId="6" fillId="0" borderId="0"/>
    <xf numFmtId="0" fontId="6" fillId="0" borderId="0"/>
    <xf numFmtId="0" fontId="30" fillId="0" borderId="0">
      <alignment vertical="top"/>
    </xf>
    <xf numFmtId="172" fontId="169" fillId="0" borderId="0"/>
    <xf numFmtId="0" fontId="4" fillId="0" borderId="0"/>
    <xf numFmtId="0" fontId="43" fillId="110" borderId="0"/>
    <xf numFmtId="0" fontId="98" fillId="0" borderId="0"/>
    <xf numFmtId="0" fontId="98" fillId="0" borderId="0"/>
    <xf numFmtId="0" fontId="43" fillId="110" borderId="0"/>
    <xf numFmtId="0" fontId="6" fillId="0" borderId="0"/>
    <xf numFmtId="0" fontId="6" fillId="0" borderId="0"/>
    <xf numFmtId="0" fontId="4" fillId="0" borderId="0"/>
    <xf numFmtId="0" fontId="43" fillId="110" borderId="0"/>
    <xf numFmtId="0" fontId="43" fillId="110" borderId="0"/>
    <xf numFmtId="0" fontId="98" fillId="0" borderId="0"/>
    <xf numFmtId="0" fontId="6" fillId="0" borderId="0"/>
    <xf numFmtId="0" fontId="6" fillId="0" borderId="0"/>
    <xf numFmtId="0" fontId="98" fillId="0" borderId="0"/>
    <xf numFmtId="0" fontId="149" fillId="0" borderId="0"/>
    <xf numFmtId="0" fontId="6" fillId="0" borderId="0"/>
    <xf numFmtId="0" fontId="149" fillId="0" borderId="0"/>
    <xf numFmtId="0" fontId="149" fillId="0" borderId="0"/>
    <xf numFmtId="0" fontId="6" fillId="0" borderId="0"/>
    <xf numFmtId="0" fontId="149" fillId="0" borderId="0"/>
    <xf numFmtId="0" fontId="149" fillId="0" borderId="0"/>
    <xf numFmtId="0" fontId="6" fillId="0" borderId="0"/>
    <xf numFmtId="0" fontId="6" fillId="0" borderId="0"/>
    <xf numFmtId="0" fontId="98" fillId="0" borderId="0"/>
    <xf numFmtId="0" fontId="74" fillId="0" borderId="0"/>
    <xf numFmtId="0" fontId="4" fillId="0" borderId="0"/>
    <xf numFmtId="0" fontId="98" fillId="0" borderId="0"/>
    <xf numFmtId="0" fontId="4" fillId="0" borderId="0"/>
    <xf numFmtId="0" fontId="6" fillId="0" borderId="0"/>
    <xf numFmtId="0" fontId="6" fillId="0" borderId="0"/>
    <xf numFmtId="0" fontId="43" fillId="110" borderId="0"/>
    <xf numFmtId="0" fontId="6" fillId="0" borderId="0"/>
    <xf numFmtId="0" fontId="1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43" fillId="110" borderId="0"/>
    <xf numFmtId="0" fontId="43" fillId="110" borderId="0"/>
    <xf numFmtId="0" fontId="43" fillId="110" borderId="0"/>
    <xf numFmtId="0" fontId="43" fillId="110" borderId="0"/>
    <xf numFmtId="0" fontId="43" fillId="110" borderId="0"/>
    <xf numFmtId="0" fontId="43" fillId="110" borderId="0"/>
    <xf numFmtId="0" fontId="43" fillId="110" borderId="0"/>
    <xf numFmtId="0" fontId="6" fillId="0" borderId="0"/>
    <xf numFmtId="0" fontId="6" fillId="0" borderId="0"/>
    <xf numFmtId="0" fontId="6" fillId="0" borderId="0"/>
    <xf numFmtId="0" fontId="73" fillId="0" borderId="0"/>
    <xf numFmtId="0" fontId="6" fillId="0" borderId="0"/>
    <xf numFmtId="0" fontId="6" fillId="0" borderId="0"/>
    <xf numFmtId="0" fontId="6" fillId="0" borderId="0"/>
    <xf numFmtId="0" fontId="6" fillId="0" borderId="0"/>
    <xf numFmtId="0" fontId="77" fillId="0" borderId="0"/>
    <xf numFmtId="0" fontId="6" fillId="0" borderId="0"/>
    <xf numFmtId="0" fontId="6" fillId="0" borderId="0"/>
    <xf numFmtId="0" fontId="77" fillId="0" borderId="0"/>
    <xf numFmtId="0" fontId="1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110" borderId="0"/>
    <xf numFmtId="0" fontId="4" fillId="0" borderId="0"/>
    <xf numFmtId="0" fontId="43" fillId="110" borderId="0"/>
    <xf numFmtId="0" fontId="43" fillId="110" borderId="0"/>
    <xf numFmtId="0" fontId="4" fillId="0" borderId="0"/>
    <xf numFmtId="0" fontId="43" fillId="110" borderId="0"/>
    <xf numFmtId="0" fontId="43" fillId="110" borderId="0"/>
    <xf numFmtId="0" fontId="43" fillId="110" borderId="0"/>
    <xf numFmtId="0" fontId="43" fillId="110" borderId="0"/>
    <xf numFmtId="0" fontId="77" fillId="0" borderId="0"/>
    <xf numFmtId="0" fontId="43" fillId="110" borderId="0"/>
    <xf numFmtId="0" fontId="98" fillId="0" borderId="0"/>
    <xf numFmtId="0" fontId="43" fillId="110" borderId="0"/>
    <xf numFmtId="0" fontId="43" fillId="110" borderId="0"/>
    <xf numFmtId="0" fontId="77" fillId="0" borderId="0"/>
    <xf numFmtId="0" fontId="1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3" fillId="110" borderId="0"/>
    <xf numFmtId="0" fontId="43" fillId="110" borderId="0"/>
    <xf numFmtId="0" fontId="6" fillId="0" borderId="0"/>
    <xf numFmtId="0" fontId="14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9" fillId="0" borderId="0"/>
    <xf numFmtId="0" fontId="6" fillId="0" borderId="0"/>
    <xf numFmtId="0" fontId="98" fillId="0" borderId="0"/>
    <xf numFmtId="0" fontId="6" fillId="0" borderId="0"/>
    <xf numFmtId="0" fontId="6" fillId="0" borderId="0"/>
    <xf numFmtId="0" fontId="149"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0" fillId="0" borderId="0"/>
    <xf numFmtId="0" fontId="6" fillId="0" borderId="0"/>
    <xf numFmtId="0" fontId="170" fillId="0" borderId="0"/>
    <xf numFmtId="0" fontId="149" fillId="0" borderId="0"/>
    <xf numFmtId="0" fontId="4" fillId="0" borderId="0"/>
    <xf numFmtId="0" fontId="4" fillId="0" borderId="0"/>
    <xf numFmtId="0" fontId="4" fillId="0" borderId="0"/>
    <xf numFmtId="0" fontId="6" fillId="0" borderId="0"/>
    <xf numFmtId="0" fontId="4" fillId="0" borderId="0"/>
    <xf numFmtId="0" fontId="6" fillId="0" borderId="0"/>
    <xf numFmtId="0" fontId="149" fillId="0" borderId="0"/>
    <xf numFmtId="0" fontId="9" fillId="24" borderId="6"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6" fillId="24" borderId="6"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43" fillId="102" borderId="98" applyNumberFormat="0" applyFont="0" applyAlignment="0" applyProtection="0"/>
    <xf numFmtId="0" fontId="6" fillId="24" borderId="6"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7" fillId="24" borderId="6" applyNumberFormat="0" applyFont="0" applyAlignment="0" applyProtection="0"/>
    <xf numFmtId="0" fontId="9" fillId="24" borderId="6"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24" borderId="6" applyNumberFormat="0" applyFont="0" applyAlignment="0" applyProtection="0"/>
    <xf numFmtId="0" fontId="43" fillId="102" borderId="98" applyNumberFormat="0" applyFont="0" applyAlignment="0" applyProtection="0"/>
    <xf numFmtId="0" fontId="9" fillId="24" borderId="6" applyNumberFormat="0" applyFont="0" applyAlignment="0" applyProtection="0"/>
    <xf numFmtId="0" fontId="43" fillId="102" borderId="98" applyNumberFormat="0" applyFont="0" applyAlignment="0" applyProtection="0"/>
    <xf numFmtId="0" fontId="7" fillId="24" borderId="6" applyNumberFormat="0" applyFont="0" applyAlignment="0" applyProtection="0"/>
    <xf numFmtId="0" fontId="9" fillId="24" borderId="6"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43" fillId="102" borderId="98" applyNumberFormat="0" applyFont="0" applyAlignment="0" applyProtection="0"/>
    <xf numFmtId="0" fontId="159" fillId="38" borderId="82" applyNumberFormat="0" applyFont="0" applyAlignment="0" applyProtection="0"/>
    <xf numFmtId="0" fontId="159" fillId="38" borderId="82"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6" fillId="24" borderId="6"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6" fillId="24" borderId="6" applyNumberFormat="0" applyFont="0" applyAlignment="0" applyProtection="0"/>
    <xf numFmtId="0" fontId="6" fillId="24" borderId="6"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43" fillId="102" borderId="98" applyNumberFormat="0" applyFont="0" applyAlignment="0" applyProtection="0"/>
    <xf numFmtId="0" fontId="43" fillId="102" borderId="98"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9" fillId="38" borderId="82" applyNumberFormat="0" applyFont="0" applyAlignment="0" applyProtection="0"/>
    <xf numFmtId="0" fontId="6" fillId="24" borderId="6" applyNumberFormat="0" applyFont="0" applyAlignment="0" applyProtection="0"/>
    <xf numFmtId="0" fontId="6" fillId="24" borderId="6" applyNumberFormat="0" applyFont="0" applyAlignment="0" applyProtection="0"/>
    <xf numFmtId="0" fontId="7" fillId="24" borderId="6" applyNumberFormat="0" applyFont="0" applyAlignment="0" applyProtection="0"/>
    <xf numFmtId="0" fontId="145" fillId="20" borderId="7" applyNumberFormat="0" applyAlignment="0" applyProtection="0"/>
    <xf numFmtId="0" fontId="145" fillId="106" borderId="7" applyNumberFormat="0" applyAlignment="0" applyProtection="0"/>
    <xf numFmtId="0" fontId="145" fillId="106" borderId="7" applyNumberFormat="0" applyAlignment="0" applyProtection="0"/>
    <xf numFmtId="0" fontId="145" fillId="20" borderId="7" applyNumberFormat="0" applyAlignment="0" applyProtection="0"/>
    <xf numFmtId="0" fontId="145" fillId="106" borderId="7" applyNumberFormat="0" applyAlignment="0" applyProtection="0"/>
    <xf numFmtId="0" fontId="145" fillId="20" borderId="7" applyNumberFormat="0" applyAlignment="0" applyProtection="0"/>
    <xf numFmtId="0" fontId="145" fillId="106" borderId="7" applyNumberFormat="0" applyAlignment="0" applyProtection="0"/>
    <xf numFmtId="0" fontId="145" fillId="20" borderId="7" applyNumberFormat="0" applyAlignment="0" applyProtection="0"/>
    <xf numFmtId="0" fontId="128" fillId="58" borderId="90" applyNumberFormat="0" applyAlignment="0" applyProtection="0"/>
    <xf numFmtId="0" fontId="145" fillId="20" borderId="7" applyNumberFormat="0" applyAlignment="0" applyProtection="0"/>
    <xf numFmtId="0" fontId="128" fillId="58" borderId="90" applyNumberFormat="0" applyAlignment="0" applyProtection="0"/>
    <xf numFmtId="0" fontId="145" fillId="106" borderId="7" applyNumberFormat="0" applyAlignment="0" applyProtection="0"/>
    <xf numFmtId="0" fontId="26" fillId="28" borderId="7" applyNumberFormat="0" applyAlignment="0" applyProtection="0"/>
    <xf numFmtId="0" fontId="145" fillId="20" borderId="7" applyNumberFormat="0" applyAlignment="0" applyProtection="0"/>
    <xf numFmtId="0" fontId="128" fillId="58" borderId="90" applyNumberFormat="0" applyAlignment="0" applyProtection="0"/>
    <xf numFmtId="0" fontId="171" fillId="58" borderId="90" applyNumberFormat="0" applyAlignment="0" applyProtection="0"/>
    <xf numFmtId="0" fontId="145" fillId="106" borderId="7" applyNumberFormat="0" applyAlignment="0" applyProtection="0"/>
    <xf numFmtId="0" fontId="145" fillId="20" borderId="7" applyNumberFormat="0" applyAlignment="0" applyProtection="0"/>
    <xf numFmtId="0" fontId="26" fillId="28" borderId="7" applyNumberFormat="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7" fillId="0" borderId="0" applyFont="0" applyFill="0" applyBorder="0" applyAlignment="0" applyProtection="0"/>
    <xf numFmtId="9" fontId="159" fillId="0" borderId="0" applyFont="0" applyFill="0" applyBorder="0" applyAlignment="0" applyProtection="0"/>
    <xf numFmtId="9" fontId="77"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59" fillId="0" borderId="0" applyFont="0" applyFill="0" applyBorder="0" applyAlignment="0" applyProtection="0"/>
    <xf numFmtId="9" fontId="6" fillId="0" borderId="0" applyFont="0" applyFill="0" applyBorder="0" applyAlignment="0" applyProtection="0"/>
    <xf numFmtId="4" fontId="43" fillId="23" borderId="98" applyNumberFormat="0" applyProtection="0">
      <alignment vertical="center"/>
    </xf>
    <xf numFmtId="4" fontId="43" fillId="23" borderId="98" applyNumberFormat="0" applyProtection="0">
      <alignment vertical="center"/>
    </xf>
    <xf numFmtId="4" fontId="43" fillId="23" borderId="98" applyNumberFormat="0" applyProtection="0">
      <alignment vertical="center"/>
    </xf>
    <xf numFmtId="4" fontId="43" fillId="23" borderId="98" applyNumberFormat="0" applyProtection="0">
      <alignment vertical="center"/>
    </xf>
    <xf numFmtId="4" fontId="43" fillId="23" borderId="98" applyNumberFormat="0" applyProtection="0">
      <alignment vertical="center"/>
    </xf>
    <xf numFmtId="4" fontId="43" fillId="23" borderId="98" applyNumberFormat="0" applyProtection="0">
      <alignment vertical="center"/>
    </xf>
    <xf numFmtId="4" fontId="172" fillId="42" borderId="98" applyNumberFormat="0" applyProtection="0">
      <alignment vertical="center"/>
    </xf>
    <xf numFmtId="4" fontId="172" fillId="42" borderId="98" applyNumberFormat="0" applyProtection="0">
      <alignment vertical="center"/>
    </xf>
    <xf numFmtId="4" fontId="172" fillId="42" borderId="98" applyNumberFormat="0" applyProtection="0">
      <alignment vertical="center"/>
    </xf>
    <xf numFmtId="4" fontId="43" fillId="42" borderId="98" applyNumberFormat="0" applyProtection="0">
      <alignment horizontal="left" vertical="center" indent="1"/>
    </xf>
    <xf numFmtId="4" fontId="43" fillId="42" borderId="98" applyNumberFormat="0" applyProtection="0">
      <alignment horizontal="left" vertical="center" indent="1"/>
    </xf>
    <xf numFmtId="4" fontId="43" fillId="42" borderId="98" applyNumberFormat="0" applyProtection="0">
      <alignment horizontal="left" vertical="center" indent="1"/>
    </xf>
    <xf numFmtId="4" fontId="43" fillId="42" borderId="98" applyNumberFormat="0" applyProtection="0">
      <alignment horizontal="left" vertical="center" indent="1"/>
    </xf>
    <xf numFmtId="4" fontId="43" fillId="42" borderId="98" applyNumberFormat="0" applyProtection="0">
      <alignment horizontal="left" vertical="center" indent="1"/>
    </xf>
    <xf numFmtId="4" fontId="43" fillId="42" borderId="98" applyNumberFormat="0" applyProtection="0">
      <alignment horizontal="left" vertical="center" indent="1"/>
    </xf>
    <xf numFmtId="0" fontId="173" fillId="23" borderId="83" applyNumberFormat="0" applyProtection="0">
      <alignment horizontal="left" vertical="top" indent="1"/>
    </xf>
    <xf numFmtId="0" fontId="173" fillId="23" borderId="83" applyNumberFormat="0" applyProtection="0">
      <alignment horizontal="left" vertical="top" indent="1"/>
    </xf>
    <xf numFmtId="0" fontId="173" fillId="23" borderId="83" applyNumberFormat="0" applyProtection="0">
      <alignment horizontal="left" vertical="top"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3" borderId="98" applyNumberFormat="0" applyProtection="0">
      <alignment horizontal="right" vertical="center"/>
    </xf>
    <xf numFmtId="4" fontId="43" fillId="3" borderId="98" applyNumberFormat="0" applyProtection="0">
      <alignment horizontal="right" vertical="center"/>
    </xf>
    <xf numFmtId="4" fontId="43" fillId="3" borderId="98" applyNumberFormat="0" applyProtection="0">
      <alignment horizontal="right" vertical="center"/>
    </xf>
    <xf numFmtId="4" fontId="43" fillId="111" borderId="98" applyNumberFormat="0" applyProtection="0">
      <alignment horizontal="right" vertical="center"/>
    </xf>
    <xf numFmtId="4" fontId="43" fillId="111" borderId="98" applyNumberFormat="0" applyProtection="0">
      <alignment horizontal="right" vertical="center"/>
    </xf>
    <xf numFmtId="4" fontId="43" fillId="111" borderId="98" applyNumberFormat="0" applyProtection="0">
      <alignment horizontal="right" vertical="center"/>
    </xf>
    <xf numFmtId="4" fontId="43" fillId="17" borderId="106" applyNumberFormat="0" applyProtection="0">
      <alignment horizontal="right" vertical="center"/>
    </xf>
    <xf numFmtId="4" fontId="43" fillId="17" borderId="106" applyNumberFormat="0" applyProtection="0">
      <alignment horizontal="right" vertical="center"/>
    </xf>
    <xf numFmtId="4" fontId="43" fillId="17" borderId="106" applyNumberFormat="0" applyProtection="0">
      <alignment horizontal="right" vertical="center"/>
    </xf>
    <xf numFmtId="4" fontId="43" fillId="11" borderId="98" applyNumberFormat="0" applyProtection="0">
      <alignment horizontal="right" vertical="center"/>
    </xf>
    <xf numFmtId="4" fontId="43" fillId="11" borderId="98" applyNumberFormat="0" applyProtection="0">
      <alignment horizontal="right" vertical="center"/>
    </xf>
    <xf numFmtId="4" fontId="43" fillId="11" borderId="98" applyNumberFormat="0" applyProtection="0">
      <alignment horizontal="right" vertical="center"/>
    </xf>
    <xf numFmtId="4" fontId="43" fillId="15" borderId="98" applyNumberFormat="0" applyProtection="0">
      <alignment horizontal="right" vertical="center"/>
    </xf>
    <xf numFmtId="4" fontId="43" fillId="15" borderId="98" applyNumberFormat="0" applyProtection="0">
      <alignment horizontal="right" vertical="center"/>
    </xf>
    <xf numFmtId="4" fontId="43" fillId="15" borderId="98" applyNumberFormat="0" applyProtection="0">
      <alignment horizontal="right" vertical="center"/>
    </xf>
    <xf numFmtId="4" fontId="43" fillId="19" borderId="98" applyNumberFormat="0" applyProtection="0">
      <alignment horizontal="right" vertical="center"/>
    </xf>
    <xf numFmtId="4" fontId="43" fillId="19" borderId="98" applyNumberFormat="0" applyProtection="0">
      <alignment horizontal="right" vertical="center"/>
    </xf>
    <xf numFmtId="4" fontId="43" fillId="19" borderId="98" applyNumberFormat="0" applyProtection="0">
      <alignment horizontal="right" vertical="center"/>
    </xf>
    <xf numFmtId="4" fontId="43" fillId="18" borderId="98" applyNumberFormat="0" applyProtection="0">
      <alignment horizontal="right" vertical="center"/>
    </xf>
    <xf numFmtId="4" fontId="43" fillId="18" borderId="98" applyNumberFormat="0" applyProtection="0">
      <alignment horizontal="right" vertical="center"/>
    </xf>
    <xf numFmtId="4" fontId="43" fillId="18" borderId="98" applyNumberFormat="0" applyProtection="0">
      <alignment horizontal="right" vertical="center"/>
    </xf>
    <xf numFmtId="4" fontId="43" fillId="44" borderId="98" applyNumberFormat="0" applyProtection="0">
      <alignment horizontal="right" vertical="center"/>
    </xf>
    <xf numFmtId="4" fontId="43" fillId="44" borderId="98" applyNumberFormat="0" applyProtection="0">
      <alignment horizontal="right" vertical="center"/>
    </xf>
    <xf numFmtId="4" fontId="43" fillId="44" borderId="98" applyNumberFormat="0" applyProtection="0">
      <alignment horizontal="right" vertical="center"/>
    </xf>
    <xf numFmtId="4" fontId="43" fillId="9" borderId="98" applyNumberFormat="0" applyProtection="0">
      <alignment horizontal="right" vertical="center"/>
    </xf>
    <xf numFmtId="4" fontId="43" fillId="9" borderId="98" applyNumberFormat="0" applyProtection="0">
      <alignment horizontal="right" vertical="center"/>
    </xf>
    <xf numFmtId="4" fontId="43" fillId="9" borderId="98" applyNumberFormat="0" applyProtection="0">
      <alignment horizontal="right" vertical="center"/>
    </xf>
    <xf numFmtId="4" fontId="43" fillId="45" borderId="106" applyNumberFormat="0" applyProtection="0">
      <alignment horizontal="left" vertical="center" indent="1"/>
    </xf>
    <xf numFmtId="4" fontId="43" fillId="45" borderId="106" applyNumberFormat="0" applyProtection="0">
      <alignment horizontal="left" vertical="center" indent="1"/>
    </xf>
    <xf numFmtId="4" fontId="43" fillId="45" borderId="106" applyNumberFormat="0" applyProtection="0">
      <alignment horizontal="left" vertical="center" indent="1"/>
    </xf>
    <xf numFmtId="4" fontId="6" fillId="83" borderId="106" applyNumberFormat="0" applyProtection="0">
      <alignment horizontal="left" vertical="center" indent="1"/>
    </xf>
    <xf numFmtId="4" fontId="6" fillId="83" borderId="106" applyNumberFormat="0" applyProtection="0">
      <alignment horizontal="left" vertical="center" indent="1"/>
    </xf>
    <xf numFmtId="4" fontId="6" fillId="83" borderId="106" applyNumberFormat="0" applyProtection="0">
      <alignment horizontal="left" vertical="center" indent="1"/>
    </xf>
    <xf numFmtId="4" fontId="6" fillId="83" borderId="106" applyNumberFormat="0" applyProtection="0">
      <alignment horizontal="left" vertical="center" indent="1"/>
    </xf>
    <xf numFmtId="4" fontId="6" fillId="83" borderId="106" applyNumberFormat="0" applyProtection="0">
      <alignment horizontal="left" vertical="center" indent="1"/>
    </xf>
    <xf numFmtId="4" fontId="6" fillId="83" borderId="106" applyNumberFormat="0" applyProtection="0">
      <alignment horizontal="left" vertical="center" indent="1"/>
    </xf>
    <xf numFmtId="4" fontId="43" fillId="48" borderId="98" applyNumberFormat="0" applyProtection="0">
      <alignment horizontal="right" vertical="center"/>
    </xf>
    <xf numFmtId="4" fontId="43" fillId="48" borderId="98" applyNumberFormat="0" applyProtection="0">
      <alignment horizontal="right" vertical="center"/>
    </xf>
    <xf numFmtId="4" fontId="43" fillId="48" borderId="98" applyNumberFormat="0" applyProtection="0">
      <alignment horizontal="right" vertical="center"/>
    </xf>
    <xf numFmtId="4" fontId="43" fillId="46" borderId="106" applyNumberFormat="0" applyProtection="0">
      <alignment horizontal="left" vertical="center" indent="1"/>
    </xf>
    <xf numFmtId="4" fontId="43" fillId="46" borderId="106" applyNumberFormat="0" applyProtection="0">
      <alignment horizontal="left" vertical="center" indent="1"/>
    </xf>
    <xf numFmtId="4" fontId="43" fillId="46" borderId="106" applyNumberFormat="0" applyProtection="0">
      <alignment horizontal="left" vertical="center" indent="1"/>
    </xf>
    <xf numFmtId="4" fontId="43" fillId="48" borderId="106" applyNumberFormat="0" applyProtection="0">
      <alignment horizontal="left" vertical="center" indent="1"/>
    </xf>
    <xf numFmtId="4" fontId="43" fillId="48" borderId="106" applyNumberFormat="0" applyProtection="0">
      <alignment horizontal="left" vertical="center" indent="1"/>
    </xf>
    <xf numFmtId="4" fontId="43" fillId="48" borderId="106" applyNumberFormat="0" applyProtection="0">
      <alignment horizontal="left" vertical="center" indent="1"/>
    </xf>
    <xf numFmtId="0" fontId="43" fillId="20" borderId="98" applyNumberFormat="0" applyProtection="0">
      <alignment horizontal="left" vertical="center" indent="1"/>
    </xf>
    <xf numFmtId="0" fontId="43" fillId="20" borderId="98" applyNumberFormat="0" applyProtection="0">
      <alignment horizontal="left" vertical="center" indent="1"/>
    </xf>
    <xf numFmtId="0" fontId="43" fillId="20" borderId="98" applyNumberFormat="0" applyProtection="0">
      <alignment horizontal="left" vertical="center"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83" borderId="83" applyNumberFormat="0" applyProtection="0">
      <alignment horizontal="left" vertical="top" indent="1"/>
    </xf>
    <xf numFmtId="0" fontId="43" fillId="112" borderId="98" applyNumberFormat="0" applyProtection="0">
      <alignment horizontal="left" vertical="center" indent="1"/>
    </xf>
    <xf numFmtId="0" fontId="43" fillId="112" borderId="98" applyNumberFormat="0" applyProtection="0">
      <alignment horizontal="left" vertical="center" indent="1"/>
    </xf>
    <xf numFmtId="0" fontId="43" fillId="112" borderId="98" applyNumberFormat="0" applyProtection="0">
      <alignment horizontal="left" vertical="center"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48" borderId="83" applyNumberFormat="0" applyProtection="0">
      <alignment horizontal="left" vertical="top" indent="1"/>
    </xf>
    <xf numFmtId="0" fontId="43" fillId="10" borderId="98" applyNumberFormat="0" applyProtection="0">
      <alignment horizontal="left" vertical="center" indent="1"/>
    </xf>
    <xf numFmtId="0" fontId="43" fillId="10" borderId="98" applyNumberFormat="0" applyProtection="0">
      <alignment horizontal="left" vertical="center" indent="1"/>
    </xf>
    <xf numFmtId="0" fontId="43" fillId="10" borderId="98" applyNumberFormat="0" applyProtection="0">
      <alignment horizontal="left" vertical="center"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10" borderId="83" applyNumberFormat="0" applyProtection="0">
      <alignment horizontal="left" vertical="top" indent="1"/>
    </xf>
    <xf numFmtId="0" fontId="43" fillId="46" borderId="98" applyNumberFormat="0" applyProtection="0">
      <alignment horizontal="left" vertical="center" indent="1"/>
    </xf>
    <xf numFmtId="0" fontId="43" fillId="46" borderId="98" applyNumberFormat="0" applyProtection="0">
      <alignment horizontal="left" vertical="center" indent="1"/>
    </xf>
    <xf numFmtId="0" fontId="43" fillId="46" borderId="98" applyNumberFormat="0" applyProtection="0">
      <alignment horizontal="left" vertical="center"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46" borderId="83" applyNumberFormat="0" applyProtection="0">
      <alignment horizontal="left" vertical="top" indent="1"/>
    </xf>
    <xf numFmtId="0" fontId="43" fillId="84" borderId="107" applyNumberFormat="0">
      <protection locked="0"/>
    </xf>
    <xf numFmtId="0" fontId="43" fillId="84" borderId="107" applyNumberFormat="0">
      <protection locked="0"/>
    </xf>
    <xf numFmtId="0" fontId="43" fillId="84" borderId="107" applyNumberFormat="0">
      <protection locked="0"/>
    </xf>
    <xf numFmtId="0" fontId="43" fillId="84" borderId="107" applyNumberFormat="0">
      <protection locked="0"/>
    </xf>
    <xf numFmtId="0" fontId="43" fillId="84" borderId="107" applyNumberFormat="0">
      <protection locked="0"/>
    </xf>
    <xf numFmtId="0" fontId="43" fillId="84" borderId="107" applyNumberFormat="0">
      <protection locked="0"/>
    </xf>
    <xf numFmtId="0" fontId="42" fillId="83" borderId="108" applyBorder="0"/>
    <xf numFmtId="0" fontId="42" fillId="83" borderId="108" applyBorder="0"/>
    <xf numFmtId="4" fontId="62" fillId="24" borderId="83" applyNumberFormat="0" applyProtection="0">
      <alignment vertical="center"/>
    </xf>
    <xf numFmtId="4" fontId="62" fillId="24" borderId="83" applyNumberFormat="0" applyProtection="0">
      <alignment vertical="center"/>
    </xf>
    <xf numFmtId="4" fontId="62" fillId="24" borderId="83" applyNumberFormat="0" applyProtection="0">
      <alignment vertical="center"/>
    </xf>
    <xf numFmtId="4" fontId="172" fillId="22" borderId="74" applyNumberFormat="0" applyProtection="0">
      <alignment vertical="center"/>
    </xf>
    <xf numFmtId="4" fontId="172" fillId="22" borderId="74" applyNumberFormat="0" applyProtection="0">
      <alignment vertical="center"/>
    </xf>
    <xf numFmtId="4" fontId="172" fillId="22" borderId="74" applyNumberFormat="0" applyProtection="0">
      <alignment vertical="center"/>
    </xf>
    <xf numFmtId="4" fontId="62" fillId="20" borderId="83" applyNumberFormat="0" applyProtection="0">
      <alignment horizontal="left" vertical="center" indent="1"/>
    </xf>
    <xf numFmtId="4" fontId="62" fillId="20" borderId="83" applyNumberFormat="0" applyProtection="0">
      <alignment horizontal="left" vertical="center" indent="1"/>
    </xf>
    <xf numFmtId="4" fontId="62" fillId="20" borderId="83" applyNumberFormat="0" applyProtection="0">
      <alignment horizontal="left" vertical="center" indent="1"/>
    </xf>
    <xf numFmtId="0" fontId="62" fillId="24" borderId="83" applyNumberFormat="0" applyProtection="0">
      <alignment horizontal="left" vertical="top" indent="1"/>
    </xf>
    <xf numFmtId="0" fontId="62" fillId="24" borderId="83" applyNumberFormat="0" applyProtection="0">
      <alignment horizontal="left" vertical="top" indent="1"/>
    </xf>
    <xf numFmtId="0" fontId="62" fillId="24" borderId="83" applyNumberFormat="0" applyProtection="0">
      <alignment horizontal="left" vertical="top" indent="1"/>
    </xf>
    <xf numFmtId="4" fontId="43" fillId="0" borderId="98" applyNumberFormat="0" applyProtection="0">
      <alignment horizontal="right" vertical="center"/>
    </xf>
    <xf numFmtId="4" fontId="43" fillId="0" borderId="98" applyNumberFormat="0" applyProtection="0">
      <alignment horizontal="right" vertical="center"/>
    </xf>
    <xf numFmtId="4" fontId="43" fillId="0" borderId="98" applyNumberFormat="0" applyProtection="0">
      <alignment horizontal="right" vertical="center"/>
    </xf>
    <xf numFmtId="4" fontId="43" fillId="0" borderId="98" applyNumberFormat="0" applyProtection="0">
      <alignment horizontal="right" vertical="center"/>
    </xf>
    <xf numFmtId="4" fontId="43" fillId="0" borderId="98" applyNumberFormat="0" applyProtection="0">
      <alignment horizontal="right" vertical="center"/>
    </xf>
    <xf numFmtId="4" fontId="43" fillId="0" borderId="98" applyNumberFormat="0" applyProtection="0">
      <alignment horizontal="right" vertical="center"/>
    </xf>
    <xf numFmtId="4" fontId="172" fillId="52" borderId="98" applyNumberFormat="0" applyProtection="0">
      <alignment horizontal="right" vertical="center"/>
    </xf>
    <xf numFmtId="4" fontId="172" fillId="52" borderId="98" applyNumberFormat="0" applyProtection="0">
      <alignment horizontal="right" vertical="center"/>
    </xf>
    <xf numFmtId="4" fontId="172" fillId="52" borderId="98" applyNumberFormat="0" applyProtection="0">
      <alignment horizontal="right" vertical="center"/>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30" fillId="48" borderId="83"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4" fontId="43" fillId="14" borderId="98" applyNumberFormat="0" applyProtection="0">
      <alignment horizontal="left" vertical="center" indent="1"/>
    </xf>
    <xf numFmtId="0" fontId="62" fillId="48" borderId="83" applyNumberFormat="0" applyProtection="0">
      <alignment horizontal="left" vertical="top" indent="1"/>
    </xf>
    <xf numFmtId="0" fontId="62" fillId="48" borderId="83" applyNumberFormat="0" applyProtection="0">
      <alignment horizontal="left" vertical="top" indent="1"/>
    </xf>
    <xf numFmtId="0" fontId="62" fillId="48" borderId="83" applyNumberFormat="0" applyProtection="0">
      <alignment horizontal="left" vertical="top" indent="1"/>
    </xf>
    <xf numFmtId="4" fontId="174" fillId="50" borderId="106" applyNumberFormat="0" applyProtection="0">
      <alignment horizontal="left" vertical="center" indent="1"/>
    </xf>
    <xf numFmtId="4" fontId="174" fillId="50" borderId="106" applyNumberFormat="0" applyProtection="0">
      <alignment horizontal="left" vertical="center" indent="1"/>
    </xf>
    <xf numFmtId="4" fontId="174" fillId="50" borderId="106" applyNumberFormat="0" applyProtection="0">
      <alignment horizontal="left" vertical="center" indent="1"/>
    </xf>
    <xf numFmtId="0" fontId="43" fillId="113" borderId="74"/>
    <xf numFmtId="0" fontId="43" fillId="113" borderId="74"/>
    <xf numFmtId="0" fontId="43" fillId="113" borderId="74"/>
    <xf numFmtId="4" fontId="175" fillId="84" borderId="98" applyNumberFormat="0" applyProtection="0">
      <alignment horizontal="right" vertical="center"/>
    </xf>
    <xf numFmtId="4" fontId="175" fillId="84" borderId="98" applyNumberFormat="0" applyProtection="0">
      <alignment horizontal="right" vertical="center"/>
    </xf>
    <xf numFmtId="4" fontId="175" fillId="84" borderId="98" applyNumberFormat="0" applyProtection="0">
      <alignment horizontal="right" vertical="center"/>
    </xf>
    <xf numFmtId="0" fontId="146"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20" fillId="0" borderId="8" applyNumberFormat="0" applyFill="0" applyAlignment="0" applyProtection="0"/>
    <xf numFmtId="0" fontId="20" fillId="0" borderId="109" applyNumberFormat="0" applyFill="0" applyAlignment="0" applyProtection="0"/>
    <xf numFmtId="0" fontId="20" fillId="0" borderId="109" applyNumberFormat="0" applyFill="0" applyAlignment="0" applyProtection="0"/>
    <xf numFmtId="0" fontId="20" fillId="0" borderId="8" applyNumberFormat="0" applyFill="0" applyAlignment="0" applyProtection="0"/>
    <xf numFmtId="0" fontId="20" fillId="0" borderId="109" applyNumberFormat="0" applyFill="0" applyAlignment="0" applyProtection="0"/>
    <xf numFmtId="0" fontId="20" fillId="0" borderId="8" applyNumberFormat="0" applyFill="0" applyAlignment="0" applyProtection="0"/>
    <xf numFmtId="0" fontId="20" fillId="0" borderId="109" applyNumberFormat="0" applyFill="0" applyAlignment="0" applyProtection="0"/>
    <xf numFmtId="0" fontId="20" fillId="0" borderId="8" applyNumberFormat="0" applyFill="0" applyAlignment="0" applyProtection="0"/>
    <xf numFmtId="0" fontId="79" fillId="0" borderId="93" applyNumberFormat="0" applyFill="0" applyAlignment="0" applyProtection="0"/>
    <xf numFmtId="0" fontId="20" fillId="0" borderId="8" applyNumberFormat="0" applyFill="0" applyAlignment="0" applyProtection="0"/>
    <xf numFmtId="0" fontId="79" fillId="0" borderId="93" applyNumberFormat="0" applyFill="0" applyAlignment="0" applyProtection="0"/>
    <xf numFmtId="0" fontId="20" fillId="0" borderId="109" applyNumberFormat="0" applyFill="0" applyAlignment="0" applyProtection="0"/>
    <xf numFmtId="0" fontId="20" fillId="0" borderId="8" applyNumberFormat="0" applyFill="0" applyAlignment="0" applyProtection="0"/>
    <xf numFmtId="0" fontId="79" fillId="0" borderId="93" applyNumberFormat="0" applyFill="0" applyAlignment="0" applyProtection="0"/>
    <xf numFmtId="0" fontId="176" fillId="0" borderId="93" applyNumberFormat="0" applyFill="0" applyAlignment="0" applyProtection="0"/>
    <xf numFmtId="0" fontId="20" fillId="0" borderId="109" applyNumberFormat="0" applyFill="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21" fillId="0" borderId="0" applyNumberFormat="0" applyFill="0" applyBorder="0" applyAlignment="0" applyProtection="0"/>
    <xf numFmtId="0" fontId="1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177" fillId="0" borderId="0" applyNumberFormat="0" applyFill="0" applyBorder="0" applyAlignment="0" applyProtection="0"/>
    <xf numFmtId="0" fontId="78" fillId="0" borderId="0" applyNumberFormat="0" applyFill="0" applyBorder="0" applyAlignment="0" applyProtection="0"/>
    <xf numFmtId="0" fontId="178" fillId="0" borderId="0" applyNumberFormat="0" applyFill="0" applyBorder="0" applyAlignment="0" applyProtection="0"/>
    <xf numFmtId="0" fontId="177" fillId="0" borderId="0" applyNumberFormat="0" applyFill="0" applyBorder="0" applyAlignment="0" applyProtection="0"/>
    <xf numFmtId="9" fontId="4" fillId="0" borderId="0" applyFont="0" applyFill="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9" fillId="1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8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5" borderId="0" applyNumberFormat="0" applyBorder="0" applyAlignment="0" applyProtection="0"/>
    <xf numFmtId="0" fontId="134" fillId="84" borderId="1" applyNumberFormat="0" applyAlignment="0" applyProtection="0"/>
    <xf numFmtId="0" fontId="134" fillId="84" borderId="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35" fillId="0" borderId="0" applyFont="0" applyFill="0" applyBorder="0" applyAlignment="0" applyProtection="0"/>
    <xf numFmtId="44" fontId="135" fillId="0" borderId="0" applyFont="0" applyFill="0" applyBorder="0" applyAlignment="0" applyProtection="0"/>
    <xf numFmtId="44" fontId="9" fillId="0" borderId="0" applyFont="0" applyFill="0" applyBorder="0" applyAlignment="0" applyProtection="0"/>
    <xf numFmtId="0" fontId="15" fillId="6" borderId="0" applyNumberFormat="0" applyBorder="0" applyAlignment="0" applyProtection="0"/>
    <xf numFmtId="0" fontId="137" fillId="0" borderId="94" applyNumberFormat="0" applyFill="0" applyAlignment="0" applyProtection="0"/>
    <xf numFmtId="0" fontId="138" fillId="0" borderId="95" applyNumberFormat="0" applyFill="0" applyAlignment="0" applyProtection="0"/>
    <xf numFmtId="0" fontId="139" fillId="0" borderId="96" applyNumberFormat="0" applyFill="0" applyAlignment="0" applyProtection="0"/>
    <xf numFmtId="0" fontId="140" fillId="23" borderId="1" applyNumberFormat="0" applyAlignment="0" applyProtection="0"/>
    <xf numFmtId="0" fontId="141" fillId="54" borderId="86" applyNumberFormat="0" applyAlignment="0" applyProtection="0"/>
    <xf numFmtId="0" fontId="141" fillId="54" borderId="86" applyNumberFormat="0" applyAlignment="0" applyProtection="0"/>
    <xf numFmtId="0" fontId="140" fillId="23" borderId="1" applyNumberFormat="0" applyAlignment="0" applyProtection="0"/>
    <xf numFmtId="0" fontId="21" fillId="0" borderId="97" applyNumberFormat="0" applyFill="0" applyAlignment="0" applyProtection="0"/>
    <xf numFmtId="0" fontId="142" fillId="23" borderId="0" applyNumberFormat="0" applyBorder="0" applyAlignment="0" applyProtection="0"/>
    <xf numFmtId="180" fontId="4" fillId="0" borderId="0"/>
    <xf numFmtId="0" fontId="6" fillId="0" borderId="0"/>
    <xf numFmtId="0" fontId="6" fillId="0" borderId="0"/>
    <xf numFmtId="0" fontId="144" fillId="0" borderId="0"/>
    <xf numFmtId="0" fontId="144" fillId="0" borderId="0"/>
    <xf numFmtId="0" fontId="144" fillId="0" borderId="0"/>
    <xf numFmtId="0" fontId="6" fillId="0" borderId="0"/>
    <xf numFmtId="0" fontId="4" fillId="0" borderId="0"/>
    <xf numFmtId="0" fontId="82" fillId="0" borderId="0"/>
    <xf numFmtId="0" fontId="4"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6" fillId="24" borderId="6"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6" fillId="24" borderId="6"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4" fillId="38" borderId="82" applyNumberFormat="0" applyFont="0" applyAlignment="0" applyProtection="0"/>
    <xf numFmtId="0" fontId="145" fillId="84" borderId="7" applyNumberFormat="0" applyAlignment="0" applyProtection="0"/>
    <xf numFmtId="0" fontId="145" fillId="84" borderId="7"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 fillId="85" borderId="7" applyNumberFormat="0" applyProtection="0">
      <alignment horizontal="left" vertical="center" indent="1"/>
    </xf>
    <xf numFmtId="0" fontId="146" fillId="0" borderId="0" applyNumberFormat="0" applyFill="0" applyBorder="0" applyAlignment="0" applyProtection="0"/>
    <xf numFmtId="0" fontId="20" fillId="0" borderId="99" applyNumberFormat="0" applyFill="0" applyAlignment="0" applyProtection="0"/>
    <xf numFmtId="0" fontId="20" fillId="0" borderId="99" applyNumberFormat="0" applyFill="0" applyAlignment="0" applyProtection="0"/>
    <xf numFmtId="0" fontId="136" fillId="0" borderId="0"/>
    <xf numFmtId="43" fontId="136" fillId="0" borderId="0" applyFont="0" applyFill="0" applyBorder="0" applyAlignment="0" applyProtection="0"/>
    <xf numFmtId="0" fontId="4" fillId="0" borderId="0"/>
    <xf numFmtId="0" fontId="4" fillId="0" borderId="0"/>
    <xf numFmtId="0" fontId="140" fillId="23" borderId="1" applyNumberFormat="0" applyAlignment="0" applyProtection="0"/>
    <xf numFmtId="0" fontId="6" fillId="0" borderId="0"/>
    <xf numFmtId="0" fontId="6" fillId="0" borderId="0"/>
    <xf numFmtId="0" fontId="6" fillId="0" borderId="0"/>
    <xf numFmtId="0" fontId="6" fillId="0" borderId="0"/>
    <xf numFmtId="0" fontId="6" fillId="0" borderId="0"/>
    <xf numFmtId="0" fontId="74" fillId="0" borderId="0"/>
    <xf numFmtId="43" fontId="74" fillId="0" borderId="0" applyFont="0" applyFill="0" applyBorder="0" applyAlignment="0" applyProtection="0"/>
    <xf numFmtId="4" fontId="30" fillId="48" borderId="83" applyNumberFormat="0" applyProtection="0">
      <alignment horizontal="left" vertical="center" indent="1"/>
    </xf>
    <xf numFmtId="0" fontId="74" fillId="0" borderId="0"/>
    <xf numFmtId="0" fontId="91" fillId="0" borderId="76">
      <alignment horizontal="left" vertical="center"/>
    </xf>
    <xf numFmtId="0" fontId="92" fillId="0" borderId="57">
      <alignment horizontal="center"/>
    </xf>
    <xf numFmtId="10" fontId="43" fillId="22" borderId="74" applyNumberFormat="0" applyBorder="0" applyAlignment="0" applyProtection="0"/>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2" fillId="45" borderId="111" applyNumberFormat="0" applyProtection="0">
      <alignment horizontal="left" vertical="center" indent="1"/>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100" fillId="1" borderId="76" applyNumberFormat="0" applyFont="0" applyAlignment="0">
      <alignment horizontal="center"/>
    </xf>
    <xf numFmtId="0" fontId="24" fillId="2" borderId="112" applyFill="0">
      <alignment horizontal="left" vertical="top" wrapText="1"/>
    </xf>
    <xf numFmtId="0" fontId="91" fillId="0" borderId="110" applyNumberFormat="0" applyAlignment="0" applyProtection="0">
      <alignment horizontal="left" vertical="center"/>
    </xf>
    <xf numFmtId="0" fontId="91" fillId="0" borderId="113">
      <alignment horizontal="left" vertical="center"/>
    </xf>
    <xf numFmtId="10" fontId="43" fillId="22" borderId="112" applyNumberFormat="0" applyBorder="0" applyAlignment="0" applyProtection="0"/>
    <xf numFmtId="4" fontId="32" fillId="45" borderId="114" applyNumberFormat="0" applyProtection="0">
      <alignment horizontal="left" vertical="center" indent="1"/>
    </xf>
    <xf numFmtId="0" fontId="100" fillId="1" borderId="113" applyNumberFormat="0" applyFont="0" applyAlignment="0">
      <alignment horizontal="center"/>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0" fillId="19" borderId="83" applyNumberFormat="0" applyProtection="0">
      <alignment horizontal="right" vertical="center"/>
    </xf>
    <xf numFmtId="4" fontId="30" fillId="8" borderId="83" applyNumberFormat="0" applyProtection="0">
      <alignment horizontal="right" vertical="center"/>
    </xf>
    <xf numFmtId="4" fontId="32" fillId="42" borderId="83" applyNumberFormat="0" applyProtection="0">
      <alignment horizontal="left" vertical="center" indent="1"/>
    </xf>
    <xf numFmtId="4" fontId="30" fillId="8" borderId="83" applyNumberFormat="0" applyProtection="0">
      <alignment horizontal="right" vertical="center"/>
    </xf>
    <xf numFmtId="4" fontId="30" fillId="15" borderId="83" applyNumberFormat="0" applyProtection="0">
      <alignment horizontal="right" vertical="center"/>
    </xf>
    <xf numFmtId="4" fontId="32" fillId="42" borderId="83" applyNumberFormat="0" applyProtection="0">
      <alignment horizontal="left" vertical="center" indent="1"/>
    </xf>
    <xf numFmtId="4" fontId="30" fillId="48" borderId="83" applyNumberFormat="0" applyProtection="0">
      <alignment horizontal="right" vertical="center"/>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5" borderId="83" applyNumberFormat="0" applyProtection="0">
      <alignment horizontal="right" vertical="center"/>
    </xf>
    <xf numFmtId="4" fontId="30" fillId="11" borderId="83" applyNumberFormat="0" applyProtection="0">
      <alignment horizontal="right" vertical="center"/>
    </xf>
    <xf numFmtId="4" fontId="30" fillId="17"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5" borderId="114"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91" fillId="0" borderId="110" applyNumberFormat="0" applyAlignment="0" applyProtection="0">
      <alignment horizontal="left" vertical="center"/>
    </xf>
    <xf numFmtId="10" fontId="43" fillId="22" borderId="74" applyNumberFormat="0" applyBorder="0" applyAlignment="0" applyProtection="0"/>
    <xf numFmtId="4" fontId="32" fillId="23" borderId="83" applyNumberFormat="0" applyProtection="0">
      <alignment vertical="center"/>
    </xf>
    <xf numFmtId="4" fontId="102" fillId="42" borderId="83" applyNumberFormat="0" applyProtection="0">
      <alignment vertical="center"/>
    </xf>
    <xf numFmtId="0" fontId="32" fillId="42" borderId="83" applyNumberFormat="0" applyProtection="0">
      <alignment horizontal="left" vertical="top" indent="1"/>
    </xf>
    <xf numFmtId="4" fontId="30" fillId="3" borderId="83" applyNumberFormat="0" applyProtection="0">
      <alignment horizontal="right" vertical="center"/>
    </xf>
    <xf numFmtId="4" fontId="30" fillId="17"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2" fillId="45" borderId="114" applyNumberFormat="0" applyProtection="0">
      <alignment horizontal="left" vertical="center" indent="1"/>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4" fontId="30" fillId="11" borderId="83" applyNumberFormat="0" applyProtection="0">
      <alignment horizontal="right" vertical="center"/>
    </xf>
    <xf numFmtId="0" fontId="6" fillId="43" borderId="83" applyNumberFormat="0" applyProtection="0">
      <alignment horizontal="left" vertical="top" indent="1"/>
    </xf>
    <xf numFmtId="4" fontId="30" fillId="46" borderId="83" applyNumberFormat="0" applyProtection="0">
      <alignment horizontal="right" vertical="center"/>
    </xf>
    <xf numFmtId="0" fontId="91" fillId="0" borderId="110" applyNumberFormat="0" applyAlignment="0" applyProtection="0">
      <alignment horizontal="left" vertical="center"/>
    </xf>
    <xf numFmtId="4" fontId="32" fillId="45" borderId="114" applyNumberFormat="0" applyProtection="0">
      <alignment horizontal="left" vertical="center" indent="1"/>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91" fillId="0" borderId="110" applyNumberFormat="0" applyAlignment="0" applyProtection="0">
      <alignment horizontal="left" vertical="center"/>
    </xf>
    <xf numFmtId="0" fontId="91" fillId="0" borderId="76">
      <alignment horizontal="left" vertical="center"/>
    </xf>
    <xf numFmtId="4" fontId="32" fillId="45" borderId="114" applyNumberFormat="0" applyProtection="0">
      <alignment horizontal="left" vertical="center" indent="1"/>
    </xf>
    <xf numFmtId="0" fontId="100" fillId="1" borderId="76" applyNumberFormat="0" applyFont="0" applyAlignment="0">
      <alignment horizontal="center"/>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91" fillId="0" borderId="76">
      <alignment horizontal="left" vertical="center"/>
    </xf>
    <xf numFmtId="10" fontId="43" fillId="22" borderId="74" applyNumberFormat="0" applyBorder="0" applyAlignment="0" applyProtection="0"/>
    <xf numFmtId="4" fontId="32" fillId="45" borderId="114" applyNumberFormat="0" applyProtection="0">
      <alignment horizontal="left" vertical="center" indent="1"/>
    </xf>
    <xf numFmtId="0" fontId="100" fillId="1" borderId="76" applyNumberFormat="0" applyFont="0" applyAlignment="0">
      <alignment horizontal="center"/>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24" fillId="2" borderId="74" applyFill="0">
      <alignment horizontal="left" vertical="top" wrapText="1"/>
    </xf>
    <xf numFmtId="0" fontId="91" fillId="0" borderId="110" applyNumberFormat="0" applyAlignment="0" applyProtection="0">
      <alignment horizontal="left" vertical="center"/>
    </xf>
    <xf numFmtId="0" fontId="91" fillId="0" borderId="76">
      <alignment horizontal="left" vertical="center"/>
    </xf>
    <xf numFmtId="10" fontId="43" fillId="22" borderId="74" applyNumberFormat="0" applyBorder="0" applyAlignment="0" applyProtection="0"/>
    <xf numFmtId="4" fontId="32" fillId="45" borderId="114" applyNumberFormat="0" applyProtection="0">
      <alignment horizontal="left" vertical="center" indent="1"/>
    </xf>
    <xf numFmtId="0" fontId="100" fillId="1" borderId="76" applyNumberFormat="0" applyFont="0" applyAlignment="0">
      <alignment horizontal="center"/>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0" fontId="24" fillId="2" borderId="74" applyFill="0">
      <alignment horizontal="left" vertical="top" wrapText="1"/>
    </xf>
    <xf numFmtId="0" fontId="91" fillId="0" borderId="76">
      <alignment horizontal="left" vertical="center"/>
    </xf>
    <xf numFmtId="10" fontId="43" fillId="22" borderId="74" applyNumberFormat="0" applyBorder="0" applyAlignment="0" applyProtection="0"/>
    <xf numFmtId="4" fontId="32" fillId="45" borderId="114" applyNumberFormat="0" applyProtection="0">
      <alignment horizontal="left" vertical="center" indent="1"/>
    </xf>
    <xf numFmtId="0" fontId="100" fillId="1" borderId="76" applyNumberFormat="0" applyFont="0" applyAlignment="0">
      <alignment horizontal="center"/>
    </xf>
    <xf numFmtId="4" fontId="104" fillId="46" borderId="83" applyNumberFormat="0" applyProtection="0">
      <alignment horizontal="right" vertical="center"/>
    </xf>
    <xf numFmtId="4" fontId="30" fillId="48" borderId="83" applyNumberFormat="0" applyProtection="0">
      <alignment horizontal="right" vertical="center"/>
    </xf>
    <xf numFmtId="4" fontId="30" fillId="11" borderId="83" applyNumberFormat="0" applyProtection="0">
      <alignment horizontal="right" vertical="center"/>
    </xf>
    <xf numFmtId="0" fontId="30" fillId="22" borderId="83" applyNumberFormat="0" applyProtection="0">
      <alignment horizontal="left" vertical="top" indent="1"/>
    </xf>
    <xf numFmtId="4" fontId="30" fillId="48" borderId="83" applyNumberFormat="0" applyProtection="0">
      <alignment horizontal="left" vertical="center" indent="1"/>
    </xf>
    <xf numFmtId="4" fontId="30" fillId="46" borderId="83" applyNumberFormat="0" applyProtection="0">
      <alignment horizontal="right" vertical="center"/>
    </xf>
    <xf numFmtId="4" fontId="30" fillId="22" borderId="83" applyNumberFormat="0" applyProtection="0">
      <alignment horizontal="left" vertical="center" indent="1"/>
    </xf>
    <xf numFmtId="4" fontId="104" fillId="22" borderId="83" applyNumberFormat="0" applyProtection="0">
      <alignment vertical="center"/>
    </xf>
    <xf numFmtId="4" fontId="30" fillId="22" borderId="83" applyNumberFormat="0" applyProtection="0">
      <alignment vertical="center"/>
    </xf>
    <xf numFmtId="0" fontId="6" fillId="49" borderId="83" applyNumberFormat="0" applyProtection="0">
      <alignment horizontal="left" vertical="top" indent="1"/>
    </xf>
    <xf numFmtId="0" fontId="6" fillId="49" borderId="83" applyNumberFormat="0" applyProtection="0">
      <alignment horizontal="left" vertical="center" indent="1"/>
    </xf>
    <xf numFmtId="0" fontId="6" fillId="39" borderId="83" applyNumberFormat="0" applyProtection="0">
      <alignment horizontal="left" vertical="top" indent="1"/>
    </xf>
    <xf numFmtId="0" fontId="6" fillId="39" borderId="83" applyNumberFormat="0" applyProtection="0">
      <alignment horizontal="left" vertical="center" indent="1"/>
    </xf>
    <xf numFmtId="0" fontId="6" fillId="43" borderId="83" applyNumberFormat="0" applyProtection="0">
      <alignment horizontal="left" vertical="top" indent="1"/>
    </xf>
    <xf numFmtId="0" fontId="6" fillId="43" borderId="83" applyNumberFormat="0" applyProtection="0">
      <alignment horizontal="left" vertical="center" indent="1"/>
    </xf>
    <xf numFmtId="0" fontId="6" fillId="47" borderId="83" applyNumberFormat="0" applyProtection="0">
      <alignment horizontal="left" vertical="top" indent="1"/>
    </xf>
    <xf numFmtId="0" fontId="6" fillId="47" borderId="83" applyNumberFormat="0" applyProtection="0">
      <alignment horizontal="left" vertical="center" indent="1"/>
    </xf>
    <xf numFmtId="4" fontId="30" fillId="9" borderId="83" applyNumberFormat="0" applyProtection="0">
      <alignment horizontal="right" vertical="center"/>
    </xf>
    <xf numFmtId="4" fontId="30" fillId="44" borderId="83" applyNumberFormat="0" applyProtection="0">
      <alignment horizontal="right" vertical="center"/>
    </xf>
    <xf numFmtId="4" fontId="30" fillId="18" borderId="83" applyNumberFormat="0" applyProtection="0">
      <alignment horizontal="right" vertical="center"/>
    </xf>
    <xf numFmtId="4" fontId="30" fillId="19" borderId="83" applyNumberFormat="0" applyProtection="0">
      <alignment horizontal="right" vertical="center"/>
    </xf>
    <xf numFmtId="4" fontId="30" fillId="15" borderId="83" applyNumberFormat="0" applyProtection="0">
      <alignment horizontal="right" vertical="center"/>
    </xf>
    <xf numFmtId="4" fontId="30" fillId="17" borderId="83" applyNumberFormat="0" applyProtection="0">
      <alignment horizontal="right" vertical="center"/>
    </xf>
    <xf numFmtId="4" fontId="30" fillId="8" borderId="83" applyNumberFormat="0" applyProtection="0">
      <alignment horizontal="right" vertical="center"/>
    </xf>
    <xf numFmtId="4" fontId="30" fillId="3" borderId="83" applyNumberFormat="0" applyProtection="0">
      <alignment horizontal="right" vertical="center"/>
    </xf>
    <xf numFmtId="0" fontId="32" fillId="42" borderId="83" applyNumberFormat="0" applyProtection="0">
      <alignment horizontal="left" vertical="top" indent="1"/>
    </xf>
    <xf numFmtId="4" fontId="32" fillId="42" borderId="83" applyNumberFormat="0" applyProtection="0">
      <alignment horizontal="left" vertical="center" indent="1"/>
    </xf>
    <xf numFmtId="4" fontId="102" fillId="42" borderId="83" applyNumberFormat="0" applyProtection="0">
      <alignment vertical="center"/>
    </xf>
    <xf numFmtId="4" fontId="32" fillId="23" borderId="83" applyNumberFormat="0" applyProtection="0">
      <alignment vertical="center"/>
    </xf>
    <xf numFmtId="0" fontId="30" fillId="43" borderId="83" applyNumberFormat="0" applyProtection="0">
      <alignment horizontal="left" vertical="top" indent="1"/>
    </xf>
    <xf numFmtId="4" fontId="106" fillId="46" borderId="83" applyNumberFormat="0" applyProtection="0">
      <alignment horizontal="right" vertical="center"/>
    </xf>
    <xf numFmtId="4" fontId="32" fillId="23" borderId="83" applyNumberFormat="0" applyProtection="0">
      <alignment vertical="center"/>
    </xf>
    <xf numFmtId="4" fontId="102" fillId="42" borderId="83" applyNumberFormat="0" applyProtection="0">
      <alignment vertical="center"/>
    </xf>
    <xf numFmtId="4" fontId="32" fillId="42" borderId="83" applyNumberFormat="0" applyProtection="0">
      <alignment horizontal="left" vertical="center" indent="1"/>
    </xf>
    <xf numFmtId="0" fontId="32" fillId="42" borderId="83" applyNumberFormat="0" applyProtection="0">
      <alignment horizontal="left" vertical="top" indent="1"/>
    </xf>
    <xf numFmtId="4" fontId="30" fillId="3" borderId="83" applyNumberFormat="0" applyProtection="0">
      <alignment horizontal="right" vertical="center"/>
    </xf>
    <xf numFmtId="4" fontId="30" fillId="8" borderId="83" applyNumberFormat="0" applyProtection="0">
      <alignment horizontal="right" vertical="center"/>
    </xf>
    <xf numFmtId="4" fontId="30" fillId="17" borderId="83" applyNumberFormat="0" applyProtection="0">
      <alignment horizontal="right" vertical="center"/>
    </xf>
    <xf numFmtId="4" fontId="30" fillId="11" borderId="83" applyNumberFormat="0" applyProtection="0">
      <alignment horizontal="right" vertical="center"/>
    </xf>
    <xf numFmtId="4" fontId="30" fillId="15" borderId="83" applyNumberFormat="0" applyProtection="0">
      <alignment horizontal="right" vertical="center"/>
    </xf>
    <xf numFmtId="4" fontId="30" fillId="19" borderId="83" applyNumberFormat="0" applyProtection="0">
      <alignment horizontal="right" vertical="center"/>
    </xf>
    <xf numFmtId="4" fontId="30" fillId="18" borderId="83" applyNumberFormat="0" applyProtection="0">
      <alignment horizontal="right" vertical="center"/>
    </xf>
    <xf numFmtId="4" fontId="30" fillId="44" borderId="83" applyNumberFormat="0" applyProtection="0">
      <alignment horizontal="right" vertical="center"/>
    </xf>
    <xf numFmtId="4" fontId="30" fillId="9" borderId="83" applyNumberFormat="0" applyProtection="0">
      <alignment horizontal="right" vertical="center"/>
    </xf>
    <xf numFmtId="4" fontId="30" fillId="48" borderId="83" applyNumberFormat="0" applyProtection="0">
      <alignment horizontal="right" vertical="center"/>
    </xf>
    <xf numFmtId="0" fontId="6" fillId="47" borderId="83" applyNumberFormat="0" applyProtection="0">
      <alignment horizontal="left" vertical="center" indent="1"/>
    </xf>
    <xf numFmtId="0" fontId="6" fillId="47" borderId="83" applyNumberFormat="0" applyProtection="0">
      <alignment horizontal="left" vertical="top" indent="1"/>
    </xf>
    <xf numFmtId="0" fontId="6" fillId="43" borderId="83" applyNumberFormat="0" applyProtection="0">
      <alignment horizontal="left" vertical="center" indent="1"/>
    </xf>
    <xf numFmtId="0" fontId="6" fillId="43" borderId="83" applyNumberFormat="0" applyProtection="0">
      <alignment horizontal="left" vertical="top" indent="1"/>
    </xf>
    <xf numFmtId="0" fontId="6" fillId="39" borderId="83" applyNumberFormat="0" applyProtection="0">
      <alignment horizontal="left" vertical="center" indent="1"/>
    </xf>
    <xf numFmtId="0" fontId="6" fillId="39" borderId="83" applyNumberFormat="0" applyProtection="0">
      <alignment horizontal="left" vertical="top" indent="1"/>
    </xf>
    <xf numFmtId="0" fontId="6" fillId="49" borderId="83" applyNumberFormat="0" applyProtection="0">
      <alignment horizontal="left" vertical="center" indent="1"/>
    </xf>
    <xf numFmtId="0" fontId="6" fillId="49" borderId="83" applyNumberFormat="0" applyProtection="0">
      <alignment horizontal="left" vertical="top" indent="1"/>
    </xf>
    <xf numFmtId="4" fontId="30" fillId="22" borderId="83" applyNumberFormat="0" applyProtection="0">
      <alignment vertical="center"/>
    </xf>
    <xf numFmtId="4" fontId="104" fillId="22" borderId="83" applyNumberFormat="0" applyProtection="0">
      <alignment vertical="center"/>
    </xf>
    <xf numFmtId="4" fontId="30" fillId="22" borderId="83" applyNumberFormat="0" applyProtection="0">
      <alignment horizontal="left" vertical="center" indent="1"/>
    </xf>
    <xf numFmtId="0" fontId="30" fillId="22" borderId="83" applyNumberFormat="0" applyProtection="0">
      <alignment horizontal="left" vertical="top" indent="1"/>
    </xf>
    <xf numFmtId="4" fontId="30" fillId="46" borderId="83" applyNumberFormat="0" applyProtection="0">
      <alignment horizontal="right" vertical="center"/>
    </xf>
    <xf numFmtId="4" fontId="104" fillId="46" borderId="83" applyNumberFormat="0" applyProtection="0">
      <alignment horizontal="right" vertical="center"/>
    </xf>
    <xf numFmtId="4" fontId="30" fillId="48" borderId="83" applyNumberFormat="0" applyProtection="0">
      <alignment horizontal="left" vertical="center" indent="1"/>
    </xf>
    <xf numFmtId="0" fontId="30" fillId="43" borderId="83" applyNumberFormat="0" applyProtection="0">
      <alignment horizontal="left" vertical="top" indent="1"/>
    </xf>
    <xf numFmtId="4" fontId="106" fillId="46" borderId="83" applyNumberFormat="0" applyProtection="0">
      <alignment horizontal="right" vertical="center"/>
    </xf>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0" fontId="9" fillId="0" borderId="0"/>
    <xf numFmtId="0" fontId="9" fillId="0" borderId="0"/>
    <xf numFmtId="0" fontId="6" fillId="0" borderId="0"/>
    <xf numFmtId="0" fontId="117" fillId="0" borderId="0"/>
    <xf numFmtId="0" fontId="6" fillId="0" borderId="0"/>
    <xf numFmtId="0" fontId="6" fillId="0" borderId="0"/>
    <xf numFmtId="0" fontId="6" fillId="0" borderId="0"/>
    <xf numFmtId="0" fontId="117" fillId="0" borderId="0"/>
    <xf numFmtId="9" fontId="6" fillId="0" borderId="0" applyFont="0" applyFill="0" applyBorder="0" applyAlignment="0" applyProtection="0"/>
    <xf numFmtId="9" fontId="6" fillId="0" borderId="0" applyFont="0" applyFill="0" applyBorder="0" applyAlignment="0" applyProtection="0"/>
    <xf numFmtId="0" fontId="117" fillId="0" borderId="0"/>
    <xf numFmtId="0" fontId="9" fillId="0" borderId="0"/>
    <xf numFmtId="0" fontId="117" fillId="0" borderId="0"/>
    <xf numFmtId="0" fontId="6" fillId="0" borderId="0"/>
    <xf numFmtId="0" fontId="81" fillId="0" borderId="0"/>
    <xf numFmtId="0" fontId="6" fillId="0" borderId="0"/>
    <xf numFmtId="0" fontId="9" fillId="0" borderId="0"/>
    <xf numFmtId="0" fontId="9" fillId="0" borderId="0"/>
    <xf numFmtId="0" fontId="9" fillId="0" borderId="0"/>
    <xf numFmtId="0" fontId="9" fillId="0" borderId="0"/>
    <xf numFmtId="0" fontId="6" fillId="0" borderId="0"/>
    <xf numFmtId="4" fontId="30" fillId="48" borderId="83" applyNumberFormat="0" applyProtection="0">
      <alignment horizontal="left" vertical="center" indent="1"/>
    </xf>
    <xf numFmtId="4" fontId="30" fillId="48" borderId="83" applyNumberFormat="0" applyProtection="0">
      <alignment horizontal="left" vertical="center" indent="1"/>
    </xf>
    <xf numFmtId="0" fontId="6" fillId="0" borderId="0"/>
    <xf numFmtId="9" fontId="113" fillId="0" borderId="0" applyFont="0" applyFill="0" applyBorder="0" applyAlignment="0" applyProtection="0"/>
    <xf numFmtId="43" fontId="6" fillId="0" borderId="0" applyFont="0" applyFill="0" applyBorder="0" applyAlignment="0" applyProtection="0"/>
    <xf numFmtId="0" fontId="6" fillId="38" borderId="82" applyNumberFormat="0" applyFont="0" applyAlignment="0" applyProtection="0"/>
    <xf numFmtId="44" fontId="72" fillId="0" borderId="0" applyFont="0" applyFill="0" applyBorder="0" applyAlignment="0" applyProtection="0"/>
    <xf numFmtId="0" fontId="3" fillId="0" borderId="0"/>
    <xf numFmtId="9" fontId="3" fillId="0" borderId="0" applyFont="0" applyFill="0" applyBorder="0" applyAlignment="0" applyProtection="0"/>
    <xf numFmtId="0" fontId="32" fillId="42" borderId="131" applyNumberFormat="0" applyProtection="0">
      <alignment horizontal="left" vertical="top" indent="1"/>
    </xf>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 fontId="30" fillId="48" borderId="131" applyNumberFormat="0" applyProtection="0">
      <alignment horizontal="left" vertical="center" indent="1"/>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8" borderId="82" applyNumberFormat="0" applyFont="0" applyAlignment="0" applyProtection="0"/>
    <xf numFmtId="4" fontId="30" fillId="9" borderId="131" applyNumberFormat="0" applyProtection="0">
      <alignment horizontal="right" vertical="center"/>
    </xf>
    <xf numFmtId="4" fontId="30" fillId="44" borderId="131" applyNumberFormat="0" applyProtection="0">
      <alignment horizontal="right" vertical="center"/>
    </xf>
    <xf numFmtId="9" fontId="3" fillId="0" borderId="0" applyFont="0" applyFill="0" applyBorder="0" applyAlignment="0" applyProtection="0"/>
    <xf numFmtId="4" fontId="30" fillId="15" borderId="131" applyNumberFormat="0" applyProtection="0">
      <alignment horizontal="righ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3" fillId="0" borderId="0"/>
    <xf numFmtId="4" fontId="30" fillId="48" borderId="115" applyNumberFormat="0" applyProtection="0">
      <alignment horizontal="left" vertical="center" indent="1"/>
    </xf>
    <xf numFmtId="0" fontId="3" fillId="55" borderId="0" applyNumberFormat="0" applyBorder="0" applyAlignment="0" applyProtection="0"/>
    <xf numFmtId="0" fontId="3" fillId="0" borderId="0"/>
    <xf numFmtId="0" fontId="3" fillId="55" borderId="0" applyNumberFormat="0" applyBorder="0" applyAlignment="0" applyProtection="0"/>
    <xf numFmtId="0" fontId="3" fillId="55" borderId="0" applyNumberFormat="0" applyBorder="0" applyAlignment="0" applyProtection="0"/>
    <xf numFmtId="4" fontId="30" fillId="48" borderId="115" applyNumberFormat="0" applyProtection="0">
      <alignment horizontal="left" vertical="center" indent="1"/>
    </xf>
    <xf numFmtId="0" fontId="3" fillId="0" borderId="0"/>
    <xf numFmtId="0" fontId="3" fillId="0" borderId="0"/>
    <xf numFmtId="4" fontId="30" fillId="48" borderId="115" applyNumberFormat="0" applyProtection="0">
      <alignment horizontal="left" vertical="center" indent="1"/>
    </xf>
    <xf numFmtId="43" fontId="3" fillId="0" borderId="0" applyFont="0" applyFill="0" applyBorder="0" applyAlignment="0" applyProtection="0"/>
    <xf numFmtId="0" fontId="3" fillId="0" borderId="0"/>
    <xf numFmtId="0" fontId="3" fillId="56" borderId="0" applyNumberFormat="0" applyBorder="0" applyAlignment="0" applyProtection="0"/>
    <xf numFmtId="4" fontId="30" fillId="48" borderId="115" applyNumberFormat="0" applyProtection="0">
      <alignment horizontal="left" vertical="center" indent="1"/>
    </xf>
    <xf numFmtId="0" fontId="3" fillId="38" borderId="82" applyNumberFormat="0" applyFont="0" applyAlignment="0" applyProtection="0"/>
    <xf numFmtId="0" fontId="3" fillId="0" borderId="0"/>
    <xf numFmtId="4" fontId="30" fillId="48" borderId="115" applyNumberFormat="0" applyProtection="0">
      <alignment horizontal="left" vertical="center" indent="1"/>
    </xf>
    <xf numFmtId="0" fontId="116" fillId="54" borderId="86" applyNumberFormat="0" applyAlignment="0" applyProtection="0"/>
    <xf numFmtId="0" fontId="128" fillId="58" borderId="90" applyNumberFormat="0" applyAlignment="0" applyProtection="0"/>
    <xf numFmtId="0" fontId="129" fillId="58" borderId="86" applyNumberFormat="0" applyAlignment="0" applyProtection="0"/>
    <xf numFmtId="0" fontId="3" fillId="38" borderId="82" applyNumberFormat="0" applyFont="0" applyAlignment="0" applyProtection="0"/>
    <xf numFmtId="0" fontId="79" fillId="0" borderId="93" applyNumberFormat="0" applyFill="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55"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80" borderId="0" applyNumberFormat="0" applyBorder="0" applyAlignment="0" applyProtection="0"/>
    <xf numFmtId="0" fontId="3" fillId="56" borderId="0" applyNumberFormat="0" applyBorder="0" applyAlignment="0" applyProtection="0"/>
    <xf numFmtId="0" fontId="3" fillId="81" borderId="0" applyNumberFormat="0" applyBorder="0" applyAlignment="0" applyProtection="0"/>
    <xf numFmtId="4" fontId="30" fillId="48" borderId="115" applyNumberFormat="0" applyProtection="0">
      <alignment horizontal="left" vertical="center" indent="1"/>
    </xf>
    <xf numFmtId="4" fontId="30" fillId="48" borderId="115" applyNumberFormat="0" applyProtection="0">
      <alignment horizontal="left" vertical="center" indent="1"/>
    </xf>
    <xf numFmtId="4" fontId="30" fillId="48" borderId="115" applyNumberFormat="0" applyProtection="0">
      <alignment horizontal="left" vertical="center" indent="1"/>
    </xf>
    <xf numFmtId="0" fontId="3" fillId="56" borderId="0" applyNumberFormat="0" applyBorder="0" applyAlignment="0" applyProtection="0"/>
    <xf numFmtId="0" fontId="3" fillId="74" borderId="0" applyNumberFormat="0" applyBorder="0" applyAlignment="0" applyProtection="0"/>
    <xf numFmtId="0" fontId="3" fillId="77" borderId="0" applyNumberFormat="0" applyBorder="0" applyAlignment="0" applyProtection="0"/>
    <xf numFmtId="43" fontId="3" fillId="0" borderId="0" applyFont="0" applyFill="0" applyBorder="0" applyAlignment="0" applyProtection="0"/>
    <xf numFmtId="4" fontId="30" fillId="48" borderId="115" applyNumberFormat="0" applyProtection="0">
      <alignment horizontal="left" vertical="center" indent="1"/>
    </xf>
    <xf numFmtId="4" fontId="30" fillId="48" borderId="115" applyNumberFormat="0" applyProtection="0">
      <alignment horizontal="left" vertical="center" indent="1"/>
    </xf>
    <xf numFmtId="0" fontId="3" fillId="0" borderId="0"/>
    <xf numFmtId="4" fontId="30" fillId="48" borderId="115" applyNumberFormat="0" applyProtection="0">
      <alignment horizontal="left" vertical="center" indent="1"/>
    </xf>
    <xf numFmtId="4" fontId="30" fillId="48" borderId="115" applyNumberFormat="0" applyProtection="0">
      <alignment horizontal="left" vertical="center" indent="1"/>
    </xf>
    <xf numFmtId="4" fontId="30" fillId="48" borderId="115" applyNumberFormat="0" applyProtection="0">
      <alignment horizontal="left" vertical="center" indent="1"/>
    </xf>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134" fillId="84" borderId="117" applyNumberFormat="0" applyAlignment="0" applyProtection="0"/>
    <xf numFmtId="0" fontId="134" fillId="84" borderId="11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23" borderId="117" applyNumberFormat="0" applyAlignment="0" applyProtection="0"/>
    <xf numFmtId="0" fontId="140" fillId="23" borderId="117" applyNumberFormat="0" applyAlignment="0" applyProtection="0"/>
    <xf numFmtId="18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30" fillId="48" borderId="131" applyNumberFormat="0" applyProtection="0">
      <alignment horizontal="left" vertical="center" indent="1"/>
    </xf>
    <xf numFmtId="4" fontId="30" fillId="48" borderId="131" applyNumberFormat="0" applyProtection="0">
      <alignment horizontal="left" vertical="center" indent="1"/>
    </xf>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6" fillId="24" borderId="116"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6" fillId="24" borderId="116"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145" fillId="84" borderId="118" applyNumberFormat="0" applyAlignment="0" applyProtection="0"/>
    <xf numFmtId="0" fontId="145" fillId="84" borderId="118" applyNumberFormat="0" applyAlignment="0" applyProtection="0"/>
    <xf numFmtId="4" fontId="30" fillId="11" borderId="131" applyNumberFormat="0" applyProtection="0">
      <alignment horizontal="right" vertical="center"/>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9" fontId="3" fillId="0" borderId="0" applyFont="0" applyFill="0" applyBorder="0" applyAlignment="0" applyProtection="0"/>
    <xf numFmtId="9" fontId="3" fillId="0" borderId="0" applyFont="0" applyFill="0" applyBorder="0" applyAlignment="0" applyProtection="0"/>
    <xf numFmtId="4" fontId="43" fillId="14" borderId="119" applyNumberFormat="0" applyProtection="0">
      <alignment horizontal="left" vertical="center" indent="1"/>
    </xf>
    <xf numFmtId="0" fontId="6" fillId="85" borderId="118" applyNumberFormat="0" applyProtection="0">
      <alignment horizontal="left" vertical="center" indent="1"/>
    </xf>
    <xf numFmtId="0" fontId="20" fillId="0" borderId="120" applyNumberFormat="0" applyFill="0" applyAlignment="0" applyProtection="0"/>
    <xf numFmtId="0" fontId="20" fillId="0" borderId="120" applyNumberFormat="0" applyFill="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12" fillId="20" borderId="117" applyNumberFormat="0" applyAlignment="0" applyProtection="0"/>
    <xf numFmtId="0" fontId="156" fillId="106" borderId="119" applyNumberFormat="0" applyAlignment="0" applyProtection="0"/>
    <xf numFmtId="0" fontId="156" fillId="106" borderId="119" applyNumberFormat="0" applyAlignment="0" applyProtection="0"/>
    <xf numFmtId="0" fontId="12" fillId="20" borderId="117" applyNumberFormat="0" applyAlignment="0" applyProtection="0"/>
    <xf numFmtId="0" fontId="12" fillId="20" borderId="117" applyNumberFormat="0" applyAlignment="0" applyProtection="0"/>
    <xf numFmtId="0" fontId="156" fillId="106" borderId="119" applyNumberFormat="0" applyAlignment="0" applyProtection="0"/>
    <xf numFmtId="0" fontId="12" fillId="20" borderId="117" applyNumberFormat="0" applyAlignment="0" applyProtection="0"/>
    <xf numFmtId="0" fontId="12" fillId="20" borderId="117" applyNumberFormat="0" applyAlignment="0" applyProtection="0"/>
    <xf numFmtId="0" fontId="156" fillId="106" borderId="119" applyNumberFormat="0" applyAlignment="0" applyProtection="0"/>
    <xf numFmtId="0" fontId="156" fillId="106" borderId="119"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7" borderId="117" applyNumberFormat="0" applyAlignment="0" applyProtection="0"/>
    <xf numFmtId="0" fontId="164" fillId="103" borderId="119" applyNumberFormat="0" applyAlignment="0" applyProtection="0"/>
    <xf numFmtId="0" fontId="164" fillId="103" borderId="119" applyNumberFormat="0" applyAlignment="0" applyProtection="0"/>
    <xf numFmtId="0" fontId="140" fillId="7" borderId="117" applyNumberFormat="0" applyAlignment="0" applyProtection="0"/>
    <xf numFmtId="0" fontId="140" fillId="7" borderId="117" applyNumberFormat="0" applyAlignment="0" applyProtection="0"/>
    <xf numFmtId="0" fontId="140" fillId="7" borderId="117" applyNumberFormat="0" applyAlignment="0" applyProtection="0"/>
    <xf numFmtId="0" fontId="164" fillId="103" borderId="119" applyNumberFormat="0" applyAlignment="0" applyProtection="0"/>
    <xf numFmtId="0" fontId="140" fillId="7" borderId="117" applyNumberFormat="0" applyAlignment="0" applyProtection="0"/>
    <xf numFmtId="0" fontId="164" fillId="103" borderId="119" applyNumberFormat="0" applyAlignment="0" applyProtection="0"/>
    <xf numFmtId="0" fontId="164" fillId="103" borderId="119" applyNumberFormat="0" applyAlignment="0" applyProtection="0"/>
    <xf numFmtId="0" fontId="140" fillId="7" borderId="11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30" fillId="48" borderId="131" applyNumberFormat="0" applyProtection="0">
      <alignment horizontal="left" vertical="center" indent="1"/>
    </xf>
    <xf numFmtId="4" fontId="30" fillId="48" borderId="131" applyNumberFormat="0" applyProtection="0">
      <alignment horizontal="left" vertical="center" indent="1"/>
    </xf>
    <xf numFmtId="4" fontId="30" fillId="48" borderId="131" applyNumberFormat="0" applyProtection="0">
      <alignment horizontal="left" vertical="center" indent="1"/>
    </xf>
    <xf numFmtId="4" fontId="30" fillId="48" borderId="131" applyNumberFormat="0" applyProtection="0">
      <alignment horizontal="left" vertical="center" indent="1"/>
    </xf>
    <xf numFmtId="0" fontId="3" fillId="0" borderId="0"/>
    <xf numFmtId="0" fontId="3" fillId="0" borderId="0"/>
    <xf numFmtId="4" fontId="30" fillId="48" borderId="131" applyNumberFormat="0" applyProtection="0">
      <alignment horizontal="left" vertical="center" indent="1"/>
    </xf>
    <xf numFmtId="4" fontId="30" fillId="48" borderId="131" applyNumberFormat="0" applyProtection="0">
      <alignment horizontal="left" vertical="center" indent="1"/>
    </xf>
    <xf numFmtId="4" fontId="30" fillId="48" borderId="131" applyNumberFormat="0" applyProtection="0">
      <alignment horizontal="left" vertical="center" indent="1"/>
    </xf>
    <xf numFmtId="0" fontId="3" fillId="0" borderId="0"/>
    <xf numFmtId="0" fontId="3" fillId="0" borderId="0"/>
    <xf numFmtId="0" fontId="79" fillId="0" borderId="93" applyNumberFormat="0" applyFill="0" applyAlignment="0" applyProtection="0"/>
    <xf numFmtId="0" fontId="129" fillId="58" borderId="86" applyNumberFormat="0" applyAlignment="0" applyProtection="0"/>
    <xf numFmtId="0" fontId="128" fillId="58" borderId="90" applyNumberFormat="0" applyAlignment="0" applyProtection="0"/>
    <xf numFmtId="0" fontId="116" fillId="54" borderId="86" applyNumberFormat="0" applyAlignment="0" applyProtection="0"/>
    <xf numFmtId="4" fontId="30" fillId="48" borderId="131"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9" fillId="24" borderId="116" applyNumberFormat="0" applyFont="0" applyAlignment="0" applyProtection="0"/>
    <xf numFmtId="0" fontId="43" fillId="102" borderId="119" applyNumberFormat="0" applyFont="0" applyAlignment="0" applyProtection="0"/>
    <xf numFmtId="0" fontId="43" fillId="102" borderId="119" applyNumberFormat="0" applyFont="0" applyAlignment="0" applyProtection="0"/>
    <xf numFmtId="0" fontId="6" fillId="24" borderId="116" applyNumberFormat="0" applyFont="0" applyAlignment="0" applyProtection="0"/>
    <xf numFmtId="0" fontId="43" fillId="102" borderId="119" applyNumberFormat="0" applyFont="0" applyAlignment="0" applyProtection="0"/>
    <xf numFmtId="0" fontId="6" fillId="24" borderId="116" applyNumberFormat="0" applyFont="0" applyAlignment="0" applyProtection="0"/>
    <xf numFmtId="0" fontId="7" fillId="24" borderId="116" applyNumberFormat="0" applyFont="0" applyAlignment="0" applyProtection="0"/>
    <xf numFmtId="0" fontId="9" fillId="24" borderId="116" applyNumberFormat="0" applyFont="0" applyAlignment="0" applyProtection="0"/>
    <xf numFmtId="4" fontId="106" fillId="46" borderId="131" applyNumberFormat="0" applyProtection="0">
      <alignment horizontal="right" vertical="center"/>
    </xf>
    <xf numFmtId="0" fontId="30" fillId="43" borderId="131" applyNumberFormat="0" applyProtection="0">
      <alignment horizontal="left" vertical="top" indent="1"/>
    </xf>
    <xf numFmtId="0" fontId="9" fillId="24" borderId="116" applyNumberFormat="0" applyFont="0" applyAlignment="0" applyProtection="0"/>
    <xf numFmtId="0" fontId="43" fillId="102" borderId="119" applyNumberFormat="0" applyFont="0" applyAlignment="0" applyProtection="0"/>
    <xf numFmtId="0" fontId="9" fillId="24" borderId="116" applyNumberFormat="0" applyFont="0" applyAlignment="0" applyProtection="0"/>
    <xf numFmtId="0" fontId="43" fillId="102" borderId="119" applyNumberFormat="0" applyFont="0" applyAlignment="0" applyProtection="0"/>
    <xf numFmtId="0" fontId="7" fillId="24" borderId="116" applyNumberFormat="0" applyFont="0" applyAlignment="0" applyProtection="0"/>
    <xf numFmtId="0" fontId="43" fillId="102" borderId="119" applyNumberFormat="0" applyFont="0" applyAlignment="0" applyProtection="0"/>
    <xf numFmtId="0" fontId="43" fillId="102" borderId="119" applyNumberFormat="0" applyFont="0" applyAlignment="0" applyProtection="0"/>
    <xf numFmtId="0" fontId="43" fillId="102" borderId="119" applyNumberFormat="0" applyFont="0" applyAlignment="0" applyProtection="0"/>
    <xf numFmtId="4" fontId="30" fillId="48" borderId="131" applyNumberFormat="0" applyProtection="0">
      <alignment horizontal="left" vertical="center" indent="1"/>
    </xf>
    <xf numFmtId="4" fontId="104" fillId="46" borderId="131" applyNumberFormat="0" applyProtection="0">
      <alignment horizontal="right" vertical="center"/>
    </xf>
    <xf numFmtId="4" fontId="30" fillId="46" borderId="131" applyNumberFormat="0" applyProtection="0">
      <alignment horizontal="right" vertical="center"/>
    </xf>
    <xf numFmtId="0" fontId="43" fillId="102" borderId="119" applyNumberFormat="0" applyFont="0" applyAlignment="0" applyProtection="0"/>
    <xf numFmtId="0" fontId="30" fillId="22" borderId="131" applyNumberFormat="0" applyProtection="0">
      <alignment horizontal="left" vertical="top" indent="1"/>
    </xf>
    <xf numFmtId="4" fontId="30" fillId="22" borderId="131" applyNumberFormat="0" applyProtection="0">
      <alignment horizontal="left" vertical="center" indent="1"/>
    </xf>
    <xf numFmtId="0" fontId="43" fillId="102" borderId="119" applyNumberFormat="0" applyFont="0" applyAlignment="0" applyProtection="0"/>
    <xf numFmtId="0" fontId="43" fillId="102" borderId="119" applyNumberFormat="0" applyFont="0" applyAlignment="0" applyProtection="0"/>
    <xf numFmtId="0" fontId="43" fillId="102" borderId="119" applyNumberFormat="0" applyFont="0" applyAlignment="0" applyProtection="0"/>
    <xf numFmtId="0" fontId="43" fillId="102" borderId="119" applyNumberFormat="0" applyFont="0" applyAlignment="0" applyProtection="0"/>
    <xf numFmtId="0" fontId="6" fillId="24" borderId="116" applyNumberFormat="0" applyFont="0" applyAlignment="0" applyProtection="0"/>
    <xf numFmtId="0" fontId="43" fillId="102" borderId="119" applyNumberFormat="0" applyFont="0" applyAlignment="0" applyProtection="0"/>
    <xf numFmtId="0" fontId="6" fillId="24" borderId="116" applyNumberFormat="0" applyFont="0" applyAlignment="0" applyProtection="0"/>
    <xf numFmtId="0" fontId="6" fillId="24" borderId="116" applyNumberFormat="0" applyFont="0" applyAlignment="0" applyProtection="0"/>
    <xf numFmtId="0" fontId="43" fillId="102" borderId="119" applyNumberFormat="0" applyFont="0" applyAlignment="0" applyProtection="0"/>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7" borderId="131" applyNumberFormat="0" applyProtection="0">
      <alignment horizontal="left" vertical="top" indent="1"/>
    </xf>
    <xf numFmtId="0" fontId="6" fillId="39" borderId="131" applyNumberFormat="0" applyProtection="0">
      <alignment horizontal="left" vertical="center"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43" fillId="102" borderId="119" applyNumberFormat="0" applyFont="0" applyAlignment="0" applyProtection="0"/>
    <xf numFmtId="0" fontId="43" fillId="102" borderId="119" applyNumberFormat="0" applyFont="0" applyAlignment="0" applyProtection="0"/>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center" indent="1"/>
    </xf>
    <xf numFmtId="0" fontId="6" fillId="24" borderId="116" applyNumberFormat="0" applyFont="0" applyAlignment="0" applyProtection="0"/>
    <xf numFmtId="0" fontId="6" fillId="24" borderId="116" applyNumberFormat="0" applyFont="0" applyAlignment="0" applyProtection="0"/>
    <xf numFmtId="0" fontId="7" fillId="24" borderId="116" applyNumberFormat="0" applyFont="0" applyAlignment="0" applyProtection="0"/>
    <xf numFmtId="0" fontId="145" fillId="20" borderId="118" applyNumberFormat="0" applyAlignment="0" applyProtection="0"/>
    <xf numFmtId="0" fontId="145" fillId="106" borderId="118" applyNumberFormat="0" applyAlignment="0" applyProtection="0"/>
    <xf numFmtId="0" fontId="145" fillId="106" borderId="118" applyNumberFormat="0" applyAlignment="0" applyProtection="0"/>
    <xf numFmtId="0" fontId="145" fillId="20" borderId="118" applyNumberFormat="0" applyAlignment="0" applyProtection="0"/>
    <xf numFmtId="0" fontId="145" fillId="20" borderId="118" applyNumberFormat="0" applyAlignment="0" applyProtection="0"/>
    <xf numFmtId="0" fontId="145" fillId="106" borderId="118" applyNumberFormat="0" applyAlignment="0" applyProtection="0"/>
    <xf numFmtId="0" fontId="145" fillId="20" borderId="118" applyNumberFormat="0" applyAlignment="0" applyProtection="0"/>
    <xf numFmtId="4" fontId="30" fillId="48" borderId="131" applyNumberFormat="0" applyProtection="0">
      <alignment horizontal="right" vertical="center"/>
    </xf>
    <xf numFmtId="0" fontId="145" fillId="20" borderId="118" applyNumberFormat="0" applyAlignment="0" applyProtection="0"/>
    <xf numFmtId="0" fontId="145" fillId="106" borderId="118" applyNumberFormat="0" applyAlignment="0" applyProtection="0"/>
    <xf numFmtId="0" fontId="26" fillId="28" borderId="118" applyNumberFormat="0" applyAlignment="0" applyProtection="0"/>
    <xf numFmtId="0" fontId="145" fillId="106" borderId="118" applyNumberFormat="0" applyAlignment="0" applyProtection="0"/>
    <xf numFmtId="0" fontId="145" fillId="20" borderId="118" applyNumberFormat="0" applyAlignment="0" applyProtection="0"/>
    <xf numFmtId="0" fontId="26" fillId="28" borderId="118" applyNumberFormat="0" applyAlignment="0" applyProtection="0"/>
    <xf numFmtId="4" fontId="30" fillId="19" borderId="131" applyNumberFormat="0" applyProtection="0">
      <alignment horizontal="right" vertical="center"/>
    </xf>
    <xf numFmtId="4" fontId="30" fillId="18" borderId="131" applyNumberFormat="0" applyProtection="0">
      <alignment horizontal="right" vertical="center"/>
    </xf>
    <xf numFmtId="4" fontId="30" fillId="17" borderId="131" applyNumberFormat="0" applyProtection="0">
      <alignment horizontal="right" vertical="center"/>
    </xf>
    <xf numFmtId="9" fontId="3" fillId="0" borderId="0" applyFont="0" applyFill="0" applyBorder="0" applyAlignment="0" applyProtection="0"/>
    <xf numFmtId="9" fontId="3" fillId="0" borderId="0" applyFont="0" applyFill="0" applyBorder="0" applyAlignment="0" applyProtection="0"/>
    <xf numFmtId="4" fontId="43" fillId="23" borderId="119" applyNumberFormat="0" applyProtection="0">
      <alignment vertical="center"/>
    </xf>
    <xf numFmtId="4" fontId="43" fillId="23" borderId="119" applyNumberFormat="0" applyProtection="0">
      <alignment vertical="center"/>
    </xf>
    <xf numFmtId="4" fontId="43" fillId="23" borderId="119" applyNumberFormat="0" applyProtection="0">
      <alignment vertical="center"/>
    </xf>
    <xf numFmtId="4" fontId="43" fillId="23" borderId="119" applyNumberFormat="0" applyProtection="0">
      <alignment vertical="center"/>
    </xf>
    <xf numFmtId="4" fontId="172" fillId="42" borderId="119" applyNumberFormat="0" applyProtection="0">
      <alignment vertical="center"/>
    </xf>
    <xf numFmtId="4" fontId="172" fillId="42" borderId="119" applyNumberFormat="0" applyProtection="0">
      <alignment vertical="center"/>
    </xf>
    <xf numFmtId="4" fontId="43" fillId="42" borderId="119" applyNumberFormat="0" applyProtection="0">
      <alignment horizontal="left" vertical="center" indent="1"/>
    </xf>
    <xf numFmtId="4" fontId="43" fillId="42" borderId="119" applyNumberFormat="0" applyProtection="0">
      <alignment horizontal="left" vertical="center" indent="1"/>
    </xf>
    <xf numFmtId="4" fontId="43" fillId="42" borderId="119" applyNumberFormat="0" applyProtection="0">
      <alignment horizontal="left" vertical="center" indent="1"/>
    </xf>
    <xf numFmtId="4" fontId="43" fillId="42" borderId="119" applyNumberFormat="0" applyProtection="0">
      <alignment horizontal="left" vertical="center" indent="1"/>
    </xf>
    <xf numFmtId="0" fontId="173" fillId="23" borderId="115" applyNumberFormat="0" applyProtection="0">
      <alignment horizontal="left" vertical="top" indent="1"/>
    </xf>
    <xf numFmtId="0" fontId="173" fillId="23" borderId="115" applyNumberFormat="0" applyProtection="0">
      <alignment horizontal="left" vertical="top" indent="1"/>
    </xf>
    <xf numFmtId="4" fontId="43" fillId="14" borderId="119" applyNumberFormat="0" applyProtection="0">
      <alignment horizontal="left" vertical="center" indent="1"/>
    </xf>
    <xf numFmtId="4" fontId="43" fillId="14" borderId="119" applyNumberFormat="0" applyProtection="0">
      <alignment horizontal="left" vertical="center" indent="1"/>
    </xf>
    <xf numFmtId="4" fontId="43" fillId="14" borderId="119" applyNumberFormat="0" applyProtection="0">
      <alignment horizontal="left" vertical="center" indent="1"/>
    </xf>
    <xf numFmtId="4" fontId="43" fillId="14" borderId="119" applyNumberFormat="0" applyProtection="0">
      <alignment horizontal="left" vertical="center" indent="1"/>
    </xf>
    <xf numFmtId="4" fontId="43" fillId="3" borderId="119" applyNumberFormat="0" applyProtection="0">
      <alignment horizontal="right" vertical="center"/>
    </xf>
    <xf numFmtId="4" fontId="43" fillId="3" borderId="119" applyNumberFormat="0" applyProtection="0">
      <alignment horizontal="right" vertical="center"/>
    </xf>
    <xf numFmtId="4" fontId="43" fillId="111" borderId="119" applyNumberFormat="0" applyProtection="0">
      <alignment horizontal="right" vertical="center"/>
    </xf>
    <xf numFmtId="4" fontId="43" fillId="111" borderId="119" applyNumberFormat="0" applyProtection="0">
      <alignment horizontal="right" vertical="center"/>
    </xf>
    <xf numFmtId="4" fontId="43" fillId="17" borderId="121" applyNumberFormat="0" applyProtection="0">
      <alignment horizontal="right" vertical="center"/>
    </xf>
    <xf numFmtId="4" fontId="43" fillId="17" borderId="121" applyNumberFormat="0" applyProtection="0">
      <alignment horizontal="right" vertical="center"/>
    </xf>
    <xf numFmtId="4" fontId="43" fillId="11" borderId="119" applyNumberFormat="0" applyProtection="0">
      <alignment horizontal="right" vertical="center"/>
    </xf>
    <xf numFmtId="4" fontId="43" fillId="11" borderId="119" applyNumberFormat="0" applyProtection="0">
      <alignment horizontal="right" vertical="center"/>
    </xf>
    <xf numFmtId="4" fontId="43" fillId="15" borderId="119" applyNumberFormat="0" applyProtection="0">
      <alignment horizontal="right" vertical="center"/>
    </xf>
    <xf numFmtId="4" fontId="43" fillId="15" borderId="119" applyNumberFormat="0" applyProtection="0">
      <alignment horizontal="right" vertical="center"/>
    </xf>
    <xf numFmtId="4" fontId="43" fillId="19" borderId="119" applyNumberFormat="0" applyProtection="0">
      <alignment horizontal="right" vertical="center"/>
    </xf>
    <xf numFmtId="4" fontId="43" fillId="19" borderId="119" applyNumberFormat="0" applyProtection="0">
      <alignment horizontal="right" vertical="center"/>
    </xf>
    <xf numFmtId="4" fontId="43" fillId="18" borderId="119" applyNumberFormat="0" applyProtection="0">
      <alignment horizontal="right" vertical="center"/>
    </xf>
    <xf numFmtId="4" fontId="43" fillId="18" borderId="119" applyNumberFormat="0" applyProtection="0">
      <alignment horizontal="right" vertical="center"/>
    </xf>
    <xf numFmtId="4" fontId="43" fillId="44" borderId="119" applyNumberFormat="0" applyProtection="0">
      <alignment horizontal="right" vertical="center"/>
    </xf>
    <xf numFmtId="4" fontId="43" fillId="44" borderId="119" applyNumberFormat="0" applyProtection="0">
      <alignment horizontal="right" vertical="center"/>
    </xf>
    <xf numFmtId="4" fontId="43" fillId="9" borderId="119" applyNumberFormat="0" applyProtection="0">
      <alignment horizontal="right" vertical="center"/>
    </xf>
    <xf numFmtId="4" fontId="43" fillId="9" borderId="119" applyNumberFormat="0" applyProtection="0">
      <alignment horizontal="right" vertical="center"/>
    </xf>
    <xf numFmtId="4" fontId="43" fillId="45" borderId="121" applyNumberFormat="0" applyProtection="0">
      <alignment horizontal="left" vertical="center" indent="1"/>
    </xf>
    <xf numFmtId="4" fontId="43" fillId="45" borderId="121" applyNumberFormat="0" applyProtection="0">
      <alignment horizontal="left" vertical="center" indent="1"/>
    </xf>
    <xf numFmtId="4" fontId="6" fillId="83" borderId="121" applyNumberFormat="0" applyProtection="0">
      <alignment horizontal="left" vertical="center" indent="1"/>
    </xf>
    <xf numFmtId="4" fontId="6" fillId="83" borderId="121" applyNumberFormat="0" applyProtection="0">
      <alignment horizontal="left" vertical="center" indent="1"/>
    </xf>
    <xf numFmtId="4" fontId="6" fillId="83" borderId="121" applyNumberFormat="0" applyProtection="0">
      <alignment horizontal="left" vertical="center" indent="1"/>
    </xf>
    <xf numFmtId="4" fontId="6" fillId="83" borderId="121" applyNumberFormat="0" applyProtection="0">
      <alignment horizontal="left" vertical="center" indent="1"/>
    </xf>
    <xf numFmtId="4" fontId="43" fillId="48" borderId="119" applyNumberFormat="0" applyProtection="0">
      <alignment horizontal="right" vertical="center"/>
    </xf>
    <xf numFmtId="4" fontId="43" fillId="48" borderId="119" applyNumberFormat="0" applyProtection="0">
      <alignment horizontal="right" vertical="center"/>
    </xf>
    <xf numFmtId="4" fontId="43" fillId="46" borderId="121" applyNumberFormat="0" applyProtection="0">
      <alignment horizontal="left" vertical="center" indent="1"/>
    </xf>
    <xf numFmtId="4" fontId="43" fillId="46" borderId="121" applyNumberFormat="0" applyProtection="0">
      <alignment horizontal="left" vertical="center" indent="1"/>
    </xf>
    <xf numFmtId="4" fontId="43" fillId="48" borderId="121" applyNumberFormat="0" applyProtection="0">
      <alignment horizontal="left" vertical="center" indent="1"/>
    </xf>
    <xf numFmtId="4" fontId="43" fillId="48" borderId="121" applyNumberFormat="0" applyProtection="0">
      <alignment horizontal="left" vertical="center" indent="1"/>
    </xf>
    <xf numFmtId="0" fontId="43" fillId="20" borderId="119" applyNumberFormat="0" applyProtection="0">
      <alignment horizontal="left" vertical="center" indent="1"/>
    </xf>
    <xf numFmtId="0" fontId="43" fillId="20" borderId="119" applyNumberFormat="0" applyProtection="0">
      <alignment horizontal="left" vertical="center"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83" borderId="115" applyNumberFormat="0" applyProtection="0">
      <alignment horizontal="left" vertical="top" indent="1"/>
    </xf>
    <xf numFmtId="0" fontId="43" fillId="112" borderId="119" applyNumberFormat="0" applyProtection="0">
      <alignment horizontal="left" vertical="center" indent="1"/>
    </xf>
    <xf numFmtId="0" fontId="43" fillId="112" borderId="119" applyNumberFormat="0" applyProtection="0">
      <alignment horizontal="left" vertical="center"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48" borderId="115" applyNumberFormat="0" applyProtection="0">
      <alignment horizontal="left" vertical="top" indent="1"/>
    </xf>
    <xf numFmtId="0" fontId="43" fillId="10" borderId="119" applyNumberFormat="0" applyProtection="0">
      <alignment horizontal="left" vertical="center" indent="1"/>
    </xf>
    <xf numFmtId="0" fontId="43" fillId="10" borderId="119" applyNumberFormat="0" applyProtection="0">
      <alignment horizontal="left" vertical="center"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10" borderId="115" applyNumberFormat="0" applyProtection="0">
      <alignment horizontal="left" vertical="top" indent="1"/>
    </xf>
    <xf numFmtId="0" fontId="43" fillId="46" borderId="119" applyNumberFormat="0" applyProtection="0">
      <alignment horizontal="left" vertical="center" indent="1"/>
    </xf>
    <xf numFmtId="0" fontId="43" fillId="46" borderId="119" applyNumberFormat="0" applyProtection="0">
      <alignment horizontal="left" vertical="center"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46" borderId="115" applyNumberFormat="0" applyProtection="0">
      <alignment horizontal="left" vertical="top" indent="1"/>
    </xf>
    <xf numFmtId="0" fontId="43" fillId="84" borderId="122" applyNumberFormat="0">
      <protection locked="0"/>
    </xf>
    <xf numFmtId="0" fontId="43" fillId="84" borderId="122" applyNumberFormat="0">
      <protection locked="0"/>
    </xf>
    <xf numFmtId="0" fontId="43" fillId="84" borderId="122" applyNumberFormat="0">
      <protection locked="0"/>
    </xf>
    <xf numFmtId="0" fontId="43" fillId="84" borderId="122" applyNumberFormat="0">
      <protection locked="0"/>
    </xf>
    <xf numFmtId="0" fontId="43" fillId="84" borderId="122" applyNumberFormat="0">
      <protection locked="0"/>
    </xf>
    <xf numFmtId="0" fontId="42" fillId="83" borderId="123" applyBorder="0"/>
    <xf numFmtId="0" fontId="42" fillId="83" borderId="123" applyBorder="0"/>
    <xf numFmtId="4" fontId="62" fillId="24" borderId="115" applyNumberFormat="0" applyProtection="0">
      <alignment vertical="center"/>
    </xf>
    <xf numFmtId="4" fontId="62" fillId="24" borderId="115" applyNumberFormat="0" applyProtection="0">
      <alignment vertical="center"/>
    </xf>
    <xf numFmtId="4" fontId="62" fillId="20" borderId="115" applyNumberFormat="0" applyProtection="0">
      <alignment horizontal="left" vertical="center" indent="1"/>
    </xf>
    <xf numFmtId="4" fontId="62" fillId="20" borderId="115" applyNumberFormat="0" applyProtection="0">
      <alignment horizontal="left" vertical="center" indent="1"/>
    </xf>
    <xf numFmtId="0" fontId="62" fillId="24" borderId="115" applyNumberFormat="0" applyProtection="0">
      <alignment horizontal="left" vertical="top" indent="1"/>
    </xf>
    <xf numFmtId="0" fontId="62" fillId="24" borderId="115" applyNumberFormat="0" applyProtection="0">
      <alignment horizontal="left" vertical="top" indent="1"/>
    </xf>
    <xf numFmtId="4" fontId="43" fillId="0" borderId="119" applyNumberFormat="0" applyProtection="0">
      <alignment horizontal="right" vertical="center"/>
    </xf>
    <xf numFmtId="4" fontId="43" fillId="0" borderId="119" applyNumberFormat="0" applyProtection="0">
      <alignment horizontal="right" vertical="center"/>
    </xf>
    <xf numFmtId="4" fontId="43" fillId="0" borderId="119" applyNumberFormat="0" applyProtection="0">
      <alignment horizontal="right" vertical="center"/>
    </xf>
    <xf numFmtId="4" fontId="43" fillId="0" borderId="119" applyNumberFormat="0" applyProtection="0">
      <alignment horizontal="right" vertical="center"/>
    </xf>
    <xf numFmtId="4" fontId="172" fillId="52" borderId="119" applyNumberFormat="0" applyProtection="0">
      <alignment horizontal="right" vertical="center"/>
    </xf>
    <xf numFmtId="4" fontId="172" fillId="52" borderId="119" applyNumberFormat="0" applyProtection="0">
      <alignment horizontal="right" vertical="center"/>
    </xf>
    <xf numFmtId="4" fontId="43" fillId="14" borderId="119" applyNumberFormat="0" applyProtection="0">
      <alignment horizontal="left" vertical="center" indent="1"/>
    </xf>
    <xf numFmtId="4" fontId="43" fillId="14" borderId="119" applyNumberFormat="0" applyProtection="0">
      <alignment horizontal="left" vertical="center" indent="1"/>
    </xf>
    <xf numFmtId="4" fontId="30" fillId="48" borderId="115" applyNumberFormat="0" applyProtection="0">
      <alignment horizontal="left" vertical="center" indent="1"/>
    </xf>
    <xf numFmtId="4" fontId="43" fillId="14" borderId="119" applyNumberFormat="0" applyProtection="0">
      <alignment horizontal="left" vertical="center" indent="1"/>
    </xf>
    <xf numFmtId="0" fontId="62" fillId="48" borderId="115" applyNumberFormat="0" applyProtection="0">
      <alignment horizontal="left" vertical="top" indent="1"/>
    </xf>
    <xf numFmtId="0" fontId="62" fillId="48" borderId="115" applyNumberFormat="0" applyProtection="0">
      <alignment horizontal="left" vertical="top" indent="1"/>
    </xf>
    <xf numFmtId="4" fontId="174" fillId="50" borderId="121" applyNumberFormat="0" applyProtection="0">
      <alignment horizontal="left" vertical="center" indent="1"/>
    </xf>
    <xf numFmtId="4" fontId="174" fillId="50" borderId="121" applyNumberFormat="0" applyProtection="0">
      <alignment horizontal="left" vertical="center" indent="1"/>
    </xf>
    <xf numFmtId="4" fontId="175" fillId="84" borderId="119" applyNumberFormat="0" applyProtection="0">
      <alignment horizontal="right" vertical="center"/>
    </xf>
    <xf numFmtId="4" fontId="175" fillId="84" borderId="119" applyNumberFormat="0" applyProtection="0">
      <alignment horizontal="right" vertical="center"/>
    </xf>
    <xf numFmtId="0" fontId="20" fillId="0" borderId="124" applyNumberFormat="0" applyFill="0" applyAlignment="0" applyProtection="0"/>
    <xf numFmtId="0" fontId="20" fillId="0" borderId="125" applyNumberFormat="0" applyFill="0" applyAlignment="0" applyProtection="0"/>
    <xf numFmtId="0" fontId="20" fillId="0" borderId="125" applyNumberFormat="0" applyFill="0" applyAlignment="0" applyProtection="0"/>
    <xf numFmtId="0" fontId="20" fillId="0" borderId="124" applyNumberFormat="0" applyFill="0" applyAlignment="0" applyProtection="0"/>
    <xf numFmtId="0" fontId="20" fillId="0" borderId="124" applyNumberFormat="0" applyFill="0" applyAlignment="0" applyProtection="0"/>
    <xf numFmtId="0" fontId="20" fillId="0" borderId="125" applyNumberFormat="0" applyFill="0" applyAlignment="0" applyProtection="0"/>
    <xf numFmtId="0" fontId="20" fillId="0" borderId="124" applyNumberFormat="0" applyFill="0" applyAlignment="0" applyProtection="0"/>
    <xf numFmtId="44" fontId="3" fillId="0" borderId="0" applyFont="0" applyFill="0" applyBorder="0" applyAlignment="0" applyProtection="0"/>
    <xf numFmtId="0" fontId="20" fillId="0" borderId="124" applyNumberFormat="0" applyFill="0" applyAlignment="0" applyProtection="0"/>
    <xf numFmtId="43" fontId="3" fillId="0" borderId="0" applyFont="0" applyFill="0" applyBorder="0" applyAlignment="0" applyProtection="0"/>
    <xf numFmtId="0" fontId="20" fillId="0" borderId="125" applyNumberFormat="0" applyFill="0" applyAlignment="0" applyProtection="0"/>
    <xf numFmtId="0" fontId="20" fillId="0" borderId="125" applyNumberFormat="0" applyFill="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8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134" fillId="84" borderId="117" applyNumberFormat="0" applyAlignment="0" applyProtection="0"/>
    <xf numFmtId="0" fontId="134" fillId="84" borderId="117" applyNumberFormat="0" applyAlignment="0" applyProtection="0"/>
    <xf numFmtId="0" fontId="140" fillId="23" borderId="117" applyNumberFormat="0" applyAlignment="0" applyProtection="0"/>
    <xf numFmtId="0" fontId="140" fillId="23" borderId="117" applyNumberFormat="0" applyAlignment="0" applyProtection="0"/>
    <xf numFmtId="18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6" fillId="24" borderId="116"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6" fillId="24" borderId="116"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3" fillId="38" borderId="82" applyNumberFormat="0" applyFont="0" applyAlignment="0" applyProtection="0"/>
    <xf numFmtId="0" fontId="145" fillId="84" borderId="118" applyNumberFormat="0" applyAlignment="0" applyProtection="0"/>
    <xf numFmtId="0" fontId="145" fillId="84" borderId="118" applyNumberFormat="0" applyAlignment="0" applyProtection="0"/>
    <xf numFmtId="0" fontId="6" fillId="85" borderId="118" applyNumberFormat="0" applyProtection="0">
      <alignment horizontal="left" vertical="center" indent="1"/>
    </xf>
    <xf numFmtId="0" fontId="20" fillId="0" borderId="120" applyNumberFormat="0" applyFill="0" applyAlignment="0" applyProtection="0"/>
    <xf numFmtId="0" fontId="20" fillId="0" borderId="120" applyNumberFormat="0" applyFill="0" applyAlignment="0" applyProtection="0"/>
    <xf numFmtId="0" fontId="3" fillId="0" borderId="0"/>
    <xf numFmtId="0" fontId="3" fillId="0" borderId="0"/>
    <xf numFmtId="0" fontId="140" fillId="23" borderId="117" applyNumberFormat="0" applyAlignment="0" applyProtection="0"/>
    <xf numFmtId="4" fontId="30" fillId="48" borderId="115" applyNumberFormat="0" applyProtection="0">
      <alignment horizontal="left" vertical="center" indent="1"/>
    </xf>
    <xf numFmtId="0" fontId="91" fillId="0" borderId="113">
      <alignment horizontal="lef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2" fillId="45" borderId="127" applyNumberFormat="0" applyProtection="0">
      <alignment horizontal="left" vertical="center" indent="1"/>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100" fillId="1" borderId="113" applyNumberFormat="0" applyFont="0" applyAlignment="0">
      <alignment horizontal="center"/>
    </xf>
    <xf numFmtId="0" fontId="24" fillId="2" borderId="128" applyFill="0">
      <alignment horizontal="left" vertical="top" wrapText="1"/>
    </xf>
    <xf numFmtId="0" fontId="91" fillId="0" borderId="126" applyNumberFormat="0" applyAlignment="0" applyProtection="0">
      <alignment horizontal="left" vertical="center"/>
    </xf>
    <xf numFmtId="10" fontId="43" fillId="22" borderId="128" applyNumberFormat="0" applyBorder="0" applyAlignment="0" applyProtection="0"/>
    <xf numFmtId="4" fontId="32" fillId="45" borderId="129" applyNumberFormat="0" applyProtection="0">
      <alignment horizontal="left" vertical="center" indent="1"/>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0" fillId="19" borderId="115" applyNumberFormat="0" applyProtection="0">
      <alignment horizontal="right" vertical="center"/>
    </xf>
    <xf numFmtId="4" fontId="30" fillId="8" borderId="115" applyNumberFormat="0" applyProtection="0">
      <alignment horizontal="right" vertical="center"/>
    </xf>
    <xf numFmtId="4" fontId="32" fillId="42" borderId="115" applyNumberFormat="0" applyProtection="0">
      <alignment horizontal="left" vertical="center" indent="1"/>
    </xf>
    <xf numFmtId="4" fontId="30" fillId="8" borderId="115" applyNumberFormat="0" applyProtection="0">
      <alignment horizontal="right" vertical="center"/>
    </xf>
    <xf numFmtId="4" fontId="30" fillId="15" borderId="115" applyNumberFormat="0" applyProtection="0">
      <alignment horizontal="right" vertical="center"/>
    </xf>
    <xf numFmtId="4" fontId="32" fillId="42" borderId="115" applyNumberFormat="0" applyProtection="0">
      <alignment horizontal="left" vertical="center" indent="1"/>
    </xf>
    <xf numFmtId="4" fontId="30" fillId="48" borderId="115" applyNumberFormat="0" applyProtection="0">
      <alignment horizontal="right" vertical="center"/>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5" borderId="115" applyNumberFormat="0" applyProtection="0">
      <alignment horizontal="right" vertical="center"/>
    </xf>
    <xf numFmtId="4" fontId="30" fillId="11" borderId="115" applyNumberFormat="0" applyProtection="0">
      <alignment horizontal="right" vertical="center"/>
    </xf>
    <xf numFmtId="4" fontId="30" fillId="17"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5" borderId="129"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91" fillId="0" borderId="126" applyNumberFormat="0" applyAlignment="0" applyProtection="0">
      <alignment horizontal="left" vertical="center"/>
    </xf>
    <xf numFmtId="4" fontId="32" fillId="23" borderId="115" applyNumberFormat="0" applyProtection="0">
      <alignment vertical="center"/>
    </xf>
    <xf numFmtId="4" fontId="102" fillId="42" borderId="115" applyNumberFormat="0" applyProtection="0">
      <alignment vertical="center"/>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17"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2" fillId="45" borderId="129" applyNumberFormat="0" applyProtection="0">
      <alignment horizontal="left" vertical="center" indent="1"/>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4" fontId="30" fillId="11" borderId="115" applyNumberFormat="0" applyProtection="0">
      <alignment horizontal="right" vertical="center"/>
    </xf>
    <xf numFmtId="0" fontId="6" fillId="43" borderId="115" applyNumberFormat="0" applyProtection="0">
      <alignment horizontal="left" vertical="top" indent="1"/>
    </xf>
    <xf numFmtId="4" fontId="30" fillId="46" borderId="115" applyNumberFormat="0" applyProtection="0">
      <alignment horizontal="right" vertical="center"/>
    </xf>
    <xf numFmtId="0" fontId="91" fillId="0" borderId="126" applyNumberFormat="0" applyAlignment="0" applyProtection="0">
      <alignment horizontal="left" vertical="center"/>
    </xf>
    <xf numFmtId="4" fontId="32" fillId="45" borderId="129" applyNumberFormat="0" applyProtection="0">
      <alignment horizontal="left" vertical="center" indent="1"/>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91" fillId="0" borderId="126" applyNumberFormat="0" applyAlignment="0" applyProtection="0">
      <alignment horizontal="left" vertical="center"/>
    </xf>
    <xf numFmtId="0" fontId="91" fillId="0" borderId="113">
      <alignment horizontal="left" vertical="center"/>
    </xf>
    <xf numFmtId="4" fontId="32" fillId="45" borderId="129" applyNumberFormat="0" applyProtection="0">
      <alignment horizontal="left" vertical="center" indent="1"/>
    </xf>
    <xf numFmtId="0" fontId="100" fillId="1" borderId="113" applyNumberFormat="0" applyFont="0" applyAlignment="0">
      <alignment horizontal="center"/>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91" fillId="0" borderId="113">
      <alignment horizontal="left" vertical="center"/>
    </xf>
    <xf numFmtId="4" fontId="32" fillId="45" borderId="129" applyNumberFormat="0" applyProtection="0">
      <alignment horizontal="left" vertical="center" indent="1"/>
    </xf>
    <xf numFmtId="0" fontId="100" fillId="1" borderId="113" applyNumberFormat="0" applyFont="0" applyAlignment="0">
      <alignment horizontal="center"/>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91" fillId="0" borderId="126" applyNumberFormat="0" applyAlignment="0" applyProtection="0">
      <alignment horizontal="left" vertical="center"/>
    </xf>
    <xf numFmtId="0" fontId="91" fillId="0" borderId="113">
      <alignment horizontal="left" vertical="center"/>
    </xf>
    <xf numFmtId="4" fontId="32" fillId="45" borderId="129" applyNumberFormat="0" applyProtection="0">
      <alignment horizontal="left" vertical="center" indent="1"/>
    </xf>
    <xf numFmtId="0" fontId="100" fillId="1" borderId="113" applyNumberFormat="0" applyFont="0" applyAlignment="0">
      <alignment horizontal="center"/>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0" fontId="91" fillId="0" borderId="113">
      <alignment horizontal="left" vertical="center"/>
    </xf>
    <xf numFmtId="4" fontId="32" fillId="45" borderId="129" applyNumberFormat="0" applyProtection="0">
      <alignment horizontal="left" vertical="center" indent="1"/>
    </xf>
    <xf numFmtId="0" fontId="100" fillId="1" borderId="113" applyNumberFormat="0" applyFont="0" applyAlignment="0">
      <alignment horizontal="center"/>
    </xf>
    <xf numFmtId="4" fontId="104" fillId="46" borderId="115" applyNumberFormat="0" applyProtection="0">
      <alignment horizontal="right" vertical="center"/>
    </xf>
    <xf numFmtId="4" fontId="30" fillId="48" borderId="115" applyNumberFormat="0" applyProtection="0">
      <alignment horizontal="right" vertical="center"/>
    </xf>
    <xf numFmtId="4" fontId="30" fillId="11" borderId="115" applyNumberFormat="0" applyProtection="0">
      <alignment horizontal="right" vertical="center"/>
    </xf>
    <xf numFmtId="0" fontId="30" fillId="22" borderId="115" applyNumberFormat="0" applyProtection="0">
      <alignment horizontal="left" vertical="top" indent="1"/>
    </xf>
    <xf numFmtId="4" fontId="30" fillId="48" borderId="115" applyNumberFormat="0" applyProtection="0">
      <alignment horizontal="left" vertical="center" indent="1"/>
    </xf>
    <xf numFmtId="4" fontId="30" fillId="46" borderId="115" applyNumberFormat="0" applyProtection="0">
      <alignment horizontal="right" vertical="center"/>
    </xf>
    <xf numFmtId="4" fontId="30" fillId="22" borderId="115" applyNumberFormat="0" applyProtection="0">
      <alignment horizontal="left" vertical="center" indent="1"/>
    </xf>
    <xf numFmtId="4" fontId="104" fillId="22" borderId="115" applyNumberFormat="0" applyProtection="0">
      <alignment vertical="center"/>
    </xf>
    <xf numFmtId="4" fontId="30" fillId="22" borderId="115" applyNumberFormat="0" applyProtection="0">
      <alignment vertical="center"/>
    </xf>
    <xf numFmtId="0" fontId="6" fillId="49" borderId="115" applyNumberFormat="0" applyProtection="0">
      <alignment horizontal="left" vertical="top" indent="1"/>
    </xf>
    <xf numFmtId="0" fontId="6" fillId="49" borderId="115" applyNumberFormat="0" applyProtection="0">
      <alignment horizontal="left" vertical="center" indent="1"/>
    </xf>
    <xf numFmtId="0" fontId="6" fillId="39" borderId="115" applyNumberFormat="0" applyProtection="0">
      <alignment horizontal="left" vertical="top" indent="1"/>
    </xf>
    <xf numFmtId="0" fontId="6" fillId="39" borderId="115" applyNumberFormat="0" applyProtection="0">
      <alignment horizontal="left" vertical="center" indent="1"/>
    </xf>
    <xf numFmtId="0" fontId="6" fillId="43" borderId="115" applyNumberFormat="0" applyProtection="0">
      <alignment horizontal="left" vertical="top" indent="1"/>
    </xf>
    <xf numFmtId="0" fontId="6" fillId="43" borderId="115" applyNumberFormat="0" applyProtection="0">
      <alignment horizontal="left" vertical="center" indent="1"/>
    </xf>
    <xf numFmtId="0" fontId="6" fillId="47" borderId="115" applyNumberFormat="0" applyProtection="0">
      <alignment horizontal="left" vertical="top" indent="1"/>
    </xf>
    <xf numFmtId="0" fontId="6" fillId="47" borderId="115" applyNumberFormat="0" applyProtection="0">
      <alignment horizontal="left" vertical="center" indent="1"/>
    </xf>
    <xf numFmtId="4" fontId="30" fillId="9" borderId="115" applyNumberFormat="0" applyProtection="0">
      <alignment horizontal="right" vertical="center"/>
    </xf>
    <xf numFmtId="4" fontId="30" fillId="44" borderId="115" applyNumberFormat="0" applyProtection="0">
      <alignment horizontal="right" vertical="center"/>
    </xf>
    <xf numFmtId="4" fontId="30" fillId="18" borderId="115" applyNumberFormat="0" applyProtection="0">
      <alignment horizontal="right" vertical="center"/>
    </xf>
    <xf numFmtId="4" fontId="30" fillId="19" borderId="115" applyNumberFormat="0" applyProtection="0">
      <alignment horizontal="right" vertical="center"/>
    </xf>
    <xf numFmtId="4" fontId="30" fillId="15" borderId="115" applyNumberFormat="0" applyProtection="0">
      <alignment horizontal="right" vertical="center"/>
    </xf>
    <xf numFmtId="4" fontId="30" fillId="17" borderId="115" applyNumberFormat="0" applyProtection="0">
      <alignment horizontal="right" vertical="center"/>
    </xf>
    <xf numFmtId="4" fontId="30" fillId="8" borderId="115" applyNumberFormat="0" applyProtection="0">
      <alignment horizontal="right" vertical="center"/>
    </xf>
    <xf numFmtId="4" fontId="30" fillId="3" borderId="115" applyNumberFormat="0" applyProtection="0">
      <alignment horizontal="right" vertical="center"/>
    </xf>
    <xf numFmtId="0" fontId="32" fillId="42" borderId="115" applyNumberFormat="0" applyProtection="0">
      <alignment horizontal="left" vertical="top" indent="1"/>
    </xf>
    <xf numFmtId="4" fontId="32" fillId="42" borderId="115" applyNumberFormat="0" applyProtection="0">
      <alignment horizontal="left" vertical="center" indent="1"/>
    </xf>
    <xf numFmtId="4" fontId="102" fillId="42" borderId="115" applyNumberFormat="0" applyProtection="0">
      <alignment vertical="center"/>
    </xf>
    <xf numFmtId="4" fontId="32" fillId="23" borderId="115" applyNumberFormat="0" applyProtection="0">
      <alignment vertical="center"/>
    </xf>
    <xf numFmtId="0" fontId="30" fillId="43" borderId="115" applyNumberFormat="0" applyProtection="0">
      <alignment horizontal="left" vertical="top" indent="1"/>
    </xf>
    <xf numFmtId="4" fontId="106" fillId="46" borderId="115" applyNumberFormat="0" applyProtection="0">
      <alignment horizontal="right" vertical="center"/>
    </xf>
    <xf numFmtId="4" fontId="32" fillId="23" borderId="115" applyNumberFormat="0" applyProtection="0">
      <alignment vertical="center"/>
    </xf>
    <xf numFmtId="4" fontId="102" fillId="42" borderId="115" applyNumberFormat="0" applyProtection="0">
      <alignment vertical="center"/>
    </xf>
    <xf numFmtId="4" fontId="32" fillId="42" borderId="115" applyNumberFormat="0" applyProtection="0">
      <alignment horizontal="left" vertical="center" indent="1"/>
    </xf>
    <xf numFmtId="0" fontId="32" fillId="42" borderId="115" applyNumberFormat="0" applyProtection="0">
      <alignment horizontal="left" vertical="top" indent="1"/>
    </xf>
    <xf numFmtId="4" fontId="30" fillId="3" borderId="115" applyNumberFormat="0" applyProtection="0">
      <alignment horizontal="right" vertical="center"/>
    </xf>
    <xf numFmtId="4" fontId="30" fillId="8" borderId="115" applyNumberFormat="0" applyProtection="0">
      <alignment horizontal="right" vertical="center"/>
    </xf>
    <xf numFmtId="4" fontId="30" fillId="17" borderId="115" applyNumberFormat="0" applyProtection="0">
      <alignment horizontal="right" vertical="center"/>
    </xf>
    <xf numFmtId="4" fontId="30" fillId="11" borderId="115" applyNumberFormat="0" applyProtection="0">
      <alignment horizontal="right" vertical="center"/>
    </xf>
    <xf numFmtId="4" fontId="30" fillId="15" borderId="115" applyNumberFormat="0" applyProtection="0">
      <alignment horizontal="right" vertical="center"/>
    </xf>
    <xf numFmtId="4" fontId="30" fillId="19" borderId="115" applyNumberFormat="0" applyProtection="0">
      <alignment horizontal="right" vertical="center"/>
    </xf>
    <xf numFmtId="4" fontId="30" fillId="18" borderId="115" applyNumberFormat="0" applyProtection="0">
      <alignment horizontal="right" vertical="center"/>
    </xf>
    <xf numFmtId="4" fontId="30" fillId="44" borderId="115" applyNumberFormat="0" applyProtection="0">
      <alignment horizontal="right" vertical="center"/>
    </xf>
    <xf numFmtId="4" fontId="30" fillId="9" borderId="115" applyNumberFormat="0" applyProtection="0">
      <alignment horizontal="right" vertical="center"/>
    </xf>
    <xf numFmtId="4" fontId="30" fillId="48" borderId="115" applyNumberFormat="0" applyProtection="0">
      <alignment horizontal="right" vertical="center"/>
    </xf>
    <xf numFmtId="0" fontId="6" fillId="47" borderId="115" applyNumberFormat="0" applyProtection="0">
      <alignment horizontal="left" vertical="center" indent="1"/>
    </xf>
    <xf numFmtId="0" fontId="6" fillId="47" borderId="115" applyNumberFormat="0" applyProtection="0">
      <alignment horizontal="left" vertical="top" indent="1"/>
    </xf>
    <xf numFmtId="0" fontId="6" fillId="43" borderId="115" applyNumberFormat="0" applyProtection="0">
      <alignment horizontal="left" vertical="center" indent="1"/>
    </xf>
    <xf numFmtId="0" fontId="6" fillId="43" borderId="115" applyNumberFormat="0" applyProtection="0">
      <alignment horizontal="left" vertical="top" indent="1"/>
    </xf>
    <xf numFmtId="0" fontId="6" fillId="39" borderId="115" applyNumberFormat="0" applyProtection="0">
      <alignment horizontal="left" vertical="center" indent="1"/>
    </xf>
    <xf numFmtId="0" fontId="6" fillId="39" borderId="115" applyNumberFormat="0" applyProtection="0">
      <alignment horizontal="left" vertical="top" indent="1"/>
    </xf>
    <xf numFmtId="0" fontId="6" fillId="49" borderId="115" applyNumberFormat="0" applyProtection="0">
      <alignment horizontal="left" vertical="center" indent="1"/>
    </xf>
    <xf numFmtId="0" fontId="6" fillId="49" borderId="115" applyNumberFormat="0" applyProtection="0">
      <alignment horizontal="left" vertical="top" indent="1"/>
    </xf>
    <xf numFmtId="4" fontId="30" fillId="22" borderId="115" applyNumberFormat="0" applyProtection="0">
      <alignment vertical="center"/>
    </xf>
    <xf numFmtId="4" fontId="104" fillId="22" borderId="115" applyNumberFormat="0" applyProtection="0">
      <alignment vertical="center"/>
    </xf>
    <xf numFmtId="4" fontId="30" fillId="22" borderId="115" applyNumberFormat="0" applyProtection="0">
      <alignment horizontal="left" vertical="center" indent="1"/>
    </xf>
    <xf numFmtId="0" fontId="30" fillId="22" borderId="115" applyNumberFormat="0" applyProtection="0">
      <alignment horizontal="left" vertical="top" indent="1"/>
    </xf>
    <xf numFmtId="4" fontId="30" fillId="46" borderId="115" applyNumberFormat="0" applyProtection="0">
      <alignment horizontal="right" vertical="center"/>
    </xf>
    <xf numFmtId="4" fontId="104" fillId="46" borderId="115" applyNumberFormat="0" applyProtection="0">
      <alignment horizontal="right" vertical="center"/>
    </xf>
    <xf numFmtId="4" fontId="30" fillId="48" borderId="115" applyNumberFormat="0" applyProtection="0">
      <alignment horizontal="left" vertical="center" indent="1"/>
    </xf>
    <xf numFmtId="0" fontId="30" fillId="43" borderId="115" applyNumberFormat="0" applyProtection="0">
      <alignment horizontal="left" vertical="top" indent="1"/>
    </xf>
    <xf numFmtId="4" fontId="106" fillId="46" borderId="115" applyNumberFormat="0" applyProtection="0">
      <alignment horizontal="right" vertical="center"/>
    </xf>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4" fontId="30" fillId="48" borderId="131" applyNumberFormat="0" applyProtection="0">
      <alignment horizontal="left" vertical="center" indent="1"/>
    </xf>
    <xf numFmtId="4" fontId="30" fillId="48" borderId="131" applyNumberFormat="0" applyProtection="0">
      <alignment horizontal="left" vertical="center" indent="1"/>
    </xf>
    <xf numFmtId="4" fontId="30" fillId="8" borderId="131" applyNumberFormat="0" applyProtection="0">
      <alignment horizontal="right" vertical="center"/>
    </xf>
    <xf numFmtId="4" fontId="30" fillId="3" borderId="131" applyNumberFormat="0" applyProtection="0">
      <alignment horizontal="right" vertical="center"/>
    </xf>
    <xf numFmtId="4" fontId="30" fillId="48" borderId="115" applyNumberFormat="0" applyProtection="0">
      <alignment horizontal="left" vertical="center" indent="1"/>
    </xf>
    <xf numFmtId="4" fontId="30" fillId="48" borderId="115" applyNumberFormat="0" applyProtection="0">
      <alignment horizontal="left" vertical="center" indent="1"/>
    </xf>
    <xf numFmtId="0" fontId="134" fillId="84" borderId="133" applyNumberFormat="0" applyAlignment="0" applyProtection="0"/>
    <xf numFmtId="0" fontId="134" fillId="84" borderId="133" applyNumberFormat="0" applyAlignment="0" applyProtection="0"/>
    <xf numFmtId="0" fontId="140" fillId="23" borderId="133" applyNumberFormat="0" applyAlignment="0" applyProtection="0"/>
    <xf numFmtId="0" fontId="140" fillId="23" borderId="133" applyNumberFormat="0" applyAlignment="0" applyProtection="0"/>
    <xf numFmtId="0" fontId="6" fillId="24" borderId="132" applyNumberFormat="0" applyFont="0" applyAlignment="0" applyProtection="0"/>
    <xf numFmtId="0" fontId="6" fillId="24" borderId="132" applyNumberFormat="0" applyFont="0" applyAlignment="0" applyProtection="0"/>
    <xf numFmtId="0" fontId="145" fillId="84" borderId="130" applyNumberFormat="0" applyAlignment="0" applyProtection="0"/>
    <xf numFmtId="0" fontId="145" fillId="84" borderId="130" applyNumberFormat="0" applyAlignment="0" applyProtection="0"/>
    <xf numFmtId="4" fontId="43" fillId="14" borderId="134" applyNumberFormat="0" applyProtection="0">
      <alignment horizontal="left" vertical="center" indent="1"/>
    </xf>
    <xf numFmtId="0" fontId="6" fillId="85" borderId="130" applyNumberFormat="0" applyProtection="0">
      <alignment horizontal="left" vertical="center" indent="1"/>
    </xf>
    <xf numFmtId="0" fontId="20" fillId="0" borderId="135" applyNumberFormat="0" applyFill="0" applyAlignment="0" applyProtection="0"/>
    <xf numFmtId="0" fontId="20" fillId="0" borderId="135" applyNumberFormat="0" applyFill="0" applyAlignment="0" applyProtection="0"/>
    <xf numFmtId="0" fontId="12" fillId="20" borderId="133" applyNumberFormat="0" applyAlignment="0" applyProtection="0"/>
    <xf numFmtId="0" fontId="156" fillId="106" borderId="134" applyNumberFormat="0" applyAlignment="0" applyProtection="0"/>
    <xf numFmtId="0" fontId="156" fillId="106" borderId="134" applyNumberFormat="0" applyAlignment="0" applyProtection="0"/>
    <xf numFmtId="0" fontId="12" fillId="20" borderId="133" applyNumberFormat="0" applyAlignment="0" applyProtection="0"/>
    <xf numFmtId="0" fontId="12" fillId="20" borderId="133" applyNumberFormat="0" applyAlignment="0" applyProtection="0"/>
    <xf numFmtId="0" fontId="156" fillId="106" borderId="134" applyNumberFormat="0" applyAlignment="0" applyProtection="0"/>
    <xf numFmtId="0" fontId="12" fillId="20" borderId="133" applyNumberFormat="0" applyAlignment="0" applyProtection="0"/>
    <xf numFmtId="0" fontId="12" fillId="20" borderId="133" applyNumberFormat="0" applyAlignment="0" applyProtection="0"/>
    <xf numFmtId="0" fontId="156" fillId="106" borderId="134" applyNumberFormat="0" applyAlignment="0" applyProtection="0"/>
    <xf numFmtId="0" fontId="156" fillId="106" borderId="134" applyNumberFormat="0" applyAlignment="0" applyProtection="0"/>
    <xf numFmtId="0" fontId="140" fillId="7" borderId="133" applyNumberFormat="0" applyAlignment="0" applyProtection="0"/>
    <xf numFmtId="0" fontId="164" fillId="103" borderId="134" applyNumberFormat="0" applyAlignment="0" applyProtection="0"/>
    <xf numFmtId="0" fontId="164" fillId="103" borderId="134" applyNumberFormat="0" applyAlignment="0" applyProtection="0"/>
    <xf numFmtId="0" fontId="140" fillId="7" borderId="133" applyNumberFormat="0" applyAlignment="0" applyProtection="0"/>
    <xf numFmtId="0" fontId="140" fillId="7" borderId="133" applyNumberFormat="0" applyAlignment="0" applyProtection="0"/>
    <xf numFmtId="0" fontId="140" fillId="7" borderId="133" applyNumberFormat="0" applyAlignment="0" applyProtection="0"/>
    <xf numFmtId="0" fontId="164" fillId="103" borderId="134" applyNumberFormat="0" applyAlignment="0" applyProtection="0"/>
    <xf numFmtId="0" fontId="140" fillId="7" borderId="133" applyNumberFormat="0" applyAlignment="0" applyProtection="0"/>
    <xf numFmtId="0" fontId="164" fillId="103" borderId="134" applyNumberFormat="0" applyAlignment="0" applyProtection="0"/>
    <xf numFmtId="0" fontId="164" fillId="103" borderId="134" applyNumberFormat="0" applyAlignment="0" applyProtection="0"/>
    <xf numFmtId="0" fontId="140" fillId="7" borderId="133" applyNumberFormat="0" applyAlignment="0" applyProtection="0"/>
    <xf numFmtId="0" fontId="9" fillId="24" borderId="132"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6" fillId="24" borderId="132" applyNumberFormat="0" applyFont="0" applyAlignment="0" applyProtection="0"/>
    <xf numFmtId="0" fontId="43" fillId="102" borderId="134" applyNumberFormat="0" applyFont="0" applyAlignment="0" applyProtection="0"/>
    <xf numFmtId="0" fontId="6" fillId="24" borderId="132" applyNumberFormat="0" applyFont="0" applyAlignment="0" applyProtection="0"/>
    <xf numFmtId="0" fontId="7" fillId="24" borderId="132" applyNumberFormat="0" applyFont="0" applyAlignment="0" applyProtection="0"/>
    <xf numFmtId="0" fontId="9" fillId="24" borderId="132" applyNumberFormat="0" applyFont="0" applyAlignment="0" applyProtection="0"/>
    <xf numFmtId="0" fontId="9" fillId="24" borderId="132" applyNumberFormat="0" applyFont="0" applyAlignment="0" applyProtection="0"/>
    <xf numFmtId="0" fontId="43" fillId="102" borderId="134" applyNumberFormat="0" applyFont="0" applyAlignment="0" applyProtection="0"/>
    <xf numFmtId="0" fontId="9" fillId="24" borderId="132" applyNumberFormat="0" applyFont="0" applyAlignment="0" applyProtection="0"/>
    <xf numFmtId="0" fontId="43" fillId="102" borderId="134" applyNumberFormat="0" applyFont="0" applyAlignment="0" applyProtection="0"/>
    <xf numFmtId="0" fontId="7" fillId="24" borderId="132"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6" fillId="24" borderId="132" applyNumberFormat="0" applyFont="0" applyAlignment="0" applyProtection="0"/>
    <xf numFmtId="0" fontId="43" fillId="102" borderId="134" applyNumberFormat="0" applyFont="0" applyAlignment="0" applyProtection="0"/>
    <xf numFmtId="0" fontId="6" fillId="24" borderId="132" applyNumberFormat="0" applyFont="0" applyAlignment="0" applyProtection="0"/>
    <xf numFmtId="0" fontId="6" fillId="24" borderId="132"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43" fillId="102" borderId="134" applyNumberFormat="0" applyFont="0" applyAlignment="0" applyProtection="0"/>
    <xf numFmtId="0" fontId="6" fillId="24" borderId="132" applyNumberFormat="0" applyFont="0" applyAlignment="0" applyProtection="0"/>
    <xf numFmtId="0" fontId="6" fillId="24" borderId="132" applyNumberFormat="0" applyFont="0" applyAlignment="0" applyProtection="0"/>
    <xf numFmtId="0" fontId="7" fillId="24" borderId="132" applyNumberFormat="0" applyFont="0" applyAlignment="0" applyProtection="0"/>
    <xf numFmtId="0" fontId="145" fillId="20" borderId="130" applyNumberFormat="0" applyAlignment="0" applyProtection="0"/>
    <xf numFmtId="0" fontId="145" fillId="106" borderId="130" applyNumberFormat="0" applyAlignment="0" applyProtection="0"/>
    <xf numFmtId="0" fontId="145" fillId="106" borderId="130" applyNumberFormat="0" applyAlignment="0" applyProtection="0"/>
    <xf numFmtId="0" fontId="145" fillId="20" borderId="130" applyNumberFormat="0" applyAlignment="0" applyProtection="0"/>
    <xf numFmtId="0" fontId="145" fillId="20" borderId="130" applyNumberFormat="0" applyAlignment="0" applyProtection="0"/>
    <xf numFmtId="0" fontId="145" fillId="106" borderId="130" applyNumberFormat="0" applyAlignment="0" applyProtection="0"/>
    <xf numFmtId="0" fontId="145" fillId="20" borderId="130" applyNumberFormat="0" applyAlignment="0" applyProtection="0"/>
    <xf numFmtId="0" fontId="145" fillId="20" borderId="130" applyNumberFormat="0" applyAlignment="0" applyProtection="0"/>
    <xf numFmtId="0" fontId="145" fillId="106" borderId="130" applyNumberFormat="0" applyAlignment="0" applyProtection="0"/>
    <xf numFmtId="0" fontId="26" fillId="28" borderId="130" applyNumberFormat="0" applyAlignment="0" applyProtection="0"/>
    <xf numFmtId="0" fontId="145" fillId="106" borderId="130" applyNumberFormat="0" applyAlignment="0" applyProtection="0"/>
    <xf numFmtId="0" fontId="145" fillId="20" borderId="130" applyNumberFormat="0" applyAlignment="0" applyProtection="0"/>
    <xf numFmtId="0" fontId="26" fillId="28" borderId="130" applyNumberFormat="0" applyAlignment="0" applyProtection="0"/>
    <xf numFmtId="4" fontId="43" fillId="23" borderId="134" applyNumberFormat="0" applyProtection="0">
      <alignment vertical="center"/>
    </xf>
    <xf numFmtId="4" fontId="43" fillId="23" borderId="134" applyNumberFormat="0" applyProtection="0">
      <alignment vertical="center"/>
    </xf>
    <xf numFmtId="4" fontId="43" fillId="23" borderId="134" applyNumberFormat="0" applyProtection="0">
      <alignment vertical="center"/>
    </xf>
    <xf numFmtId="4" fontId="43" fillId="23" borderId="134" applyNumberFormat="0" applyProtection="0">
      <alignment vertical="center"/>
    </xf>
    <xf numFmtId="4" fontId="172" fillId="42" borderId="134" applyNumberFormat="0" applyProtection="0">
      <alignment vertical="center"/>
    </xf>
    <xf numFmtId="4" fontId="172" fillId="42" borderId="134" applyNumberFormat="0" applyProtection="0">
      <alignment vertical="center"/>
    </xf>
    <xf numFmtId="4" fontId="43" fillId="42" borderId="134" applyNumberFormat="0" applyProtection="0">
      <alignment horizontal="left" vertical="center" indent="1"/>
    </xf>
    <xf numFmtId="4" fontId="43" fillId="42" borderId="134" applyNumberFormat="0" applyProtection="0">
      <alignment horizontal="left" vertical="center" indent="1"/>
    </xf>
    <xf numFmtId="4" fontId="43" fillId="42" borderId="134" applyNumberFormat="0" applyProtection="0">
      <alignment horizontal="left" vertical="center" indent="1"/>
    </xf>
    <xf numFmtId="4" fontId="43" fillId="42" borderId="134" applyNumberFormat="0" applyProtection="0">
      <alignment horizontal="left" vertical="center" indent="1"/>
    </xf>
    <xf numFmtId="0" fontId="173" fillId="23" borderId="131" applyNumberFormat="0" applyProtection="0">
      <alignment horizontal="left" vertical="top" indent="1"/>
    </xf>
    <xf numFmtId="0" fontId="173" fillId="23" borderId="131" applyNumberFormat="0" applyProtection="0">
      <alignment horizontal="left" vertical="top" indent="1"/>
    </xf>
    <xf numFmtId="4" fontId="43" fillId="14" borderId="134" applyNumberFormat="0" applyProtection="0">
      <alignment horizontal="left" vertical="center" indent="1"/>
    </xf>
    <xf numFmtId="4" fontId="43" fillId="14" borderId="134" applyNumberFormat="0" applyProtection="0">
      <alignment horizontal="left" vertical="center" indent="1"/>
    </xf>
    <xf numFmtId="4" fontId="43" fillId="14" borderId="134" applyNumberFormat="0" applyProtection="0">
      <alignment horizontal="left" vertical="center" indent="1"/>
    </xf>
    <xf numFmtId="4" fontId="43" fillId="14" borderId="134" applyNumberFormat="0" applyProtection="0">
      <alignment horizontal="left" vertical="center" indent="1"/>
    </xf>
    <xf numFmtId="4" fontId="43" fillId="3" borderId="134" applyNumberFormat="0" applyProtection="0">
      <alignment horizontal="right" vertical="center"/>
    </xf>
    <xf numFmtId="4" fontId="43" fillId="3" borderId="134" applyNumberFormat="0" applyProtection="0">
      <alignment horizontal="right" vertical="center"/>
    </xf>
    <xf numFmtId="4" fontId="43" fillId="111" borderId="134" applyNumberFormat="0" applyProtection="0">
      <alignment horizontal="right" vertical="center"/>
    </xf>
    <xf numFmtId="4" fontId="43" fillId="111" borderId="134" applyNumberFormat="0" applyProtection="0">
      <alignment horizontal="right" vertical="center"/>
    </xf>
    <xf numFmtId="4" fontId="43" fillId="17" borderId="136" applyNumberFormat="0" applyProtection="0">
      <alignment horizontal="right" vertical="center"/>
    </xf>
    <xf numFmtId="4" fontId="43" fillId="17" borderId="136" applyNumberFormat="0" applyProtection="0">
      <alignment horizontal="right" vertical="center"/>
    </xf>
    <xf numFmtId="4" fontId="43" fillId="11" borderId="134" applyNumberFormat="0" applyProtection="0">
      <alignment horizontal="right" vertical="center"/>
    </xf>
    <xf numFmtId="4" fontId="43" fillId="11" borderId="134" applyNumberFormat="0" applyProtection="0">
      <alignment horizontal="right" vertical="center"/>
    </xf>
    <xf numFmtId="4" fontId="43" fillId="15" borderId="134" applyNumberFormat="0" applyProtection="0">
      <alignment horizontal="right" vertical="center"/>
    </xf>
    <xf numFmtId="4" fontId="43" fillId="15" borderId="134" applyNumberFormat="0" applyProtection="0">
      <alignment horizontal="right" vertical="center"/>
    </xf>
    <xf numFmtId="4" fontId="43" fillId="19" borderId="134" applyNumberFormat="0" applyProtection="0">
      <alignment horizontal="right" vertical="center"/>
    </xf>
    <xf numFmtId="4" fontId="43" fillId="19" borderId="134" applyNumberFormat="0" applyProtection="0">
      <alignment horizontal="right" vertical="center"/>
    </xf>
    <xf numFmtId="4" fontId="43" fillId="18" borderId="134" applyNumberFormat="0" applyProtection="0">
      <alignment horizontal="right" vertical="center"/>
    </xf>
    <xf numFmtId="4" fontId="43" fillId="18" borderId="134" applyNumberFormat="0" applyProtection="0">
      <alignment horizontal="right" vertical="center"/>
    </xf>
    <xf numFmtId="4" fontId="43" fillId="44" borderId="134" applyNumberFormat="0" applyProtection="0">
      <alignment horizontal="right" vertical="center"/>
    </xf>
    <xf numFmtId="4" fontId="43" fillId="44" borderId="134" applyNumberFormat="0" applyProtection="0">
      <alignment horizontal="right" vertical="center"/>
    </xf>
    <xf numFmtId="4" fontId="43" fillId="9" borderId="134" applyNumberFormat="0" applyProtection="0">
      <alignment horizontal="right" vertical="center"/>
    </xf>
    <xf numFmtId="4" fontId="43" fillId="9" borderId="134" applyNumberFormat="0" applyProtection="0">
      <alignment horizontal="right" vertical="center"/>
    </xf>
    <xf numFmtId="4" fontId="43" fillId="45" borderId="136" applyNumberFormat="0" applyProtection="0">
      <alignment horizontal="left" vertical="center" indent="1"/>
    </xf>
    <xf numFmtId="4" fontId="43" fillId="45" borderId="136" applyNumberFormat="0" applyProtection="0">
      <alignment horizontal="left" vertical="center" indent="1"/>
    </xf>
    <xf numFmtId="4" fontId="6" fillId="83" borderId="136" applyNumberFormat="0" applyProtection="0">
      <alignment horizontal="left" vertical="center" indent="1"/>
    </xf>
    <xf numFmtId="4" fontId="6" fillId="83" borderId="136" applyNumberFormat="0" applyProtection="0">
      <alignment horizontal="left" vertical="center" indent="1"/>
    </xf>
    <xf numFmtId="4" fontId="6" fillId="83" borderId="136" applyNumberFormat="0" applyProtection="0">
      <alignment horizontal="left" vertical="center" indent="1"/>
    </xf>
    <xf numFmtId="4" fontId="6" fillId="83" borderId="136" applyNumberFormat="0" applyProtection="0">
      <alignment horizontal="left" vertical="center" indent="1"/>
    </xf>
    <xf numFmtId="4" fontId="43" fillId="48" borderId="134" applyNumberFormat="0" applyProtection="0">
      <alignment horizontal="right" vertical="center"/>
    </xf>
    <xf numFmtId="4" fontId="43" fillId="48" borderId="134" applyNumberFormat="0" applyProtection="0">
      <alignment horizontal="right" vertical="center"/>
    </xf>
    <xf numFmtId="4" fontId="43" fillId="46" borderId="136" applyNumberFormat="0" applyProtection="0">
      <alignment horizontal="left" vertical="center" indent="1"/>
    </xf>
    <xf numFmtId="4" fontId="43" fillId="46" borderId="136" applyNumberFormat="0" applyProtection="0">
      <alignment horizontal="left" vertical="center" indent="1"/>
    </xf>
    <xf numFmtId="4" fontId="43" fillId="48" borderId="136" applyNumberFormat="0" applyProtection="0">
      <alignment horizontal="left" vertical="center" indent="1"/>
    </xf>
    <xf numFmtId="4" fontId="43" fillId="48" borderId="136" applyNumberFormat="0" applyProtection="0">
      <alignment horizontal="left" vertical="center" indent="1"/>
    </xf>
    <xf numFmtId="0" fontId="43" fillId="20" borderId="134" applyNumberFormat="0" applyProtection="0">
      <alignment horizontal="left" vertical="center" indent="1"/>
    </xf>
    <xf numFmtId="0" fontId="43" fillId="20" borderId="134" applyNumberFormat="0" applyProtection="0">
      <alignment horizontal="left" vertical="center"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83" borderId="131" applyNumberFormat="0" applyProtection="0">
      <alignment horizontal="left" vertical="top" indent="1"/>
    </xf>
    <xf numFmtId="0" fontId="43" fillId="112" borderId="134" applyNumberFormat="0" applyProtection="0">
      <alignment horizontal="left" vertical="center" indent="1"/>
    </xf>
    <xf numFmtId="0" fontId="43" fillId="112" borderId="134" applyNumberFormat="0" applyProtection="0">
      <alignment horizontal="left" vertical="center"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48" borderId="131" applyNumberFormat="0" applyProtection="0">
      <alignment horizontal="left" vertical="top" indent="1"/>
    </xf>
    <xf numFmtId="0" fontId="43" fillId="10" borderId="134" applyNumberFormat="0" applyProtection="0">
      <alignment horizontal="left" vertical="center" indent="1"/>
    </xf>
    <xf numFmtId="0" fontId="43" fillId="10" borderId="134" applyNumberFormat="0" applyProtection="0">
      <alignment horizontal="left" vertical="center"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10" borderId="131" applyNumberFormat="0" applyProtection="0">
      <alignment horizontal="left" vertical="top" indent="1"/>
    </xf>
    <xf numFmtId="0" fontId="43" fillId="46" borderId="134" applyNumberFormat="0" applyProtection="0">
      <alignment horizontal="left" vertical="center" indent="1"/>
    </xf>
    <xf numFmtId="0" fontId="43" fillId="46" borderId="134" applyNumberFormat="0" applyProtection="0">
      <alignment horizontal="left" vertical="center"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46" borderId="131" applyNumberFormat="0" applyProtection="0">
      <alignment horizontal="left" vertical="top" indent="1"/>
    </xf>
    <xf numFmtId="0" fontId="43" fillId="84" borderId="137" applyNumberFormat="0">
      <protection locked="0"/>
    </xf>
    <xf numFmtId="0" fontId="43" fillId="84" borderId="137" applyNumberFormat="0">
      <protection locked="0"/>
    </xf>
    <xf numFmtId="0" fontId="43" fillId="84" borderId="137" applyNumberFormat="0">
      <protection locked="0"/>
    </xf>
    <xf numFmtId="0" fontId="43" fillId="84" borderId="137" applyNumberFormat="0">
      <protection locked="0"/>
    </xf>
    <xf numFmtId="0" fontId="43" fillId="84" borderId="137" applyNumberFormat="0">
      <protection locked="0"/>
    </xf>
    <xf numFmtId="0" fontId="42" fillId="83" borderId="138" applyBorder="0"/>
    <xf numFmtId="0" fontId="42" fillId="83" borderId="138" applyBorder="0"/>
    <xf numFmtId="4" fontId="62" fillId="24" borderId="131" applyNumberFormat="0" applyProtection="0">
      <alignment vertical="center"/>
    </xf>
    <xf numFmtId="4" fontId="62" fillId="24" borderId="131" applyNumberFormat="0" applyProtection="0">
      <alignment vertical="center"/>
    </xf>
    <xf numFmtId="4" fontId="62" fillId="20" borderId="131" applyNumberFormat="0" applyProtection="0">
      <alignment horizontal="left" vertical="center" indent="1"/>
    </xf>
    <xf numFmtId="4" fontId="62" fillId="20" borderId="131" applyNumberFormat="0" applyProtection="0">
      <alignment horizontal="left" vertical="center" indent="1"/>
    </xf>
    <xf numFmtId="0" fontId="62" fillId="24" borderId="131" applyNumberFormat="0" applyProtection="0">
      <alignment horizontal="left" vertical="top" indent="1"/>
    </xf>
    <xf numFmtId="0" fontId="62" fillId="24" borderId="131" applyNumberFormat="0" applyProtection="0">
      <alignment horizontal="left" vertical="top" indent="1"/>
    </xf>
    <xf numFmtId="4" fontId="43" fillId="0" borderId="134" applyNumberFormat="0" applyProtection="0">
      <alignment horizontal="right" vertical="center"/>
    </xf>
    <xf numFmtId="4" fontId="43" fillId="0" borderId="134" applyNumberFormat="0" applyProtection="0">
      <alignment horizontal="right" vertical="center"/>
    </xf>
    <xf numFmtId="4" fontId="43" fillId="0" borderId="134" applyNumberFormat="0" applyProtection="0">
      <alignment horizontal="right" vertical="center"/>
    </xf>
    <xf numFmtId="4" fontId="43" fillId="0" borderId="134" applyNumberFormat="0" applyProtection="0">
      <alignment horizontal="right" vertical="center"/>
    </xf>
    <xf numFmtId="4" fontId="172" fillId="52" borderId="134" applyNumberFormat="0" applyProtection="0">
      <alignment horizontal="right" vertical="center"/>
    </xf>
    <xf numFmtId="4" fontId="172" fillId="52" borderId="134" applyNumberFormat="0" applyProtection="0">
      <alignment horizontal="right" vertical="center"/>
    </xf>
    <xf numFmtId="4" fontId="43" fillId="14" borderId="134" applyNumberFormat="0" applyProtection="0">
      <alignment horizontal="left" vertical="center" indent="1"/>
    </xf>
    <xf numFmtId="4" fontId="43" fillId="14" borderId="134" applyNumberFormat="0" applyProtection="0">
      <alignment horizontal="left" vertical="center" indent="1"/>
    </xf>
    <xf numFmtId="4" fontId="30" fillId="48" borderId="131" applyNumberFormat="0" applyProtection="0">
      <alignment horizontal="left" vertical="center" indent="1"/>
    </xf>
    <xf numFmtId="4" fontId="43" fillId="14" borderId="134" applyNumberFormat="0" applyProtection="0">
      <alignment horizontal="left" vertical="center" indent="1"/>
    </xf>
    <xf numFmtId="0" fontId="62" fillId="48" borderId="131" applyNumberFormat="0" applyProtection="0">
      <alignment horizontal="left" vertical="top" indent="1"/>
    </xf>
    <xf numFmtId="0" fontId="62" fillId="48" borderId="131" applyNumberFormat="0" applyProtection="0">
      <alignment horizontal="left" vertical="top" indent="1"/>
    </xf>
    <xf numFmtId="4" fontId="174" fillId="50" borderId="136" applyNumberFormat="0" applyProtection="0">
      <alignment horizontal="left" vertical="center" indent="1"/>
    </xf>
    <xf numFmtId="4" fontId="174" fillId="50" borderId="136" applyNumberFormat="0" applyProtection="0">
      <alignment horizontal="left" vertical="center" indent="1"/>
    </xf>
    <xf numFmtId="4" fontId="175" fillId="84" borderId="134" applyNumberFormat="0" applyProtection="0">
      <alignment horizontal="right" vertical="center"/>
    </xf>
    <xf numFmtId="4" fontId="175" fillId="84" borderId="134" applyNumberFormat="0" applyProtection="0">
      <alignment horizontal="right" vertical="center"/>
    </xf>
    <xf numFmtId="0" fontId="20" fillId="0" borderId="139" applyNumberFormat="0" applyFill="0" applyAlignment="0" applyProtection="0"/>
    <xf numFmtId="0" fontId="20" fillId="0" borderId="140" applyNumberFormat="0" applyFill="0" applyAlignment="0" applyProtection="0"/>
    <xf numFmtId="0" fontId="20" fillId="0" borderId="140" applyNumberFormat="0" applyFill="0" applyAlignment="0" applyProtection="0"/>
    <xf numFmtId="0" fontId="20" fillId="0" borderId="139" applyNumberFormat="0" applyFill="0" applyAlignment="0" applyProtection="0"/>
    <xf numFmtId="0" fontId="20" fillId="0" borderId="139" applyNumberFormat="0" applyFill="0" applyAlignment="0" applyProtection="0"/>
    <xf numFmtId="0" fontId="20" fillId="0" borderId="140" applyNumberFormat="0" applyFill="0" applyAlignment="0" applyProtection="0"/>
    <xf numFmtId="0" fontId="20" fillId="0" borderId="139" applyNumberFormat="0" applyFill="0" applyAlignment="0" applyProtection="0"/>
    <xf numFmtId="0" fontId="20" fillId="0" borderId="139" applyNumberFormat="0" applyFill="0" applyAlignment="0" applyProtection="0"/>
    <xf numFmtId="0" fontId="20" fillId="0" borderId="140" applyNumberFormat="0" applyFill="0" applyAlignment="0" applyProtection="0"/>
    <xf numFmtId="0" fontId="20" fillId="0" borderId="140" applyNumberFormat="0" applyFill="0" applyAlignment="0" applyProtection="0"/>
    <xf numFmtId="0" fontId="134" fillId="84" borderId="133" applyNumberFormat="0" applyAlignment="0" applyProtection="0"/>
    <xf numFmtId="0" fontId="134" fillId="84" borderId="133" applyNumberFormat="0" applyAlignment="0" applyProtection="0"/>
    <xf numFmtId="0" fontId="140" fillId="23" borderId="133" applyNumberFormat="0" applyAlignment="0" applyProtection="0"/>
    <xf numFmtId="0" fontId="140" fillId="23" borderId="133" applyNumberFormat="0" applyAlignment="0" applyProtection="0"/>
    <xf numFmtId="0" fontId="6" fillId="24" borderId="132" applyNumberFormat="0" applyFont="0" applyAlignment="0" applyProtection="0"/>
    <xf numFmtId="0" fontId="6" fillId="24" borderId="132" applyNumberFormat="0" applyFont="0" applyAlignment="0" applyProtection="0"/>
    <xf numFmtId="0" fontId="145" fillId="84" borderId="130" applyNumberFormat="0" applyAlignment="0" applyProtection="0"/>
    <xf numFmtId="0" fontId="145" fillId="84" borderId="130" applyNumberFormat="0" applyAlignment="0" applyProtection="0"/>
    <xf numFmtId="0" fontId="6" fillId="85" borderId="130" applyNumberFormat="0" applyProtection="0">
      <alignment horizontal="left" vertical="center" indent="1"/>
    </xf>
    <xf numFmtId="0" fontId="20" fillId="0" borderId="135" applyNumberFormat="0" applyFill="0" applyAlignment="0" applyProtection="0"/>
    <xf numFmtId="0" fontId="20" fillId="0" borderId="135" applyNumberFormat="0" applyFill="0" applyAlignment="0" applyProtection="0"/>
    <xf numFmtId="0" fontId="140" fillId="23" borderId="133" applyNumberFormat="0" applyAlignment="0" applyProtection="0"/>
    <xf numFmtId="4" fontId="30" fillId="48" borderId="131" applyNumberFormat="0" applyProtection="0">
      <alignment horizontal="left" vertical="center" indent="1"/>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2" fillId="45" borderId="142" applyNumberFormat="0" applyProtection="0">
      <alignment horizontal="left" vertical="center" indent="1"/>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0" fontId="24" fillId="2" borderId="143" applyFill="0">
      <alignment horizontal="left" vertical="top" wrapText="1"/>
    </xf>
    <xf numFmtId="0" fontId="91" fillId="0" borderId="141" applyNumberFormat="0" applyAlignment="0" applyProtection="0">
      <alignment horizontal="left" vertical="center"/>
    </xf>
    <xf numFmtId="0" fontId="91" fillId="0" borderId="144">
      <alignment horizontal="left" vertical="center"/>
    </xf>
    <xf numFmtId="10" fontId="43" fillId="22" borderId="143" applyNumberFormat="0" applyBorder="0" applyAlignment="0" applyProtection="0"/>
    <xf numFmtId="4" fontId="32" fillId="45" borderId="145" applyNumberFormat="0" applyProtection="0">
      <alignment horizontal="left" vertical="center" indent="1"/>
    </xf>
    <xf numFmtId="0" fontId="100" fillId="1" borderId="144" applyNumberFormat="0" applyFont="0" applyAlignment="0">
      <alignment horizontal="center"/>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0" fillId="19" borderId="131" applyNumberFormat="0" applyProtection="0">
      <alignment horizontal="right" vertical="center"/>
    </xf>
    <xf numFmtId="4" fontId="30" fillId="8" borderId="131" applyNumberFormat="0" applyProtection="0">
      <alignment horizontal="right" vertical="center"/>
    </xf>
    <xf numFmtId="4" fontId="32" fillId="42" borderId="131" applyNumberFormat="0" applyProtection="0">
      <alignment horizontal="left" vertical="center" indent="1"/>
    </xf>
    <xf numFmtId="4" fontId="30" fillId="8" borderId="131" applyNumberFormat="0" applyProtection="0">
      <alignment horizontal="right" vertical="center"/>
    </xf>
    <xf numFmtId="4" fontId="30" fillId="15" borderId="131" applyNumberFormat="0" applyProtection="0">
      <alignment horizontal="right" vertical="center"/>
    </xf>
    <xf numFmtId="4" fontId="32" fillId="42" borderId="131" applyNumberFormat="0" applyProtection="0">
      <alignment horizontal="left" vertical="center" indent="1"/>
    </xf>
    <xf numFmtId="4" fontId="30" fillId="48" borderId="131" applyNumberFormat="0" applyProtection="0">
      <alignment horizontal="right" vertical="center"/>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5" borderId="131" applyNumberFormat="0" applyProtection="0">
      <alignment horizontal="right" vertical="center"/>
    </xf>
    <xf numFmtId="4" fontId="30" fillId="11" borderId="131" applyNumberFormat="0" applyProtection="0">
      <alignment horizontal="right" vertical="center"/>
    </xf>
    <xf numFmtId="4" fontId="30" fillId="17"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5" borderId="145"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91" fillId="0" borderId="141" applyNumberFormat="0" applyAlignment="0" applyProtection="0">
      <alignment horizontal="left" vertical="center"/>
    </xf>
    <xf numFmtId="4" fontId="32" fillId="23" borderId="131" applyNumberFormat="0" applyProtection="0">
      <alignment vertical="center"/>
    </xf>
    <xf numFmtId="4" fontId="102" fillId="42" borderId="131" applyNumberFormat="0" applyProtection="0">
      <alignment vertical="center"/>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17"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2" fillId="45" borderId="145" applyNumberFormat="0" applyProtection="0">
      <alignment horizontal="left" vertical="center" indent="1"/>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4" fontId="30" fillId="11" borderId="131" applyNumberFormat="0" applyProtection="0">
      <alignment horizontal="right" vertical="center"/>
    </xf>
    <xf numFmtId="0" fontId="6" fillId="43" borderId="131" applyNumberFormat="0" applyProtection="0">
      <alignment horizontal="left" vertical="top" indent="1"/>
    </xf>
    <xf numFmtId="4" fontId="30" fillId="46" borderId="131" applyNumberFormat="0" applyProtection="0">
      <alignment horizontal="right" vertical="center"/>
    </xf>
    <xf numFmtId="0" fontId="91" fillId="0" borderId="141" applyNumberFormat="0" applyAlignment="0" applyProtection="0">
      <alignment horizontal="left" vertical="center"/>
    </xf>
    <xf numFmtId="4" fontId="32" fillId="45" borderId="145" applyNumberFormat="0" applyProtection="0">
      <alignment horizontal="left" vertical="center" indent="1"/>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0" fontId="91" fillId="0" borderId="141" applyNumberFormat="0" applyAlignment="0" applyProtection="0">
      <alignment horizontal="left" vertical="center"/>
    </xf>
    <xf numFmtId="4" fontId="32" fillId="45" borderId="145" applyNumberFormat="0" applyProtection="0">
      <alignment horizontal="left" vertical="center" indent="1"/>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45" borderId="145" applyNumberFormat="0" applyProtection="0">
      <alignment horizontal="left" vertical="center" indent="1"/>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0" fontId="91" fillId="0" borderId="141" applyNumberFormat="0" applyAlignment="0" applyProtection="0">
      <alignment horizontal="left" vertical="center"/>
    </xf>
    <xf numFmtId="4" fontId="32" fillId="45" borderId="145" applyNumberFormat="0" applyProtection="0">
      <alignment horizontal="left" vertical="center" indent="1"/>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45" borderId="145" applyNumberFormat="0" applyProtection="0">
      <alignment horizontal="left" vertical="center" indent="1"/>
    </xf>
    <xf numFmtId="4" fontId="104" fillId="46" borderId="131" applyNumberFormat="0" applyProtection="0">
      <alignment horizontal="right" vertical="center"/>
    </xf>
    <xf numFmtId="4" fontId="30" fillId="48" borderId="131" applyNumberFormat="0" applyProtection="0">
      <alignment horizontal="right" vertical="center"/>
    </xf>
    <xf numFmtId="4" fontId="30" fillId="11" borderId="131" applyNumberFormat="0" applyProtection="0">
      <alignment horizontal="right" vertical="center"/>
    </xf>
    <xf numFmtId="0" fontId="30" fillId="22" borderId="131" applyNumberFormat="0" applyProtection="0">
      <alignment horizontal="left" vertical="top" indent="1"/>
    </xf>
    <xf numFmtId="4" fontId="30" fillId="48" borderId="131" applyNumberFormat="0" applyProtection="0">
      <alignment horizontal="left" vertical="center" indent="1"/>
    </xf>
    <xf numFmtId="4" fontId="30" fillId="46" borderId="131" applyNumberFormat="0" applyProtection="0">
      <alignment horizontal="right" vertical="center"/>
    </xf>
    <xf numFmtId="4" fontId="30" fillId="22" borderId="131" applyNumberFormat="0" applyProtection="0">
      <alignment horizontal="left" vertical="center" indent="1"/>
    </xf>
    <xf numFmtId="4" fontId="104" fillId="22" borderId="131" applyNumberFormat="0" applyProtection="0">
      <alignment vertical="center"/>
    </xf>
    <xf numFmtId="4" fontId="30" fillId="22" borderId="131" applyNumberFormat="0" applyProtection="0">
      <alignment vertical="center"/>
    </xf>
    <xf numFmtId="0" fontId="6" fillId="49" borderId="131" applyNumberFormat="0" applyProtection="0">
      <alignment horizontal="left" vertical="top" indent="1"/>
    </xf>
    <xf numFmtId="0" fontId="6" fillId="49" borderId="131" applyNumberFormat="0" applyProtection="0">
      <alignment horizontal="left" vertical="center" indent="1"/>
    </xf>
    <xf numFmtId="0" fontId="6" fillId="39" borderId="131" applyNumberFormat="0" applyProtection="0">
      <alignment horizontal="left" vertical="top" indent="1"/>
    </xf>
    <xf numFmtId="0" fontId="6" fillId="39" borderId="131" applyNumberFormat="0" applyProtection="0">
      <alignment horizontal="left" vertical="center" indent="1"/>
    </xf>
    <xf numFmtId="0" fontId="6" fillId="43" borderId="131" applyNumberFormat="0" applyProtection="0">
      <alignment horizontal="left" vertical="top" indent="1"/>
    </xf>
    <xf numFmtId="0" fontId="6" fillId="43" borderId="131" applyNumberFormat="0" applyProtection="0">
      <alignment horizontal="left" vertical="center" indent="1"/>
    </xf>
    <xf numFmtId="0" fontId="6" fillId="47" borderId="131" applyNumberFormat="0" applyProtection="0">
      <alignment horizontal="left" vertical="top" indent="1"/>
    </xf>
    <xf numFmtId="0" fontId="6" fillId="47" borderId="131" applyNumberFormat="0" applyProtection="0">
      <alignment horizontal="left" vertical="center" indent="1"/>
    </xf>
    <xf numFmtId="4" fontId="30" fillId="9" borderId="131" applyNumberFormat="0" applyProtection="0">
      <alignment horizontal="right" vertical="center"/>
    </xf>
    <xf numFmtId="4" fontId="30" fillId="44" borderId="131" applyNumberFormat="0" applyProtection="0">
      <alignment horizontal="right" vertical="center"/>
    </xf>
    <xf numFmtId="4" fontId="30" fillId="18" borderId="131" applyNumberFormat="0" applyProtection="0">
      <alignment horizontal="right" vertical="center"/>
    </xf>
    <xf numFmtId="4" fontId="30" fillId="19" borderId="131" applyNumberFormat="0" applyProtection="0">
      <alignment horizontal="right" vertical="center"/>
    </xf>
    <xf numFmtId="4" fontId="30" fillId="15" borderId="131" applyNumberFormat="0" applyProtection="0">
      <alignment horizontal="right" vertical="center"/>
    </xf>
    <xf numFmtId="4" fontId="30" fillId="17" borderId="131" applyNumberFormat="0" applyProtection="0">
      <alignment horizontal="right" vertical="center"/>
    </xf>
    <xf numFmtId="4" fontId="30" fillId="8" borderId="131" applyNumberFormat="0" applyProtection="0">
      <alignment horizontal="right" vertical="center"/>
    </xf>
    <xf numFmtId="4" fontId="30" fillId="3" borderId="131" applyNumberFormat="0" applyProtection="0">
      <alignment horizontal="right" vertical="center"/>
    </xf>
    <xf numFmtId="0" fontId="32" fillId="42" borderId="131" applyNumberFormat="0" applyProtection="0">
      <alignment horizontal="left" vertical="top" indent="1"/>
    </xf>
    <xf numFmtId="4" fontId="32" fillId="42" borderId="131" applyNumberFormat="0" applyProtection="0">
      <alignment horizontal="left" vertical="center" indent="1"/>
    </xf>
    <xf numFmtId="4" fontId="102" fillId="42" borderId="131" applyNumberFormat="0" applyProtection="0">
      <alignment vertical="center"/>
    </xf>
    <xf numFmtId="4" fontId="32" fillId="23" borderId="131" applyNumberFormat="0" applyProtection="0">
      <alignment vertical="center"/>
    </xf>
    <xf numFmtId="0" fontId="30" fillId="43" borderId="131" applyNumberFormat="0" applyProtection="0">
      <alignment horizontal="left" vertical="top" indent="1"/>
    </xf>
    <xf numFmtId="4" fontId="106" fillId="46" borderId="131" applyNumberFormat="0" applyProtection="0">
      <alignment horizontal="right" vertical="center"/>
    </xf>
    <xf numFmtId="4" fontId="32" fillId="23" borderId="131" applyNumberFormat="0" applyProtection="0">
      <alignment vertical="center"/>
    </xf>
    <xf numFmtId="4" fontId="102" fillId="42" borderId="131" applyNumberFormat="0" applyProtection="0">
      <alignment vertical="center"/>
    </xf>
    <xf numFmtId="4" fontId="32" fillId="42" borderId="131" applyNumberFormat="0" applyProtection="0">
      <alignment horizontal="left" vertical="center" indent="1"/>
    </xf>
    <xf numFmtId="0" fontId="32" fillId="42" borderId="131" applyNumberFormat="0" applyProtection="0">
      <alignment horizontal="left" vertical="top" indent="1"/>
    </xf>
    <xf numFmtId="4" fontId="30" fillId="3" borderId="131" applyNumberFormat="0" applyProtection="0">
      <alignment horizontal="right" vertical="center"/>
    </xf>
    <xf numFmtId="4" fontId="30" fillId="8" borderId="131" applyNumberFormat="0" applyProtection="0">
      <alignment horizontal="right" vertical="center"/>
    </xf>
    <xf numFmtId="4" fontId="30" fillId="17" borderId="131" applyNumberFormat="0" applyProtection="0">
      <alignment horizontal="right" vertical="center"/>
    </xf>
    <xf numFmtId="4" fontId="30" fillId="11" borderId="131" applyNumberFormat="0" applyProtection="0">
      <alignment horizontal="right" vertical="center"/>
    </xf>
    <xf numFmtId="4" fontId="30" fillId="15" borderId="131" applyNumberFormat="0" applyProtection="0">
      <alignment horizontal="right" vertical="center"/>
    </xf>
    <xf numFmtId="4" fontId="30" fillId="19" borderId="131" applyNumberFormat="0" applyProtection="0">
      <alignment horizontal="right" vertical="center"/>
    </xf>
    <xf numFmtId="4" fontId="30" fillId="18" borderId="131" applyNumberFormat="0" applyProtection="0">
      <alignment horizontal="right" vertical="center"/>
    </xf>
    <xf numFmtId="4" fontId="30" fillId="44" borderId="131" applyNumberFormat="0" applyProtection="0">
      <alignment horizontal="right" vertical="center"/>
    </xf>
    <xf numFmtId="4" fontId="30" fillId="9" borderId="131" applyNumberFormat="0" applyProtection="0">
      <alignment horizontal="right" vertical="center"/>
    </xf>
    <xf numFmtId="4" fontId="30" fillId="48" borderId="131" applyNumberFormat="0" applyProtection="0">
      <alignment horizontal="right" vertical="center"/>
    </xf>
    <xf numFmtId="0" fontId="6" fillId="47" borderId="131" applyNumberFormat="0" applyProtection="0">
      <alignment horizontal="left" vertical="center" indent="1"/>
    </xf>
    <xf numFmtId="0" fontId="6" fillId="47" borderId="131" applyNumberFormat="0" applyProtection="0">
      <alignment horizontal="left" vertical="top" indent="1"/>
    </xf>
    <xf numFmtId="0" fontId="6" fillId="43" borderId="131" applyNumberFormat="0" applyProtection="0">
      <alignment horizontal="left" vertical="center" indent="1"/>
    </xf>
    <xf numFmtId="0" fontId="6" fillId="43" borderId="131" applyNumberFormat="0" applyProtection="0">
      <alignment horizontal="left" vertical="top" indent="1"/>
    </xf>
    <xf numFmtId="0" fontId="6" fillId="39" borderId="131" applyNumberFormat="0" applyProtection="0">
      <alignment horizontal="left" vertical="center" indent="1"/>
    </xf>
    <xf numFmtId="0" fontId="6" fillId="39" borderId="131" applyNumberFormat="0" applyProtection="0">
      <alignment horizontal="left" vertical="top" indent="1"/>
    </xf>
    <xf numFmtId="0" fontId="6" fillId="49" borderId="131" applyNumberFormat="0" applyProtection="0">
      <alignment horizontal="left" vertical="center" indent="1"/>
    </xf>
    <xf numFmtId="0" fontId="6" fillId="49" borderId="131" applyNumberFormat="0" applyProtection="0">
      <alignment horizontal="left" vertical="top" indent="1"/>
    </xf>
    <xf numFmtId="4" fontId="30" fillId="22" borderId="131" applyNumberFormat="0" applyProtection="0">
      <alignment vertical="center"/>
    </xf>
    <xf numFmtId="4" fontId="104" fillId="22" borderId="131" applyNumberFormat="0" applyProtection="0">
      <alignment vertical="center"/>
    </xf>
    <xf numFmtId="4" fontId="30" fillId="22" borderId="131" applyNumberFormat="0" applyProtection="0">
      <alignment horizontal="left" vertical="center" indent="1"/>
    </xf>
    <xf numFmtId="0" fontId="30" fillId="22" borderId="131" applyNumberFormat="0" applyProtection="0">
      <alignment horizontal="left" vertical="top" indent="1"/>
    </xf>
    <xf numFmtId="4" fontId="30" fillId="46" borderId="131" applyNumberFormat="0" applyProtection="0">
      <alignment horizontal="right" vertical="center"/>
    </xf>
    <xf numFmtId="4" fontId="104" fillId="46" borderId="131" applyNumberFormat="0" applyProtection="0">
      <alignment horizontal="right" vertical="center"/>
    </xf>
    <xf numFmtId="4" fontId="30" fillId="48" borderId="131" applyNumberFormat="0" applyProtection="0">
      <alignment horizontal="left" vertical="center" indent="1"/>
    </xf>
    <xf numFmtId="0" fontId="30" fillId="43" borderId="131" applyNumberFormat="0" applyProtection="0">
      <alignment horizontal="left" vertical="top" indent="1"/>
    </xf>
    <xf numFmtId="4" fontId="106" fillId="46" borderId="131" applyNumberFormat="0" applyProtection="0">
      <alignment horizontal="right" vertical="center"/>
    </xf>
    <xf numFmtId="4" fontId="30" fillId="48" borderId="131" applyNumberFormat="0" applyProtection="0">
      <alignment horizontal="left" vertical="center" indent="1"/>
    </xf>
    <xf numFmtId="4" fontId="30" fillId="48" borderId="131" applyNumberFormat="0" applyProtection="0">
      <alignment horizontal="left" vertical="center" indent="1"/>
    </xf>
    <xf numFmtId="0" fontId="2" fillId="0" borderId="0"/>
    <xf numFmtId="44" fontId="2" fillId="0" borderId="0" applyFont="0" applyFill="0" applyBorder="0" applyAlignment="0" applyProtection="0"/>
    <xf numFmtId="0" fontId="12" fillId="20" borderId="156" applyNumberFormat="0" applyAlignment="0" applyProtection="0"/>
    <xf numFmtId="0" fontId="12" fillId="20" borderId="156" applyNumberFormat="0" applyAlignment="0" applyProtection="0"/>
    <xf numFmtId="0" fontId="23" fillId="27" borderId="74" applyNumberFormat="0">
      <alignment horizontal="left"/>
      <protection locked="0"/>
    </xf>
    <xf numFmtId="0" fontId="23" fillId="27" borderId="74" applyNumberFormat="0">
      <alignment horizontal="left"/>
      <protection locked="0"/>
    </xf>
    <xf numFmtId="0" fontId="7" fillId="24" borderId="157" applyNumberFormat="0" applyFont="0" applyAlignment="0" applyProtection="0"/>
    <xf numFmtId="0" fontId="7" fillId="24" borderId="157" applyNumberFormat="0" applyFont="0" applyAlignment="0" applyProtection="0"/>
    <xf numFmtId="0" fontId="26" fillId="28" borderId="158" applyNumberFormat="0" applyAlignment="0" applyProtection="0"/>
    <xf numFmtId="0" fontId="26" fillId="28" borderId="158" applyNumberFormat="0" applyAlignment="0" applyProtection="0"/>
    <xf numFmtId="0" fontId="20" fillId="0" borderId="159" applyNumberFormat="0" applyFill="0" applyAlignment="0" applyProtection="0"/>
    <xf numFmtId="0" fontId="20" fillId="0" borderId="159" applyNumberFormat="0" applyFill="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0" fillId="48" borderId="175" applyNumberFormat="0" applyProtection="0">
      <alignment horizontal="left" vertical="center" indent="1"/>
    </xf>
    <xf numFmtId="4" fontId="30" fillId="48" borderId="175" applyNumberFormat="0" applyProtection="0">
      <alignment horizontal="left" vertical="center" indent="1"/>
    </xf>
    <xf numFmtId="0" fontId="1" fillId="0" borderId="0"/>
    <xf numFmtId="0" fontId="1" fillId="0" borderId="0"/>
    <xf numFmtId="0" fontId="1" fillId="0" borderId="0"/>
    <xf numFmtId="0" fontId="1" fillId="0" borderId="0"/>
    <xf numFmtId="0" fontId="6" fillId="43" borderId="175" applyNumberFormat="0" applyProtection="0">
      <alignment horizontal="left" vertical="center" indent="1"/>
    </xf>
    <xf numFmtId="4" fontId="30" fillId="17" borderId="175" applyNumberFormat="0" applyProtection="0">
      <alignment horizontal="right" vertical="center"/>
    </xf>
    <xf numFmtId="0" fontId="1" fillId="38" borderId="8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20" fillId="0" borderId="174" applyNumberFormat="0" applyFill="0" applyAlignment="0" applyProtection="0"/>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7" fillId="24" borderId="172" applyNumberFormat="0" applyFont="0" applyAlignment="0" applyProtection="0"/>
    <xf numFmtId="0" fontId="23" fillId="27" borderId="74" applyNumberFormat="0">
      <alignment horizontal="left"/>
      <protection locked="0"/>
    </xf>
    <xf numFmtId="0" fontId="1" fillId="0" borderId="0"/>
    <xf numFmtId="4" fontId="30" fillId="48" borderId="160" applyNumberFormat="0" applyProtection="0">
      <alignment horizontal="left" vertical="center" indent="1"/>
    </xf>
    <xf numFmtId="0" fontId="1" fillId="55" borderId="0" applyNumberFormat="0" applyBorder="0" applyAlignment="0" applyProtection="0"/>
    <xf numFmtId="0" fontId="1" fillId="0" borderId="0"/>
    <xf numFmtId="0" fontId="1" fillId="55" borderId="0" applyNumberFormat="0" applyBorder="0" applyAlignment="0" applyProtection="0"/>
    <xf numFmtId="0" fontId="1" fillId="55" borderId="0" applyNumberFormat="0" applyBorder="0" applyAlignment="0" applyProtection="0"/>
    <xf numFmtId="4" fontId="30" fillId="48" borderId="160" applyNumberFormat="0" applyProtection="0">
      <alignment horizontal="left" vertical="center" indent="1"/>
    </xf>
    <xf numFmtId="0" fontId="1" fillId="0" borderId="0"/>
    <xf numFmtId="0" fontId="1" fillId="0" borderId="0"/>
    <xf numFmtId="4" fontId="30" fillId="48" borderId="160" applyNumberFormat="0" applyProtection="0">
      <alignment horizontal="left" vertical="center" indent="1"/>
    </xf>
    <xf numFmtId="4" fontId="30" fillId="48" borderId="175" applyNumberFormat="0" applyProtection="0">
      <alignment horizontal="left" vertical="center" indent="1"/>
    </xf>
    <xf numFmtId="43" fontId="1" fillId="0" borderId="0" applyFont="0" applyFill="0" applyBorder="0" applyAlignment="0" applyProtection="0"/>
    <xf numFmtId="0" fontId="1" fillId="0" borderId="0"/>
    <xf numFmtId="0" fontId="1" fillId="56" borderId="0" applyNumberFormat="0" applyBorder="0" applyAlignment="0" applyProtection="0"/>
    <xf numFmtId="0" fontId="30" fillId="43" borderId="175" applyNumberFormat="0" applyProtection="0">
      <alignment horizontal="left" vertical="top" indent="1"/>
    </xf>
    <xf numFmtId="4" fontId="30" fillId="48" borderId="160" applyNumberFormat="0" applyProtection="0">
      <alignment horizontal="left" vertical="center" indent="1"/>
    </xf>
    <xf numFmtId="0" fontId="1" fillId="38" borderId="82" applyNumberFormat="0" applyFont="0" applyAlignment="0" applyProtection="0"/>
    <xf numFmtId="0" fontId="1" fillId="0" borderId="0"/>
    <xf numFmtId="4" fontId="30" fillId="48" borderId="160" applyNumberFormat="0" applyProtection="0">
      <alignment horizontal="left" vertical="center" indent="1"/>
    </xf>
    <xf numFmtId="0" fontId="1" fillId="38" borderId="82" applyNumberFormat="0" applyFont="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55"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56" borderId="0" applyNumberFormat="0" applyBorder="0" applyAlignment="0" applyProtection="0"/>
    <xf numFmtId="0" fontId="1" fillId="81" borderId="0" applyNumberFormat="0" applyBorder="0" applyAlignment="0" applyProtection="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56"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43" fontId="1" fillId="0" borderId="0" applyFont="0" applyFill="0" applyBorder="0" applyAlignment="0" applyProtection="0"/>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0" borderId="0"/>
    <xf numFmtId="4" fontId="30" fillId="48" borderId="175"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34" fillId="84" borderId="156" applyNumberFormat="0" applyAlignment="0" applyProtection="0"/>
    <xf numFmtId="0" fontId="134" fillId="84" borderId="15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0" fillId="23" borderId="156" applyNumberFormat="0" applyAlignment="0" applyProtection="0"/>
    <xf numFmtId="0" fontId="140" fillId="23" borderId="156" applyNumberFormat="0" applyAlignment="0" applyProtection="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0" fillId="48" borderId="175" applyNumberFormat="0" applyProtection="0">
      <alignment horizontal="left" vertical="center" indent="1"/>
    </xf>
    <xf numFmtId="4" fontId="104" fillId="46" borderId="175" applyNumberFormat="0" applyProtection="0">
      <alignment horizontal="right" vertical="center"/>
    </xf>
    <xf numFmtId="4" fontId="30" fillId="8" borderId="175" applyNumberFormat="0" applyProtection="0">
      <alignment horizontal="right" vertical="center"/>
    </xf>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45" fillId="84" borderId="158" applyNumberFormat="0" applyAlignment="0" applyProtection="0"/>
    <xf numFmtId="0" fontId="145" fillId="84" borderId="158" applyNumberFormat="0" applyAlignment="0" applyProtection="0"/>
    <xf numFmtId="9" fontId="1" fillId="0" borderId="0" applyFont="0" applyFill="0" applyBorder="0" applyAlignment="0" applyProtection="0"/>
    <xf numFmtId="9" fontId="1" fillId="0" borderId="0" applyFont="0" applyFill="0" applyBorder="0" applyAlignment="0" applyProtection="0"/>
    <xf numFmtId="4" fontId="43" fillId="14" borderId="162" applyNumberFormat="0" applyProtection="0">
      <alignment horizontal="left" vertical="center" indent="1"/>
    </xf>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140" fillId="7" borderId="156" applyNumberFormat="0" applyAlignment="0" applyProtection="0"/>
    <xf numFmtId="0" fontId="140" fillId="7" borderId="156" applyNumberFormat="0" applyAlignment="0" applyProtection="0"/>
    <xf numFmtId="0" fontId="164" fillId="103" borderId="162" applyNumberFormat="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0" fillId="48" borderId="175" applyNumberFormat="0" applyProtection="0">
      <alignment horizontal="left" vertical="center" indent="1"/>
    </xf>
    <xf numFmtId="4" fontId="30" fillId="48" borderId="175" applyNumberFormat="0" applyProtection="0">
      <alignment horizontal="left" vertical="center" indent="1"/>
    </xf>
    <xf numFmtId="4" fontId="30" fillId="48" borderId="175" applyNumberFormat="0" applyProtection="0">
      <alignment horizontal="left" vertical="center" indent="1"/>
    </xf>
    <xf numFmtId="0" fontId="1" fillId="0" borderId="0"/>
    <xf numFmtId="0" fontId="1" fillId="0" borderId="0"/>
    <xf numFmtId="4" fontId="30" fillId="48" borderId="175" applyNumberFormat="0" applyProtection="0">
      <alignment horizontal="left" vertical="center" indent="1"/>
    </xf>
    <xf numFmtId="4" fontId="30" fillId="48" borderId="175" applyNumberFormat="0" applyProtection="0">
      <alignment horizontal="left" vertical="center" indent="1"/>
    </xf>
    <xf numFmtId="4" fontId="30" fillId="48" borderId="175" applyNumberFormat="0" applyProtection="0">
      <alignment horizontal="left" vertical="center" indent="1"/>
    </xf>
    <xf numFmtId="0" fontId="1" fillId="0" borderId="0"/>
    <xf numFmtId="0" fontId="1" fillId="0" borderId="0"/>
    <xf numFmtId="4" fontId="106" fillId="46" borderId="175" applyNumberFormat="0" applyProtection="0">
      <alignment horizontal="right" vertical="center"/>
    </xf>
    <xf numFmtId="0" fontId="1" fillId="0" borderId="0"/>
    <xf numFmtId="4" fontId="30" fillId="46" borderId="175" applyNumberFormat="0" applyProtection="0">
      <alignment horizontal="right" vertical="center"/>
    </xf>
    <xf numFmtId="0" fontId="30" fillId="22" borderId="175" applyNumberFormat="0" applyProtection="0">
      <alignment horizontal="left" vertical="top" indent="1"/>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48" borderId="175" applyNumberFormat="0" applyProtection="0">
      <alignment horizontal="right" vertical="center"/>
    </xf>
    <xf numFmtId="0" fontId="1" fillId="0" borderId="0"/>
    <xf numFmtId="0" fontId="1" fillId="0" borderId="0"/>
    <xf numFmtId="0" fontId="1" fillId="0" borderId="0"/>
    <xf numFmtId="4" fontId="30" fillId="3" borderId="175" applyNumberFormat="0" applyProtection="0">
      <alignment horizontal="right" vertical="center"/>
    </xf>
    <xf numFmtId="0" fontId="1" fillId="0" borderId="0"/>
    <xf numFmtId="0" fontId="32" fillId="42" borderId="175" applyNumberFormat="0" applyProtection="0">
      <alignment horizontal="left" vertical="top" indent="1"/>
    </xf>
    <xf numFmtId="0" fontId="9"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9" fillId="24" borderId="157" applyNumberFormat="0" applyFont="0" applyAlignment="0" applyProtection="0"/>
    <xf numFmtId="0" fontId="9" fillId="24" borderId="157" applyNumberFormat="0" applyFont="0" applyAlignment="0" applyProtection="0"/>
    <xf numFmtId="0" fontId="43" fillId="102" borderId="162" applyNumberFormat="0" applyFont="0" applyAlignment="0" applyProtection="0"/>
    <xf numFmtId="0" fontId="9" fillId="24" borderId="157" applyNumberFormat="0" applyFont="0" applyAlignment="0" applyProtection="0"/>
    <xf numFmtId="0" fontId="43" fillId="102" borderId="162" applyNumberFormat="0" applyFont="0" applyAlignment="0" applyProtection="0"/>
    <xf numFmtId="0" fontId="7"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145" fillId="20" borderId="158" applyNumberFormat="0" applyAlignment="0" applyProtection="0"/>
    <xf numFmtId="0" fontId="145" fillId="106" borderId="158" applyNumberFormat="0" applyAlignment="0" applyProtection="0"/>
    <xf numFmtId="0" fontId="145" fillId="106" borderId="158" applyNumberFormat="0" applyAlignment="0" applyProtection="0"/>
    <xf numFmtId="0" fontId="145" fillId="20" borderId="158" applyNumberFormat="0" applyAlignment="0" applyProtection="0"/>
    <xf numFmtId="0" fontId="145" fillId="20" borderId="158" applyNumberFormat="0" applyAlignment="0" applyProtection="0"/>
    <xf numFmtId="0" fontId="145" fillId="106" borderId="158" applyNumberFormat="0" applyAlignment="0" applyProtection="0"/>
    <xf numFmtId="0" fontId="145" fillId="20" borderId="158" applyNumberFormat="0" applyAlignment="0" applyProtection="0"/>
    <xf numFmtId="0" fontId="145" fillId="20" borderId="158" applyNumberFormat="0" applyAlignment="0" applyProtection="0"/>
    <xf numFmtId="0" fontId="145" fillId="106" borderId="158" applyNumberFormat="0" applyAlignment="0" applyProtection="0"/>
    <xf numFmtId="0" fontId="26" fillId="28" borderId="158" applyNumberFormat="0" applyAlignment="0" applyProtection="0"/>
    <xf numFmtId="0" fontId="145" fillId="106" borderId="158" applyNumberFormat="0" applyAlignment="0" applyProtection="0"/>
    <xf numFmtId="0" fontId="145" fillId="20" borderId="158" applyNumberFormat="0" applyAlignment="0" applyProtection="0"/>
    <xf numFmtId="0" fontId="26" fillId="28" borderId="158" applyNumberFormat="0" applyAlignment="0" applyProtection="0"/>
    <xf numFmtId="9"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172" fillId="42" borderId="162" applyNumberFormat="0" applyProtection="0">
      <alignment vertical="center"/>
    </xf>
    <xf numFmtId="4" fontId="172" fillId="42" borderId="162" applyNumberFormat="0" applyProtection="0">
      <alignment vertical="center"/>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0" fontId="173" fillId="23" borderId="160" applyNumberFormat="0" applyProtection="0">
      <alignment horizontal="left" vertical="top" indent="1"/>
    </xf>
    <xf numFmtId="0" fontId="173" fillId="23" borderId="160" applyNumberFormat="0" applyProtection="0">
      <alignment horizontal="left" vertical="top"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3" borderId="162" applyNumberFormat="0" applyProtection="0">
      <alignment horizontal="right" vertical="center"/>
    </xf>
    <xf numFmtId="4" fontId="43" fillId="3" borderId="162" applyNumberFormat="0" applyProtection="0">
      <alignment horizontal="right" vertical="center"/>
    </xf>
    <xf numFmtId="4" fontId="43" fillId="111" borderId="162" applyNumberFormat="0" applyProtection="0">
      <alignment horizontal="right" vertical="center"/>
    </xf>
    <xf numFmtId="4" fontId="43" fillId="111" borderId="162" applyNumberFormat="0" applyProtection="0">
      <alignment horizontal="right" vertical="center"/>
    </xf>
    <xf numFmtId="4" fontId="43" fillId="17" borderId="164" applyNumberFormat="0" applyProtection="0">
      <alignment horizontal="right" vertical="center"/>
    </xf>
    <xf numFmtId="4" fontId="43" fillId="17" borderId="164" applyNumberFormat="0" applyProtection="0">
      <alignment horizontal="right" vertical="center"/>
    </xf>
    <xf numFmtId="4" fontId="43" fillId="11" borderId="162" applyNumberFormat="0" applyProtection="0">
      <alignment horizontal="right" vertical="center"/>
    </xf>
    <xf numFmtId="4" fontId="43" fillId="11" borderId="162" applyNumberFormat="0" applyProtection="0">
      <alignment horizontal="right" vertical="center"/>
    </xf>
    <xf numFmtId="4" fontId="43" fillId="15" borderId="162" applyNumberFormat="0" applyProtection="0">
      <alignment horizontal="right" vertical="center"/>
    </xf>
    <xf numFmtId="4" fontId="43" fillId="15" borderId="162" applyNumberFormat="0" applyProtection="0">
      <alignment horizontal="right" vertical="center"/>
    </xf>
    <xf numFmtId="4" fontId="43" fillId="19" borderId="162" applyNumberFormat="0" applyProtection="0">
      <alignment horizontal="right" vertical="center"/>
    </xf>
    <xf numFmtId="4" fontId="43" fillId="19" borderId="162" applyNumberFormat="0" applyProtection="0">
      <alignment horizontal="right" vertical="center"/>
    </xf>
    <xf numFmtId="4" fontId="43" fillId="18" borderId="162" applyNumberFormat="0" applyProtection="0">
      <alignment horizontal="right" vertical="center"/>
    </xf>
    <xf numFmtId="4" fontId="43" fillId="18" borderId="162" applyNumberFormat="0" applyProtection="0">
      <alignment horizontal="right" vertical="center"/>
    </xf>
    <xf numFmtId="4" fontId="43" fillId="44" borderId="162" applyNumberFormat="0" applyProtection="0">
      <alignment horizontal="right" vertical="center"/>
    </xf>
    <xf numFmtId="4" fontId="43" fillId="44" borderId="162" applyNumberFormat="0" applyProtection="0">
      <alignment horizontal="right" vertical="center"/>
    </xf>
    <xf numFmtId="4" fontId="43" fillId="9" borderId="162" applyNumberFormat="0" applyProtection="0">
      <alignment horizontal="right" vertical="center"/>
    </xf>
    <xf numFmtId="4" fontId="43" fillId="9" borderId="162" applyNumberFormat="0" applyProtection="0">
      <alignment horizontal="right" vertical="center"/>
    </xf>
    <xf numFmtId="4" fontId="43" fillId="45" borderId="164" applyNumberFormat="0" applyProtection="0">
      <alignment horizontal="left" vertical="center" indent="1"/>
    </xf>
    <xf numFmtId="4" fontId="43" fillId="45"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43" fillId="48" borderId="162" applyNumberFormat="0" applyProtection="0">
      <alignment horizontal="right" vertical="center"/>
    </xf>
    <xf numFmtId="4" fontId="43" fillId="48" borderId="162" applyNumberFormat="0" applyProtection="0">
      <alignment horizontal="right" vertical="center"/>
    </xf>
    <xf numFmtId="4" fontId="43" fillId="46" borderId="164" applyNumberFormat="0" applyProtection="0">
      <alignment horizontal="left" vertical="center" indent="1"/>
    </xf>
    <xf numFmtId="4" fontId="43" fillId="46" borderId="164" applyNumberFormat="0" applyProtection="0">
      <alignment horizontal="left" vertical="center" indent="1"/>
    </xf>
    <xf numFmtId="4" fontId="43" fillId="48" borderId="164" applyNumberFormat="0" applyProtection="0">
      <alignment horizontal="left" vertical="center" indent="1"/>
    </xf>
    <xf numFmtId="4" fontId="43" fillId="48" borderId="164" applyNumberFormat="0" applyProtection="0">
      <alignment horizontal="left" vertical="center" indent="1"/>
    </xf>
    <xf numFmtId="0" fontId="43" fillId="20" borderId="162" applyNumberFormat="0" applyProtection="0">
      <alignment horizontal="left" vertical="center" indent="1"/>
    </xf>
    <xf numFmtId="0" fontId="43" fillId="20" borderId="162" applyNumberFormat="0" applyProtection="0">
      <alignment horizontal="left" vertical="center"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112" borderId="162" applyNumberFormat="0" applyProtection="0">
      <alignment horizontal="left" vertical="center" indent="1"/>
    </xf>
    <xf numFmtId="0" fontId="43" fillId="112" borderId="162" applyNumberFormat="0" applyProtection="0">
      <alignment horizontal="left" vertical="center"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10" borderId="162" applyNumberFormat="0" applyProtection="0">
      <alignment horizontal="left" vertical="center" indent="1"/>
    </xf>
    <xf numFmtId="0" fontId="43" fillId="10" borderId="162" applyNumberFormat="0" applyProtection="0">
      <alignment horizontal="left" vertical="center"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46" borderId="162" applyNumberFormat="0" applyProtection="0">
      <alignment horizontal="left" vertical="center" indent="1"/>
    </xf>
    <xf numFmtId="0" fontId="43" fillId="46" borderId="162" applyNumberFormat="0" applyProtection="0">
      <alignment horizontal="left" vertical="center"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2" fillId="83" borderId="166" applyBorder="0"/>
    <xf numFmtId="0" fontId="42" fillId="83" borderId="166" applyBorder="0"/>
    <xf numFmtId="4" fontId="62" fillId="24" borderId="160" applyNumberFormat="0" applyProtection="0">
      <alignment vertical="center"/>
    </xf>
    <xf numFmtId="4" fontId="62" fillId="24" borderId="160" applyNumberFormat="0" applyProtection="0">
      <alignment vertical="center"/>
    </xf>
    <xf numFmtId="0" fontId="20" fillId="0" borderId="174" applyNumberFormat="0" applyFill="0" applyAlignment="0" applyProtection="0"/>
    <xf numFmtId="4" fontId="62" fillId="20" borderId="160" applyNumberFormat="0" applyProtection="0">
      <alignment horizontal="left" vertical="center" indent="1"/>
    </xf>
    <xf numFmtId="4" fontId="62" fillId="20" borderId="160" applyNumberFormat="0" applyProtection="0">
      <alignment horizontal="left" vertical="center" indent="1"/>
    </xf>
    <xf numFmtId="0" fontId="62" fillId="24" borderId="160" applyNumberFormat="0" applyProtection="0">
      <alignment horizontal="left" vertical="top" indent="1"/>
    </xf>
    <xf numFmtId="0" fontId="62" fillId="24" borderId="160" applyNumberFormat="0" applyProtection="0">
      <alignment horizontal="left" vertical="top" indent="1"/>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172" fillId="52" borderId="162" applyNumberFormat="0" applyProtection="0">
      <alignment horizontal="right" vertical="center"/>
    </xf>
    <xf numFmtId="4" fontId="172" fillId="52" borderId="162" applyNumberFormat="0" applyProtection="0">
      <alignment horizontal="right" vertical="center"/>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30" fillId="48" borderId="160" applyNumberFormat="0" applyProtection="0">
      <alignment horizontal="left" vertical="center" indent="1"/>
    </xf>
    <xf numFmtId="4" fontId="43" fillId="14" borderId="162" applyNumberFormat="0" applyProtection="0">
      <alignment horizontal="left" vertical="center" indent="1"/>
    </xf>
    <xf numFmtId="0" fontId="62" fillId="48" borderId="160" applyNumberFormat="0" applyProtection="0">
      <alignment horizontal="left" vertical="top" indent="1"/>
    </xf>
    <xf numFmtId="0" fontId="62" fillId="48" borderId="160" applyNumberFormat="0" applyProtection="0">
      <alignment horizontal="left" vertical="top" indent="1"/>
    </xf>
    <xf numFmtId="4" fontId="174" fillId="50" borderId="164" applyNumberFormat="0" applyProtection="0">
      <alignment horizontal="left" vertical="center" indent="1"/>
    </xf>
    <xf numFmtId="4" fontId="174" fillId="50" borderId="164" applyNumberFormat="0" applyProtection="0">
      <alignment horizontal="left" vertical="center" indent="1"/>
    </xf>
    <xf numFmtId="0" fontId="26" fillId="28" borderId="173" applyNumberFormat="0" applyAlignment="0" applyProtection="0"/>
    <xf numFmtId="0" fontId="26" fillId="28" borderId="173" applyNumberFormat="0" applyAlignment="0" applyProtection="0"/>
    <xf numFmtId="0" fontId="7" fillId="24" borderId="172" applyNumberFormat="0" applyFont="0" applyAlignment="0" applyProtection="0"/>
    <xf numFmtId="4" fontId="175" fillId="84" borderId="162" applyNumberFormat="0" applyProtection="0">
      <alignment horizontal="right" vertical="center"/>
    </xf>
    <xf numFmtId="4" fontId="175" fillId="84" borderId="162" applyNumberFormat="0" applyProtection="0">
      <alignment horizontal="right" vertical="center"/>
    </xf>
    <xf numFmtId="0" fontId="20" fillId="0" borderId="159" applyNumberFormat="0" applyFill="0" applyAlignment="0" applyProtection="0"/>
    <xf numFmtId="0" fontId="20" fillId="0" borderId="167"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0" fontId="20" fillId="0" borderId="159"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0" fontId="20" fillId="0" borderId="159" applyNumberFormat="0" applyFill="0" applyAlignment="0" applyProtection="0"/>
    <xf numFmtId="0" fontId="20" fillId="0" borderId="167" applyNumberFormat="0" applyFill="0" applyAlignment="0" applyProtection="0"/>
    <xf numFmtId="0" fontId="20" fillId="0" borderId="167" applyNumberFormat="0" applyFill="0" applyAlignment="0" applyProtection="0"/>
    <xf numFmtId="0" fontId="12" fillId="20" borderId="171" applyNumberFormat="0" applyAlignment="0" applyProtection="0"/>
    <xf numFmtId="0" fontId="12" fillId="20" borderId="171" applyNumberFormat="0" applyAlignment="0" applyProtection="0"/>
    <xf numFmtId="9" fontId="1" fillId="0" borderId="0" applyFont="0" applyFill="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34" fillId="84" borderId="156" applyNumberFormat="0" applyAlignment="0" applyProtection="0"/>
    <xf numFmtId="0" fontId="134" fillId="84" borderId="156" applyNumberFormat="0" applyAlignment="0" applyProtection="0"/>
    <xf numFmtId="0" fontId="140" fillId="23" borderId="156" applyNumberFormat="0" applyAlignment="0" applyProtection="0"/>
    <xf numFmtId="0" fontId="140" fillId="23" borderId="156" applyNumberFormat="0" applyAlignment="0" applyProtection="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45" fillId="84" borderId="158" applyNumberFormat="0" applyAlignment="0" applyProtection="0"/>
    <xf numFmtId="0" fontId="145" fillId="84" borderId="158" applyNumberFormat="0" applyAlignment="0" applyProtection="0"/>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0" fontId="1" fillId="0" borderId="0"/>
    <xf numFmtId="0" fontId="1" fillId="0" borderId="0"/>
    <xf numFmtId="0" fontId="140" fillId="23" borderId="156" applyNumberFormat="0" applyAlignment="0" applyProtection="0"/>
    <xf numFmtId="4" fontId="30" fillId="48" borderId="175" applyNumberFormat="0" applyProtection="0">
      <alignment horizontal="left" vertical="center" indent="1"/>
    </xf>
    <xf numFmtId="4" fontId="30" fillId="48" borderId="175" applyNumberFormat="0" applyProtection="0">
      <alignment horizontal="left" vertical="center" indent="1"/>
    </xf>
    <xf numFmtId="4" fontId="30" fillId="48" borderId="160" applyNumberFormat="0" applyProtection="0">
      <alignment horizontal="left" vertical="center" indent="1"/>
    </xf>
    <xf numFmtId="4" fontId="30" fillId="48" borderId="175" applyNumberFormat="0" applyProtection="0">
      <alignment horizontal="left" vertical="center" indent="1"/>
    </xf>
    <xf numFmtId="0" fontId="91" fillId="0" borderId="144">
      <alignment horizontal="lef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100" fillId="1" borderId="144" applyNumberFormat="0" applyFont="0" applyAlignment="0">
      <alignment horizontal="center"/>
    </xf>
    <xf numFmtId="0" fontId="24" fillId="2" borderId="169" applyFill="0">
      <alignment horizontal="left" vertical="top" wrapText="1"/>
    </xf>
    <xf numFmtId="0" fontId="91" fillId="0" borderId="168" applyNumberFormat="0" applyAlignment="0" applyProtection="0">
      <alignment horizontal="left" vertical="center"/>
    </xf>
    <xf numFmtId="0" fontId="91" fillId="0" borderId="170">
      <alignment horizontal="left" vertical="center"/>
    </xf>
    <xf numFmtId="10" fontId="43" fillId="22" borderId="169" applyNumberFormat="0" applyBorder="0" applyAlignment="0" applyProtection="0"/>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9" borderId="160" applyNumberFormat="0" applyProtection="0">
      <alignment horizontal="right" vertical="center"/>
    </xf>
    <xf numFmtId="4" fontId="30" fillId="8" borderId="160" applyNumberFormat="0" applyProtection="0">
      <alignment horizontal="right" vertical="center"/>
    </xf>
    <xf numFmtId="4" fontId="32" fillId="42" borderId="160" applyNumberFormat="0" applyProtection="0">
      <alignment horizontal="left" vertical="center" indent="1"/>
    </xf>
    <xf numFmtId="4" fontId="30" fillId="8" borderId="160" applyNumberFormat="0" applyProtection="0">
      <alignment horizontal="right" vertical="center"/>
    </xf>
    <xf numFmtId="4" fontId="30" fillId="15" borderId="160" applyNumberFormat="0" applyProtection="0">
      <alignment horizontal="right" vertical="center"/>
    </xf>
    <xf numFmtId="4" fontId="32" fillId="42" borderId="160" applyNumberFormat="0" applyProtection="0">
      <alignment horizontal="left" vertical="center" indent="1"/>
    </xf>
    <xf numFmtId="4" fontId="30" fillId="48" borderId="160" applyNumberFormat="0" applyProtection="0">
      <alignment horizontal="right" vertical="center"/>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5" borderId="160" applyNumberFormat="0" applyProtection="0">
      <alignment horizontal="right" vertical="center"/>
    </xf>
    <xf numFmtId="4" fontId="30" fillId="11" borderId="160" applyNumberFormat="0" applyProtection="0">
      <alignment horizontal="right" vertical="center"/>
    </xf>
    <xf numFmtId="4" fontId="30" fillId="17"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5" borderId="161"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91" fillId="0" borderId="168" applyNumberFormat="0" applyAlignment="0" applyProtection="0">
      <alignment horizontal="left" vertical="center"/>
    </xf>
    <xf numFmtId="4" fontId="32" fillId="23" borderId="160" applyNumberFormat="0" applyProtection="0">
      <alignment vertical="center"/>
    </xf>
    <xf numFmtId="4" fontId="102" fillId="42" borderId="160" applyNumberFormat="0" applyProtection="0">
      <alignment vertical="center"/>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17"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1" borderId="160" applyNumberFormat="0" applyProtection="0">
      <alignment horizontal="right" vertical="center"/>
    </xf>
    <xf numFmtId="0" fontId="6" fillId="43" borderId="160" applyNumberFormat="0" applyProtection="0">
      <alignment horizontal="left" vertical="top" indent="1"/>
    </xf>
    <xf numFmtId="4" fontId="30" fillId="46" borderId="160" applyNumberFormat="0" applyProtection="0">
      <alignment horizontal="right" vertical="center"/>
    </xf>
    <xf numFmtId="0" fontId="91" fillId="0" borderId="168" applyNumberFormat="0" applyAlignment="0" applyProtection="0">
      <alignment horizontal="lef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0" fontId="91" fillId="0" borderId="144">
      <alignment horizontal="left" vertical="center"/>
    </xf>
    <xf numFmtId="4" fontId="32" fillId="45" borderId="161" applyNumberFormat="0" applyProtection="0">
      <alignment horizontal="left" vertical="center" indent="1"/>
    </xf>
    <xf numFmtId="0" fontId="100" fillId="1" borderId="144"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44">
      <alignment horizontal="left" vertical="center"/>
    </xf>
    <xf numFmtId="4" fontId="32" fillId="45" borderId="161" applyNumberFormat="0" applyProtection="0">
      <alignment horizontal="left" vertical="center" indent="1"/>
    </xf>
    <xf numFmtId="0" fontId="100" fillId="1" borderId="144"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0" fontId="91" fillId="0" borderId="144">
      <alignment horizontal="left" vertical="center"/>
    </xf>
    <xf numFmtId="4" fontId="32" fillId="45" borderId="161" applyNumberFormat="0" applyProtection="0">
      <alignment horizontal="left" vertical="center" indent="1"/>
    </xf>
    <xf numFmtId="0" fontId="100" fillId="1" borderId="144"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44">
      <alignment horizontal="left" vertical="center"/>
    </xf>
    <xf numFmtId="4" fontId="32" fillId="45" borderId="161" applyNumberFormat="0" applyProtection="0">
      <alignment horizontal="left" vertical="center" indent="1"/>
    </xf>
    <xf numFmtId="0" fontId="100" fillId="1" borderId="144"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2" fillId="42" borderId="175" applyNumberFormat="0" applyProtection="0">
      <alignment horizontal="left" vertical="center" indent="1"/>
    </xf>
    <xf numFmtId="4" fontId="30" fillId="15" borderId="175" applyNumberFormat="0" applyProtection="0">
      <alignment horizontal="right" vertical="center"/>
    </xf>
    <xf numFmtId="4" fontId="30" fillId="19" borderId="175" applyNumberFormat="0" applyProtection="0">
      <alignment horizontal="right" vertical="center"/>
    </xf>
    <xf numFmtId="4" fontId="30" fillId="11" borderId="175" applyNumberFormat="0" applyProtection="0">
      <alignment horizontal="right" vertical="center"/>
    </xf>
    <xf numFmtId="4" fontId="102" fillId="42" borderId="175" applyNumberFormat="0" applyProtection="0">
      <alignment vertical="center"/>
    </xf>
    <xf numFmtId="4" fontId="32" fillId="23" borderId="175" applyNumberFormat="0" applyProtection="0">
      <alignment vertical="center"/>
    </xf>
    <xf numFmtId="4" fontId="30" fillId="48" borderId="160" applyNumberFormat="0" applyProtection="0">
      <alignment horizontal="left" vertical="center" indent="1"/>
    </xf>
    <xf numFmtId="4" fontId="30" fillId="48" borderId="160" applyNumberFormat="0" applyProtection="0">
      <alignment horizontal="left" vertical="center" indent="1"/>
    </xf>
    <xf numFmtId="44" fontId="6" fillId="0" borderId="0" applyFont="0" applyFill="0" applyBorder="0" applyAlignment="0" applyProtection="0"/>
    <xf numFmtId="0" fontId="1" fillId="0" borderId="0"/>
    <xf numFmtId="9" fontId="1" fillId="0" borderId="0" applyFont="0" applyFill="0" applyBorder="0" applyAlignment="0" applyProtection="0"/>
    <xf numFmtId="0" fontId="32" fillId="42" borderId="160" applyNumberFormat="0" applyProtection="0">
      <alignment horizontal="left" vertical="top" indent="1"/>
    </xf>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 fontId="30" fillId="48" borderId="160" applyNumberFormat="0" applyProtection="0">
      <alignment horizontal="left" vertical="center" inden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82" applyNumberFormat="0" applyFont="0" applyAlignment="0" applyProtection="0"/>
    <xf numFmtId="4" fontId="30" fillId="9" borderId="160" applyNumberFormat="0" applyProtection="0">
      <alignment horizontal="right" vertical="center"/>
    </xf>
    <xf numFmtId="4" fontId="30" fillId="44" borderId="160" applyNumberFormat="0" applyProtection="0">
      <alignment horizontal="right" vertical="center"/>
    </xf>
    <xf numFmtId="9" fontId="1" fillId="0" borderId="0" applyFont="0" applyFill="0" applyBorder="0" applyAlignment="0" applyProtection="0"/>
    <xf numFmtId="4" fontId="30" fillId="15" borderId="160" applyNumberFormat="0" applyProtection="0">
      <alignment horizontal="righ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1" fillId="0" borderId="0"/>
    <xf numFmtId="4" fontId="30" fillId="48" borderId="160" applyNumberFormat="0" applyProtection="0">
      <alignment horizontal="left" vertical="center" indent="1"/>
    </xf>
    <xf numFmtId="0" fontId="1" fillId="55" borderId="0" applyNumberFormat="0" applyBorder="0" applyAlignment="0" applyProtection="0"/>
    <xf numFmtId="0" fontId="1" fillId="0" borderId="0"/>
    <xf numFmtId="0" fontId="1" fillId="55" borderId="0" applyNumberFormat="0" applyBorder="0" applyAlignment="0" applyProtection="0"/>
    <xf numFmtId="0" fontId="1" fillId="55" borderId="0" applyNumberFormat="0" applyBorder="0" applyAlignment="0" applyProtection="0"/>
    <xf numFmtId="4" fontId="30" fillId="48" borderId="160" applyNumberFormat="0" applyProtection="0">
      <alignment horizontal="left" vertical="center" indent="1"/>
    </xf>
    <xf numFmtId="0" fontId="1" fillId="0" borderId="0"/>
    <xf numFmtId="0" fontId="1" fillId="0" borderId="0"/>
    <xf numFmtId="4" fontId="30" fillId="48" borderId="160" applyNumberFormat="0" applyProtection="0">
      <alignment horizontal="left" vertical="center" indent="1"/>
    </xf>
    <xf numFmtId="43" fontId="1" fillId="0" borderId="0" applyFont="0" applyFill="0" applyBorder="0" applyAlignment="0" applyProtection="0"/>
    <xf numFmtId="0" fontId="1" fillId="0" borderId="0"/>
    <xf numFmtId="0" fontId="1" fillId="56" borderId="0" applyNumberFormat="0" applyBorder="0" applyAlignment="0" applyProtection="0"/>
    <xf numFmtId="4" fontId="30" fillId="48" borderId="160" applyNumberFormat="0" applyProtection="0">
      <alignment horizontal="left" vertical="center" indent="1"/>
    </xf>
    <xf numFmtId="0" fontId="1" fillId="38" borderId="82" applyNumberFormat="0" applyFont="0" applyAlignment="0" applyProtection="0"/>
    <xf numFmtId="0" fontId="1" fillId="0" borderId="0"/>
    <xf numFmtId="4" fontId="30" fillId="48" borderId="160" applyNumberFormat="0" applyProtection="0">
      <alignment horizontal="left" vertical="center" indent="1"/>
    </xf>
    <xf numFmtId="0" fontId="1" fillId="38" borderId="82" applyNumberFormat="0" applyFont="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55"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56" borderId="0" applyNumberFormat="0" applyBorder="0" applyAlignment="0" applyProtection="0"/>
    <xf numFmtId="0" fontId="1" fillId="81" borderId="0" applyNumberFormat="0" applyBorder="0" applyAlignment="0" applyProtection="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56" borderId="0" applyNumberFormat="0" applyBorder="0" applyAlignment="0" applyProtection="0"/>
    <xf numFmtId="0" fontId="1" fillId="74" borderId="0" applyNumberFormat="0" applyBorder="0" applyAlignment="0" applyProtection="0"/>
    <xf numFmtId="0" fontId="1" fillId="77" borderId="0" applyNumberFormat="0" applyBorder="0" applyAlignment="0" applyProtection="0"/>
    <xf numFmtId="43" fontId="1" fillId="0" borderId="0" applyFont="0" applyFill="0" applyBorder="0" applyAlignment="0" applyProtection="0"/>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0" borderId="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34" fillId="84" borderId="156" applyNumberFormat="0" applyAlignment="0" applyProtection="0"/>
    <xf numFmtId="0" fontId="134" fillId="84" borderId="15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0" fillId="23" borderId="156" applyNumberFormat="0" applyAlignment="0" applyProtection="0"/>
    <xf numFmtId="0" fontId="140" fillId="23" borderId="156" applyNumberFormat="0" applyAlignment="0" applyProtection="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45" fillId="84" borderId="158" applyNumberFormat="0" applyAlignment="0" applyProtection="0"/>
    <xf numFmtId="0" fontId="145" fillId="84" borderId="158" applyNumberFormat="0" applyAlignment="0" applyProtection="0"/>
    <xf numFmtId="4" fontId="30" fillId="11" borderId="160" applyNumberFormat="0" applyProtection="0">
      <alignment horizontal="right" vertical="center"/>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9" fontId="1" fillId="0" borderId="0" applyFont="0" applyFill="0" applyBorder="0" applyAlignment="0" applyProtection="0"/>
    <xf numFmtId="9" fontId="1" fillId="0" borderId="0" applyFont="0" applyFill="0" applyBorder="0" applyAlignment="0" applyProtection="0"/>
    <xf numFmtId="4" fontId="43" fillId="14" borderId="162" applyNumberFormat="0" applyProtection="0">
      <alignment horizontal="left" vertical="center" indent="1"/>
    </xf>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140" fillId="7" borderId="156" applyNumberFormat="0" applyAlignment="0" applyProtection="0"/>
    <xf numFmtId="0" fontId="140" fillId="7" borderId="156" applyNumberFormat="0" applyAlignment="0" applyProtection="0"/>
    <xf numFmtId="0" fontId="164" fillId="103" borderId="162" applyNumberFormat="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0" borderId="0"/>
    <xf numFmtId="0" fontId="1" fillId="0" borderId="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0" borderId="0"/>
    <xf numFmtId="0" fontId="1" fillId="0" borderId="0"/>
    <xf numFmtId="4" fontId="30" fillId="48" borderId="16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9" fillId="24" borderId="157" applyNumberFormat="0" applyFont="0" applyAlignment="0" applyProtection="0"/>
    <xf numFmtId="4" fontId="106" fillId="46" borderId="160" applyNumberFormat="0" applyProtection="0">
      <alignment horizontal="right" vertical="center"/>
    </xf>
    <xf numFmtId="0" fontId="30" fillId="43" borderId="160" applyNumberFormat="0" applyProtection="0">
      <alignment horizontal="left" vertical="top" indent="1"/>
    </xf>
    <xf numFmtId="0" fontId="9" fillId="24" borderId="157" applyNumberFormat="0" applyFont="0" applyAlignment="0" applyProtection="0"/>
    <xf numFmtId="0" fontId="43" fillId="102" borderId="162" applyNumberFormat="0" applyFont="0" applyAlignment="0" applyProtection="0"/>
    <xf numFmtId="0" fontId="9" fillId="24" borderId="157" applyNumberFormat="0" applyFont="0" applyAlignment="0" applyProtection="0"/>
    <xf numFmtId="0" fontId="43" fillId="102" borderId="162" applyNumberFormat="0" applyFont="0" applyAlignment="0" applyProtection="0"/>
    <xf numFmtId="0" fontId="7"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4" fontId="30" fillId="48" borderId="160" applyNumberFormat="0" applyProtection="0">
      <alignment horizontal="left" vertical="center" indent="1"/>
    </xf>
    <xf numFmtId="4" fontId="104" fillId="46" borderId="160" applyNumberFormat="0" applyProtection="0">
      <alignment horizontal="right" vertical="center"/>
    </xf>
    <xf numFmtId="4" fontId="30" fillId="46" borderId="160" applyNumberFormat="0" applyProtection="0">
      <alignment horizontal="right" vertical="center"/>
    </xf>
    <xf numFmtId="0" fontId="43" fillId="102" borderId="162" applyNumberFormat="0" applyFont="0" applyAlignment="0" applyProtection="0"/>
    <xf numFmtId="0" fontId="30" fillId="22" borderId="160" applyNumberFormat="0" applyProtection="0">
      <alignment horizontal="left" vertical="top" indent="1"/>
    </xf>
    <xf numFmtId="4" fontId="30" fillId="22" borderId="160" applyNumberFormat="0" applyProtection="0">
      <alignment horizontal="left" vertical="center" indent="1"/>
    </xf>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7" borderId="160" applyNumberFormat="0" applyProtection="0">
      <alignment horizontal="left" vertical="top" indent="1"/>
    </xf>
    <xf numFmtId="0" fontId="6" fillId="39" borderId="160" applyNumberFormat="0" applyProtection="0">
      <alignment horizontal="left" vertical="center"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43" fillId="102" borderId="162" applyNumberFormat="0" applyFont="0" applyAlignment="0" applyProtection="0"/>
    <xf numFmtId="0" fontId="43" fillId="102" borderId="162" applyNumberFormat="0" applyFont="0" applyAlignment="0" applyProtection="0"/>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center" indent="1"/>
    </xf>
    <xf numFmtId="0" fontId="6" fillId="24" borderId="157"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145" fillId="20" borderId="158" applyNumberFormat="0" applyAlignment="0" applyProtection="0"/>
    <xf numFmtId="0" fontId="145" fillId="106" borderId="158" applyNumberFormat="0" applyAlignment="0" applyProtection="0"/>
    <xf numFmtId="0" fontId="145" fillId="106" borderId="158" applyNumberFormat="0" applyAlignment="0" applyProtection="0"/>
    <xf numFmtId="0" fontId="145" fillId="20" borderId="158" applyNumberFormat="0" applyAlignment="0" applyProtection="0"/>
    <xf numFmtId="0" fontId="145" fillId="20" borderId="158" applyNumberFormat="0" applyAlignment="0" applyProtection="0"/>
    <xf numFmtId="0" fontId="145" fillId="106" borderId="158" applyNumberFormat="0" applyAlignment="0" applyProtection="0"/>
    <xf numFmtId="0" fontId="145" fillId="20" borderId="158" applyNumberFormat="0" applyAlignment="0" applyProtection="0"/>
    <xf numFmtId="4" fontId="30" fillId="48" borderId="160" applyNumberFormat="0" applyProtection="0">
      <alignment horizontal="right" vertical="center"/>
    </xf>
    <xf numFmtId="0" fontId="145" fillId="20" borderId="158" applyNumberFormat="0" applyAlignment="0" applyProtection="0"/>
    <xf numFmtId="0" fontId="145" fillId="106" borderId="158" applyNumberFormat="0" applyAlignment="0" applyProtection="0"/>
    <xf numFmtId="0" fontId="26" fillId="28" borderId="158" applyNumberFormat="0" applyAlignment="0" applyProtection="0"/>
    <xf numFmtId="0" fontId="145" fillId="106" borderId="158" applyNumberFormat="0" applyAlignment="0" applyProtection="0"/>
    <xf numFmtId="0" fontId="145" fillId="20" borderId="158" applyNumberFormat="0" applyAlignment="0" applyProtection="0"/>
    <xf numFmtId="0" fontId="26" fillId="28" borderId="158" applyNumberFormat="0" applyAlignment="0" applyProtection="0"/>
    <xf numFmtId="4" fontId="30" fillId="19" borderId="160" applyNumberFormat="0" applyProtection="0">
      <alignment horizontal="right" vertical="center"/>
    </xf>
    <xf numFmtId="4" fontId="30" fillId="18" borderId="160" applyNumberFormat="0" applyProtection="0">
      <alignment horizontal="right" vertical="center"/>
    </xf>
    <xf numFmtId="4" fontId="30" fillId="17" borderId="160" applyNumberFormat="0" applyProtection="0">
      <alignment horizontal="right" vertical="center"/>
    </xf>
    <xf numFmtId="9" fontId="1" fillId="0" borderId="0" applyFont="0" applyFill="0" applyBorder="0" applyAlignment="0" applyProtection="0"/>
    <xf numFmtId="9" fontId="1" fillId="0" borderId="0" applyFont="0" applyFill="0" applyBorder="0" applyAlignment="0" applyProtection="0"/>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172" fillId="42" borderId="162" applyNumberFormat="0" applyProtection="0">
      <alignment vertical="center"/>
    </xf>
    <xf numFmtId="4" fontId="172" fillId="42" borderId="162" applyNumberFormat="0" applyProtection="0">
      <alignment vertical="center"/>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0" fontId="173" fillId="23" borderId="160" applyNumberFormat="0" applyProtection="0">
      <alignment horizontal="left" vertical="top" indent="1"/>
    </xf>
    <xf numFmtId="0" fontId="173" fillId="23" borderId="160" applyNumberFormat="0" applyProtection="0">
      <alignment horizontal="left" vertical="top"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3" borderId="162" applyNumberFormat="0" applyProtection="0">
      <alignment horizontal="right" vertical="center"/>
    </xf>
    <xf numFmtId="4" fontId="43" fillId="3" borderId="162" applyNumberFormat="0" applyProtection="0">
      <alignment horizontal="right" vertical="center"/>
    </xf>
    <xf numFmtId="4" fontId="43" fillId="111" borderId="162" applyNumberFormat="0" applyProtection="0">
      <alignment horizontal="right" vertical="center"/>
    </xf>
    <xf numFmtId="4" fontId="43" fillId="111" borderId="162" applyNumberFormat="0" applyProtection="0">
      <alignment horizontal="right" vertical="center"/>
    </xf>
    <xf numFmtId="4" fontId="43" fillId="17" borderId="164" applyNumberFormat="0" applyProtection="0">
      <alignment horizontal="right" vertical="center"/>
    </xf>
    <xf numFmtId="4" fontId="43" fillId="17" borderId="164" applyNumberFormat="0" applyProtection="0">
      <alignment horizontal="right" vertical="center"/>
    </xf>
    <xf numFmtId="4" fontId="43" fillId="11" borderId="162" applyNumberFormat="0" applyProtection="0">
      <alignment horizontal="right" vertical="center"/>
    </xf>
    <xf numFmtId="4" fontId="43" fillId="11" borderId="162" applyNumberFormat="0" applyProtection="0">
      <alignment horizontal="right" vertical="center"/>
    </xf>
    <xf numFmtId="4" fontId="43" fillId="15" borderId="162" applyNumberFormat="0" applyProtection="0">
      <alignment horizontal="right" vertical="center"/>
    </xf>
    <xf numFmtId="4" fontId="43" fillId="15" borderId="162" applyNumberFormat="0" applyProtection="0">
      <alignment horizontal="right" vertical="center"/>
    </xf>
    <xf numFmtId="4" fontId="43" fillId="19" borderId="162" applyNumberFormat="0" applyProtection="0">
      <alignment horizontal="right" vertical="center"/>
    </xf>
    <xf numFmtId="4" fontId="43" fillId="19" borderId="162" applyNumberFormat="0" applyProtection="0">
      <alignment horizontal="right" vertical="center"/>
    </xf>
    <xf numFmtId="4" fontId="43" fillId="18" borderId="162" applyNumberFormat="0" applyProtection="0">
      <alignment horizontal="right" vertical="center"/>
    </xf>
    <xf numFmtId="4" fontId="43" fillId="18" borderId="162" applyNumberFormat="0" applyProtection="0">
      <alignment horizontal="right" vertical="center"/>
    </xf>
    <xf numFmtId="4" fontId="43" fillId="44" borderId="162" applyNumberFormat="0" applyProtection="0">
      <alignment horizontal="right" vertical="center"/>
    </xf>
    <xf numFmtId="4" fontId="43" fillId="44" borderId="162" applyNumberFormat="0" applyProtection="0">
      <alignment horizontal="right" vertical="center"/>
    </xf>
    <xf numFmtId="4" fontId="43" fillId="9" borderId="162" applyNumberFormat="0" applyProtection="0">
      <alignment horizontal="right" vertical="center"/>
    </xf>
    <xf numFmtId="4" fontId="43" fillId="9" borderId="162" applyNumberFormat="0" applyProtection="0">
      <alignment horizontal="right" vertical="center"/>
    </xf>
    <xf numFmtId="4" fontId="43" fillId="45" borderId="164" applyNumberFormat="0" applyProtection="0">
      <alignment horizontal="left" vertical="center" indent="1"/>
    </xf>
    <xf numFmtId="4" fontId="43" fillId="45"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43" fillId="48" borderId="162" applyNumberFormat="0" applyProtection="0">
      <alignment horizontal="right" vertical="center"/>
    </xf>
    <xf numFmtId="4" fontId="43" fillId="48" borderId="162" applyNumberFormat="0" applyProtection="0">
      <alignment horizontal="right" vertical="center"/>
    </xf>
    <xf numFmtId="4" fontId="43" fillId="46" borderId="164" applyNumberFormat="0" applyProtection="0">
      <alignment horizontal="left" vertical="center" indent="1"/>
    </xf>
    <xf numFmtId="4" fontId="43" fillId="46" borderId="164" applyNumberFormat="0" applyProtection="0">
      <alignment horizontal="left" vertical="center" indent="1"/>
    </xf>
    <xf numFmtId="4" fontId="43" fillId="48" borderId="164" applyNumberFormat="0" applyProtection="0">
      <alignment horizontal="left" vertical="center" indent="1"/>
    </xf>
    <xf numFmtId="4" fontId="43" fillId="48" borderId="164" applyNumberFormat="0" applyProtection="0">
      <alignment horizontal="left" vertical="center" indent="1"/>
    </xf>
    <xf numFmtId="0" fontId="43" fillId="20" borderId="162" applyNumberFormat="0" applyProtection="0">
      <alignment horizontal="left" vertical="center" indent="1"/>
    </xf>
    <xf numFmtId="0" fontId="43" fillId="20" borderId="162" applyNumberFormat="0" applyProtection="0">
      <alignment horizontal="left" vertical="center"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112" borderId="162" applyNumberFormat="0" applyProtection="0">
      <alignment horizontal="left" vertical="center" indent="1"/>
    </xf>
    <xf numFmtId="0" fontId="43" fillId="112" borderId="162" applyNumberFormat="0" applyProtection="0">
      <alignment horizontal="left" vertical="center"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10" borderId="162" applyNumberFormat="0" applyProtection="0">
      <alignment horizontal="left" vertical="center" indent="1"/>
    </xf>
    <xf numFmtId="0" fontId="43" fillId="10" borderId="162" applyNumberFormat="0" applyProtection="0">
      <alignment horizontal="left" vertical="center"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46" borderId="162" applyNumberFormat="0" applyProtection="0">
      <alignment horizontal="left" vertical="center" indent="1"/>
    </xf>
    <xf numFmtId="0" fontId="43" fillId="46" borderId="162" applyNumberFormat="0" applyProtection="0">
      <alignment horizontal="left" vertical="center"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2" fillId="83" borderId="166" applyBorder="0"/>
    <xf numFmtId="0" fontId="42" fillId="83" borderId="166" applyBorder="0"/>
    <xf numFmtId="4" fontId="62" fillId="24" borderId="160" applyNumberFormat="0" applyProtection="0">
      <alignment vertical="center"/>
    </xf>
    <xf numFmtId="4" fontId="62" fillId="24" borderId="160" applyNumberFormat="0" applyProtection="0">
      <alignment vertical="center"/>
    </xf>
    <xf numFmtId="4" fontId="62" fillId="20" borderId="160" applyNumberFormat="0" applyProtection="0">
      <alignment horizontal="left" vertical="center" indent="1"/>
    </xf>
    <xf numFmtId="4" fontId="62" fillId="20" borderId="160" applyNumberFormat="0" applyProtection="0">
      <alignment horizontal="left" vertical="center" indent="1"/>
    </xf>
    <xf numFmtId="0" fontId="62" fillId="24" borderId="160" applyNumberFormat="0" applyProtection="0">
      <alignment horizontal="left" vertical="top" indent="1"/>
    </xf>
    <xf numFmtId="0" fontId="62" fillId="24" borderId="160" applyNumberFormat="0" applyProtection="0">
      <alignment horizontal="left" vertical="top" indent="1"/>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172" fillId="52" borderId="162" applyNumberFormat="0" applyProtection="0">
      <alignment horizontal="right" vertical="center"/>
    </xf>
    <xf numFmtId="4" fontId="172" fillId="52" borderId="162" applyNumberFormat="0" applyProtection="0">
      <alignment horizontal="right" vertical="center"/>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30" fillId="48" borderId="160" applyNumberFormat="0" applyProtection="0">
      <alignment horizontal="left" vertical="center" indent="1"/>
    </xf>
    <xf numFmtId="4" fontId="43" fillId="14" borderId="162" applyNumberFormat="0" applyProtection="0">
      <alignment horizontal="left" vertical="center" indent="1"/>
    </xf>
    <xf numFmtId="0" fontId="62" fillId="48" borderId="160" applyNumberFormat="0" applyProtection="0">
      <alignment horizontal="left" vertical="top" indent="1"/>
    </xf>
    <xf numFmtId="0" fontId="62" fillId="48" borderId="160" applyNumberFormat="0" applyProtection="0">
      <alignment horizontal="left" vertical="top" indent="1"/>
    </xf>
    <xf numFmtId="4" fontId="174" fillId="50" borderId="164" applyNumberFormat="0" applyProtection="0">
      <alignment horizontal="left" vertical="center" indent="1"/>
    </xf>
    <xf numFmtId="4" fontId="174" fillId="50" borderId="164" applyNumberFormat="0" applyProtection="0">
      <alignment horizontal="left" vertical="center" indent="1"/>
    </xf>
    <xf numFmtId="4" fontId="175" fillId="84" borderId="162" applyNumberFormat="0" applyProtection="0">
      <alignment horizontal="right" vertical="center"/>
    </xf>
    <xf numFmtId="4" fontId="175" fillId="84" borderId="162" applyNumberFormat="0" applyProtection="0">
      <alignment horizontal="right" vertical="center"/>
    </xf>
    <xf numFmtId="0" fontId="20" fillId="0" borderId="159" applyNumberFormat="0" applyFill="0" applyAlignment="0" applyProtection="0"/>
    <xf numFmtId="0" fontId="20" fillId="0" borderId="167"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0" fontId="20" fillId="0" borderId="159"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44" fontId="1" fillId="0" borderId="0" applyFont="0" applyFill="0" applyBorder="0" applyAlignment="0" applyProtection="0"/>
    <xf numFmtId="0" fontId="20" fillId="0" borderId="159" applyNumberFormat="0" applyFill="0" applyAlignment="0" applyProtection="0"/>
    <xf numFmtId="43" fontId="1" fillId="0" borderId="0" applyFont="0" applyFill="0" applyBorder="0" applyAlignment="0" applyProtection="0"/>
    <xf numFmtId="0" fontId="20" fillId="0" borderId="167" applyNumberFormat="0" applyFill="0" applyAlignment="0" applyProtection="0"/>
    <xf numFmtId="0" fontId="20" fillId="0" borderId="167" applyNumberFormat="0" applyFill="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34" fillId="84" borderId="156" applyNumberFormat="0" applyAlignment="0" applyProtection="0"/>
    <xf numFmtId="0" fontId="134" fillId="84" borderId="156" applyNumberFormat="0" applyAlignment="0" applyProtection="0"/>
    <xf numFmtId="0" fontId="140" fillId="23" borderId="156" applyNumberFormat="0" applyAlignment="0" applyProtection="0"/>
    <xf numFmtId="0" fontId="140" fillId="23" borderId="156" applyNumberFormat="0" applyAlignment="0" applyProtection="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6" fillId="24" borderId="157"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 fillId="38" borderId="82" applyNumberFormat="0" applyFont="0" applyAlignment="0" applyProtection="0"/>
    <xf numFmtId="0" fontId="145" fillId="84" borderId="158" applyNumberFormat="0" applyAlignment="0" applyProtection="0"/>
    <xf numFmtId="0" fontId="145" fillId="84" borderId="158" applyNumberFormat="0" applyAlignment="0" applyProtection="0"/>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0" fontId="1" fillId="0" borderId="0"/>
    <xf numFmtId="0" fontId="1" fillId="0" borderId="0"/>
    <xf numFmtId="0" fontId="140" fillId="23" borderId="156" applyNumberFormat="0" applyAlignment="0" applyProtection="0"/>
    <xf numFmtId="4" fontId="30" fillId="48" borderId="160" applyNumberFormat="0" applyProtection="0">
      <alignment horizontal="left" vertical="center" indent="1"/>
    </xf>
    <xf numFmtId="0" fontId="91" fillId="0" borderId="170">
      <alignment horizontal="lef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100" fillId="1" borderId="170" applyNumberFormat="0" applyFont="0" applyAlignment="0">
      <alignment horizontal="center"/>
    </xf>
    <xf numFmtId="0" fontId="24" fillId="2" borderId="169" applyFill="0">
      <alignment horizontal="left" vertical="top" wrapText="1"/>
    </xf>
    <xf numFmtId="0" fontId="91" fillId="0" borderId="168" applyNumberFormat="0" applyAlignment="0" applyProtection="0">
      <alignment horizontal="left" vertical="center"/>
    </xf>
    <xf numFmtId="10" fontId="43" fillId="22" borderId="169" applyNumberFormat="0" applyBorder="0" applyAlignment="0" applyProtection="0"/>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9" borderId="160" applyNumberFormat="0" applyProtection="0">
      <alignment horizontal="right" vertical="center"/>
    </xf>
    <xf numFmtId="4" fontId="30" fillId="8" borderId="160" applyNumberFormat="0" applyProtection="0">
      <alignment horizontal="right" vertical="center"/>
    </xf>
    <xf numFmtId="4" fontId="32" fillId="42" borderId="160" applyNumberFormat="0" applyProtection="0">
      <alignment horizontal="left" vertical="center" indent="1"/>
    </xf>
    <xf numFmtId="4" fontId="30" fillId="8" borderId="160" applyNumberFormat="0" applyProtection="0">
      <alignment horizontal="right" vertical="center"/>
    </xf>
    <xf numFmtId="4" fontId="30" fillId="15" borderId="160" applyNumberFormat="0" applyProtection="0">
      <alignment horizontal="right" vertical="center"/>
    </xf>
    <xf numFmtId="4" fontId="32" fillId="42" borderId="160" applyNumberFormat="0" applyProtection="0">
      <alignment horizontal="left" vertical="center" indent="1"/>
    </xf>
    <xf numFmtId="4" fontId="30" fillId="48" borderId="160" applyNumberFormat="0" applyProtection="0">
      <alignment horizontal="right" vertical="center"/>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5" borderId="160" applyNumberFormat="0" applyProtection="0">
      <alignment horizontal="right" vertical="center"/>
    </xf>
    <xf numFmtId="4" fontId="30" fillId="11" borderId="160" applyNumberFormat="0" applyProtection="0">
      <alignment horizontal="right" vertical="center"/>
    </xf>
    <xf numFmtId="4" fontId="30" fillId="17"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5" borderId="161"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91" fillId="0" borderId="168" applyNumberFormat="0" applyAlignment="0" applyProtection="0">
      <alignment horizontal="left" vertical="center"/>
    </xf>
    <xf numFmtId="4" fontId="32" fillId="23" borderId="160" applyNumberFormat="0" applyProtection="0">
      <alignment vertical="center"/>
    </xf>
    <xf numFmtId="4" fontId="102" fillId="42" borderId="160" applyNumberFormat="0" applyProtection="0">
      <alignment vertical="center"/>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17"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1" borderId="160" applyNumberFormat="0" applyProtection="0">
      <alignment horizontal="right" vertical="center"/>
    </xf>
    <xf numFmtId="0" fontId="6" fillId="43" borderId="160" applyNumberFormat="0" applyProtection="0">
      <alignment horizontal="left" vertical="top" indent="1"/>
    </xf>
    <xf numFmtId="4" fontId="30" fillId="46" borderId="160" applyNumberFormat="0" applyProtection="0">
      <alignment horizontal="right" vertical="center"/>
    </xf>
    <xf numFmtId="0" fontId="91" fillId="0" borderId="168" applyNumberFormat="0" applyAlignment="0" applyProtection="0">
      <alignment horizontal="lef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0" fontId="91" fillId="0" borderId="170">
      <alignment horizontal="left" vertical="center"/>
    </xf>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70">
      <alignment horizontal="left" vertical="center"/>
    </xf>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0" fontId="91" fillId="0" borderId="170">
      <alignment horizontal="left" vertical="center"/>
    </xf>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70">
      <alignment horizontal="left" vertical="center"/>
    </xf>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 fontId="30" fillId="48" borderId="160" applyNumberFormat="0" applyProtection="0">
      <alignment horizontal="left" vertical="center" indent="1"/>
    </xf>
    <xf numFmtId="4" fontId="30" fillId="48" borderId="160" applyNumberFormat="0" applyProtection="0">
      <alignment horizontal="left" vertical="center" indent="1"/>
    </xf>
    <xf numFmtId="4" fontId="30" fillId="8" borderId="160" applyNumberFormat="0" applyProtection="0">
      <alignment horizontal="right" vertical="center"/>
    </xf>
    <xf numFmtId="4" fontId="30" fillId="3" borderId="160" applyNumberFormat="0" applyProtection="0">
      <alignment horizontal="right" vertical="center"/>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34" fillId="84" borderId="156" applyNumberFormat="0" applyAlignment="0" applyProtection="0"/>
    <xf numFmtId="0" fontId="134" fillId="84" borderId="156" applyNumberFormat="0" applyAlignment="0" applyProtection="0"/>
    <xf numFmtId="0" fontId="140" fillId="23" borderId="156" applyNumberFormat="0" applyAlignment="0" applyProtection="0"/>
    <xf numFmtId="0" fontId="140" fillId="23" borderId="156" applyNumberFormat="0" applyAlignment="0" applyProtection="0"/>
    <xf numFmtId="0" fontId="6" fillId="24" borderId="157" applyNumberFormat="0" applyFont="0" applyAlignment="0" applyProtection="0"/>
    <xf numFmtId="0" fontId="6" fillId="24" borderId="157" applyNumberFormat="0" applyFont="0" applyAlignment="0" applyProtection="0"/>
    <xf numFmtId="0" fontId="145" fillId="84" borderId="158" applyNumberFormat="0" applyAlignment="0" applyProtection="0"/>
    <xf numFmtId="0" fontId="145" fillId="84" borderId="158" applyNumberFormat="0" applyAlignment="0" applyProtection="0"/>
    <xf numFmtId="4" fontId="43" fillId="14" borderId="162" applyNumberFormat="0" applyProtection="0">
      <alignment horizontal="left" vertical="center" indent="1"/>
    </xf>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2" fillId="20" borderId="156" applyNumberFormat="0" applyAlignment="0" applyProtection="0"/>
    <xf numFmtId="0" fontId="12" fillId="20" borderId="156" applyNumberFormat="0" applyAlignment="0" applyProtection="0"/>
    <xf numFmtId="0" fontId="156" fillId="106" borderId="162" applyNumberFormat="0" applyAlignment="0" applyProtection="0"/>
    <xf numFmtId="0" fontId="156" fillId="106" borderId="162" applyNumberFormat="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140" fillId="7" borderId="156" applyNumberFormat="0" applyAlignment="0" applyProtection="0"/>
    <xf numFmtId="0" fontId="140" fillId="7" borderId="156" applyNumberFormat="0" applyAlignment="0" applyProtection="0"/>
    <xf numFmtId="0" fontId="164" fillId="103" borderId="162" applyNumberFormat="0" applyAlignment="0" applyProtection="0"/>
    <xf numFmtId="0" fontId="140" fillId="7" borderId="156" applyNumberFormat="0" applyAlignment="0" applyProtection="0"/>
    <xf numFmtId="0" fontId="164" fillId="103" borderId="162" applyNumberFormat="0" applyAlignment="0" applyProtection="0"/>
    <xf numFmtId="0" fontId="164" fillId="103" borderId="162" applyNumberFormat="0" applyAlignment="0" applyProtection="0"/>
    <xf numFmtId="0" fontId="140" fillId="7" borderId="156" applyNumberFormat="0" applyAlignment="0" applyProtection="0"/>
    <xf numFmtId="0" fontId="9"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9" fillId="24" borderId="157" applyNumberFormat="0" applyFont="0" applyAlignment="0" applyProtection="0"/>
    <xf numFmtId="0" fontId="9" fillId="24" borderId="157" applyNumberFormat="0" applyFont="0" applyAlignment="0" applyProtection="0"/>
    <xf numFmtId="0" fontId="43" fillId="102" borderId="162" applyNumberFormat="0" applyFont="0" applyAlignment="0" applyProtection="0"/>
    <xf numFmtId="0" fontId="9" fillId="24" borderId="157" applyNumberFormat="0" applyFont="0" applyAlignment="0" applyProtection="0"/>
    <xf numFmtId="0" fontId="43" fillId="102" borderId="162" applyNumberFormat="0" applyFont="0" applyAlignment="0" applyProtection="0"/>
    <xf numFmtId="0" fontId="7"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6" fillId="24" borderId="157"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43" fillId="102" borderId="162" applyNumberFormat="0" applyFont="0" applyAlignment="0" applyProtection="0"/>
    <xf numFmtId="0" fontId="6" fillId="24" borderId="157" applyNumberFormat="0" applyFont="0" applyAlignment="0" applyProtection="0"/>
    <xf numFmtId="0" fontId="6" fillId="24" borderId="157" applyNumberFormat="0" applyFont="0" applyAlignment="0" applyProtection="0"/>
    <xf numFmtId="0" fontId="7" fillId="24" borderId="157" applyNumberFormat="0" applyFont="0" applyAlignment="0" applyProtection="0"/>
    <xf numFmtId="0" fontId="145" fillId="20" borderId="158" applyNumberFormat="0" applyAlignment="0" applyProtection="0"/>
    <xf numFmtId="0" fontId="145" fillId="106" borderId="158" applyNumberFormat="0" applyAlignment="0" applyProtection="0"/>
    <xf numFmtId="0" fontId="145" fillId="106" borderId="158" applyNumberFormat="0" applyAlignment="0" applyProtection="0"/>
    <xf numFmtId="0" fontId="145" fillId="20" borderId="158" applyNumberFormat="0" applyAlignment="0" applyProtection="0"/>
    <xf numFmtId="0" fontId="145" fillId="20" borderId="158" applyNumberFormat="0" applyAlignment="0" applyProtection="0"/>
    <xf numFmtId="0" fontId="145" fillId="106" borderId="158" applyNumberFormat="0" applyAlignment="0" applyProtection="0"/>
    <xf numFmtId="0" fontId="145" fillId="20" borderId="158" applyNumberFormat="0" applyAlignment="0" applyProtection="0"/>
    <xf numFmtId="0" fontId="145" fillId="20" borderId="158" applyNumberFormat="0" applyAlignment="0" applyProtection="0"/>
    <xf numFmtId="0" fontId="145" fillId="106" borderId="158" applyNumberFormat="0" applyAlignment="0" applyProtection="0"/>
    <xf numFmtId="0" fontId="26" fillId="28" borderId="158" applyNumberFormat="0" applyAlignment="0" applyProtection="0"/>
    <xf numFmtId="0" fontId="145" fillId="106" borderId="158" applyNumberFormat="0" applyAlignment="0" applyProtection="0"/>
    <xf numFmtId="0" fontId="145" fillId="20" borderId="158" applyNumberFormat="0" applyAlignment="0" applyProtection="0"/>
    <xf numFmtId="0" fontId="26" fillId="28" borderId="158" applyNumberFormat="0" applyAlignment="0" applyProtection="0"/>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43" fillId="23" borderId="162" applyNumberFormat="0" applyProtection="0">
      <alignment vertical="center"/>
    </xf>
    <xf numFmtId="4" fontId="172" fillId="42" borderId="162" applyNumberFormat="0" applyProtection="0">
      <alignment vertical="center"/>
    </xf>
    <xf numFmtId="4" fontId="172" fillId="42" borderId="162" applyNumberFormat="0" applyProtection="0">
      <alignment vertical="center"/>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4" fontId="43" fillId="42" borderId="162" applyNumberFormat="0" applyProtection="0">
      <alignment horizontal="left" vertical="center" indent="1"/>
    </xf>
    <xf numFmtId="0" fontId="173" fillId="23" borderId="160" applyNumberFormat="0" applyProtection="0">
      <alignment horizontal="left" vertical="top" indent="1"/>
    </xf>
    <xf numFmtId="0" fontId="173" fillId="23" borderId="160" applyNumberFormat="0" applyProtection="0">
      <alignment horizontal="left" vertical="top"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43" fillId="3" borderId="162" applyNumberFormat="0" applyProtection="0">
      <alignment horizontal="right" vertical="center"/>
    </xf>
    <xf numFmtId="4" fontId="43" fillId="3" borderId="162" applyNumberFormat="0" applyProtection="0">
      <alignment horizontal="right" vertical="center"/>
    </xf>
    <xf numFmtId="4" fontId="43" fillId="111" borderId="162" applyNumberFormat="0" applyProtection="0">
      <alignment horizontal="right" vertical="center"/>
    </xf>
    <xf numFmtId="4" fontId="43" fillId="111" borderId="162" applyNumberFormat="0" applyProtection="0">
      <alignment horizontal="right" vertical="center"/>
    </xf>
    <xf numFmtId="4" fontId="43" fillId="17" borderId="164" applyNumberFormat="0" applyProtection="0">
      <alignment horizontal="right" vertical="center"/>
    </xf>
    <xf numFmtId="4" fontId="43" fillId="17" borderId="164" applyNumberFormat="0" applyProtection="0">
      <alignment horizontal="right" vertical="center"/>
    </xf>
    <xf numFmtId="4" fontId="43" fillId="11" borderId="162" applyNumberFormat="0" applyProtection="0">
      <alignment horizontal="right" vertical="center"/>
    </xf>
    <xf numFmtId="4" fontId="43" fillId="11" borderId="162" applyNumberFormat="0" applyProtection="0">
      <alignment horizontal="right" vertical="center"/>
    </xf>
    <xf numFmtId="4" fontId="43" fillId="15" borderId="162" applyNumberFormat="0" applyProtection="0">
      <alignment horizontal="right" vertical="center"/>
    </xf>
    <xf numFmtId="4" fontId="43" fillId="15" borderId="162" applyNumberFormat="0" applyProtection="0">
      <alignment horizontal="right" vertical="center"/>
    </xf>
    <xf numFmtId="4" fontId="43" fillId="19" borderId="162" applyNumberFormat="0" applyProtection="0">
      <alignment horizontal="right" vertical="center"/>
    </xf>
    <xf numFmtId="4" fontId="43" fillId="19" borderId="162" applyNumberFormat="0" applyProtection="0">
      <alignment horizontal="right" vertical="center"/>
    </xf>
    <xf numFmtId="4" fontId="43" fillId="18" borderId="162" applyNumberFormat="0" applyProtection="0">
      <alignment horizontal="right" vertical="center"/>
    </xf>
    <xf numFmtId="4" fontId="43" fillId="18" borderId="162" applyNumberFormat="0" applyProtection="0">
      <alignment horizontal="right" vertical="center"/>
    </xf>
    <xf numFmtId="4" fontId="43" fillId="44" borderId="162" applyNumberFormat="0" applyProtection="0">
      <alignment horizontal="right" vertical="center"/>
    </xf>
    <xf numFmtId="4" fontId="43" fillId="44" borderId="162" applyNumberFormat="0" applyProtection="0">
      <alignment horizontal="right" vertical="center"/>
    </xf>
    <xf numFmtId="4" fontId="43" fillId="9" borderId="162" applyNumberFormat="0" applyProtection="0">
      <alignment horizontal="right" vertical="center"/>
    </xf>
    <xf numFmtId="4" fontId="43" fillId="9" borderId="162" applyNumberFormat="0" applyProtection="0">
      <alignment horizontal="right" vertical="center"/>
    </xf>
    <xf numFmtId="4" fontId="43" fillId="45" borderId="164" applyNumberFormat="0" applyProtection="0">
      <alignment horizontal="left" vertical="center" indent="1"/>
    </xf>
    <xf numFmtId="4" fontId="43" fillId="45"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6" fillId="83" borderId="164" applyNumberFormat="0" applyProtection="0">
      <alignment horizontal="left" vertical="center" indent="1"/>
    </xf>
    <xf numFmtId="4" fontId="43" fillId="48" borderId="162" applyNumberFormat="0" applyProtection="0">
      <alignment horizontal="right" vertical="center"/>
    </xf>
    <xf numFmtId="4" fontId="43" fillId="48" borderId="162" applyNumberFormat="0" applyProtection="0">
      <alignment horizontal="right" vertical="center"/>
    </xf>
    <xf numFmtId="4" fontId="43" fillId="46" borderId="164" applyNumberFormat="0" applyProtection="0">
      <alignment horizontal="left" vertical="center" indent="1"/>
    </xf>
    <xf numFmtId="4" fontId="43" fillId="46" borderId="164" applyNumberFormat="0" applyProtection="0">
      <alignment horizontal="left" vertical="center" indent="1"/>
    </xf>
    <xf numFmtId="4" fontId="43" fillId="48" borderId="164" applyNumberFormat="0" applyProtection="0">
      <alignment horizontal="left" vertical="center" indent="1"/>
    </xf>
    <xf numFmtId="4" fontId="43" fillId="48" borderId="164" applyNumberFormat="0" applyProtection="0">
      <alignment horizontal="left" vertical="center" indent="1"/>
    </xf>
    <xf numFmtId="0" fontId="43" fillId="20" borderId="162" applyNumberFormat="0" applyProtection="0">
      <alignment horizontal="left" vertical="center" indent="1"/>
    </xf>
    <xf numFmtId="0" fontId="43" fillId="20" borderId="162" applyNumberFormat="0" applyProtection="0">
      <alignment horizontal="left" vertical="center"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83" borderId="160" applyNumberFormat="0" applyProtection="0">
      <alignment horizontal="left" vertical="top" indent="1"/>
    </xf>
    <xf numFmtId="0" fontId="43" fillId="112" borderId="162" applyNumberFormat="0" applyProtection="0">
      <alignment horizontal="left" vertical="center" indent="1"/>
    </xf>
    <xf numFmtId="0" fontId="43" fillId="112" borderId="162" applyNumberFormat="0" applyProtection="0">
      <alignment horizontal="left" vertical="center"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48" borderId="160" applyNumberFormat="0" applyProtection="0">
      <alignment horizontal="left" vertical="top" indent="1"/>
    </xf>
    <xf numFmtId="0" fontId="43" fillId="10" borderId="162" applyNumberFormat="0" applyProtection="0">
      <alignment horizontal="left" vertical="center" indent="1"/>
    </xf>
    <xf numFmtId="0" fontId="43" fillId="10" borderId="162" applyNumberFormat="0" applyProtection="0">
      <alignment horizontal="left" vertical="center"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10" borderId="160" applyNumberFormat="0" applyProtection="0">
      <alignment horizontal="left" vertical="top" indent="1"/>
    </xf>
    <xf numFmtId="0" fontId="43" fillId="46" borderId="162" applyNumberFormat="0" applyProtection="0">
      <alignment horizontal="left" vertical="center" indent="1"/>
    </xf>
    <xf numFmtId="0" fontId="43" fillId="46" borderId="162" applyNumberFormat="0" applyProtection="0">
      <alignment horizontal="left" vertical="center"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46" borderId="160" applyNumberFormat="0" applyProtection="0">
      <alignment horizontal="left" vertical="top" indent="1"/>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3" fillId="84" borderId="165" applyNumberFormat="0">
      <protection locked="0"/>
    </xf>
    <xf numFmtId="0" fontId="42" fillId="83" borderId="166" applyBorder="0"/>
    <xf numFmtId="0" fontId="42" fillId="83" borderId="166" applyBorder="0"/>
    <xf numFmtId="4" fontId="62" fillId="24" borderId="160" applyNumberFormat="0" applyProtection="0">
      <alignment vertical="center"/>
    </xf>
    <xf numFmtId="4" fontId="62" fillId="24" borderId="160" applyNumberFormat="0" applyProtection="0">
      <alignment vertical="center"/>
    </xf>
    <xf numFmtId="4" fontId="62" fillId="20" borderId="160" applyNumberFormat="0" applyProtection="0">
      <alignment horizontal="left" vertical="center" indent="1"/>
    </xf>
    <xf numFmtId="4" fontId="62" fillId="20" borderId="160" applyNumberFormat="0" applyProtection="0">
      <alignment horizontal="left" vertical="center" indent="1"/>
    </xf>
    <xf numFmtId="0" fontId="62" fillId="24" borderId="160" applyNumberFormat="0" applyProtection="0">
      <alignment horizontal="left" vertical="top" indent="1"/>
    </xf>
    <xf numFmtId="0" fontId="62" fillId="24" borderId="160" applyNumberFormat="0" applyProtection="0">
      <alignment horizontal="left" vertical="top" indent="1"/>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43" fillId="0" borderId="162" applyNumberFormat="0" applyProtection="0">
      <alignment horizontal="right" vertical="center"/>
    </xf>
    <xf numFmtId="4" fontId="172" fillId="52" borderId="162" applyNumberFormat="0" applyProtection="0">
      <alignment horizontal="right" vertical="center"/>
    </xf>
    <xf numFmtId="4" fontId="172" fillId="52" borderId="162" applyNumberFormat="0" applyProtection="0">
      <alignment horizontal="right" vertical="center"/>
    </xf>
    <xf numFmtId="4" fontId="43" fillId="14" borderId="162" applyNumberFormat="0" applyProtection="0">
      <alignment horizontal="left" vertical="center" indent="1"/>
    </xf>
    <xf numFmtId="4" fontId="43" fillId="14" borderId="162" applyNumberFormat="0" applyProtection="0">
      <alignment horizontal="left" vertical="center" indent="1"/>
    </xf>
    <xf numFmtId="4" fontId="30" fillId="48" borderId="160" applyNumberFormat="0" applyProtection="0">
      <alignment horizontal="left" vertical="center" indent="1"/>
    </xf>
    <xf numFmtId="4" fontId="43" fillId="14" borderId="162" applyNumberFormat="0" applyProtection="0">
      <alignment horizontal="left" vertical="center" indent="1"/>
    </xf>
    <xf numFmtId="0" fontId="62" fillId="48" borderId="160" applyNumberFormat="0" applyProtection="0">
      <alignment horizontal="left" vertical="top" indent="1"/>
    </xf>
    <xf numFmtId="0" fontId="62" fillId="48" borderId="160" applyNumberFormat="0" applyProtection="0">
      <alignment horizontal="left" vertical="top" indent="1"/>
    </xf>
    <xf numFmtId="4" fontId="174" fillId="50" borderId="164" applyNumberFormat="0" applyProtection="0">
      <alignment horizontal="left" vertical="center" indent="1"/>
    </xf>
    <xf numFmtId="4" fontId="174" fillId="50" borderId="164" applyNumberFormat="0" applyProtection="0">
      <alignment horizontal="left" vertical="center" indent="1"/>
    </xf>
    <xf numFmtId="4" fontId="175" fillId="84" borderId="162" applyNumberFormat="0" applyProtection="0">
      <alignment horizontal="right" vertical="center"/>
    </xf>
    <xf numFmtId="4" fontId="175" fillId="84" borderId="162" applyNumberFormat="0" applyProtection="0">
      <alignment horizontal="right" vertical="center"/>
    </xf>
    <xf numFmtId="0" fontId="20" fillId="0" borderId="159" applyNumberFormat="0" applyFill="0" applyAlignment="0" applyProtection="0"/>
    <xf numFmtId="0" fontId="20" fillId="0" borderId="167"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0" fontId="20" fillId="0" borderId="159" applyNumberFormat="0" applyFill="0" applyAlignment="0" applyProtection="0"/>
    <xf numFmtId="0" fontId="20" fillId="0" borderId="167" applyNumberFormat="0" applyFill="0" applyAlignment="0" applyProtection="0"/>
    <xf numFmtId="0" fontId="20" fillId="0" borderId="159" applyNumberFormat="0" applyFill="0" applyAlignment="0" applyProtection="0"/>
    <xf numFmtId="0" fontId="20" fillId="0" borderId="159" applyNumberFormat="0" applyFill="0" applyAlignment="0" applyProtection="0"/>
    <xf numFmtId="0" fontId="20" fillId="0" borderId="167" applyNumberFormat="0" applyFill="0" applyAlignment="0" applyProtection="0"/>
    <xf numFmtId="0" fontId="20" fillId="0" borderId="167" applyNumberFormat="0" applyFill="0" applyAlignment="0" applyProtection="0"/>
    <xf numFmtId="0" fontId="134" fillId="84" borderId="156" applyNumberFormat="0" applyAlignment="0" applyProtection="0"/>
    <xf numFmtId="0" fontId="134" fillId="84" borderId="156" applyNumberFormat="0" applyAlignment="0" applyProtection="0"/>
    <xf numFmtId="0" fontId="140" fillId="23" borderId="156" applyNumberFormat="0" applyAlignment="0" applyProtection="0"/>
    <xf numFmtId="0" fontId="140" fillId="23" borderId="156" applyNumberFormat="0" applyAlignment="0" applyProtection="0"/>
    <xf numFmtId="0" fontId="6" fillId="24" borderId="157" applyNumberFormat="0" applyFont="0" applyAlignment="0" applyProtection="0"/>
    <xf numFmtId="0" fontId="6" fillId="24" borderId="157" applyNumberFormat="0" applyFont="0" applyAlignment="0" applyProtection="0"/>
    <xf numFmtId="0" fontId="145" fillId="84" borderId="158" applyNumberFormat="0" applyAlignment="0" applyProtection="0"/>
    <xf numFmtId="0" fontId="145" fillId="84" borderId="158" applyNumberFormat="0" applyAlignment="0" applyProtection="0"/>
    <xf numFmtId="0" fontId="6" fillId="85" borderId="158" applyNumberFormat="0" applyProtection="0">
      <alignment horizontal="left" vertical="center" indent="1"/>
    </xf>
    <xf numFmtId="0" fontId="20" fillId="0" borderId="163" applyNumberFormat="0" applyFill="0" applyAlignment="0" applyProtection="0"/>
    <xf numFmtId="0" fontId="20" fillId="0" borderId="163" applyNumberFormat="0" applyFill="0" applyAlignment="0" applyProtection="0"/>
    <xf numFmtId="0" fontId="140" fillId="23" borderId="156" applyNumberFormat="0" applyAlignment="0" applyProtection="0"/>
    <xf numFmtId="4" fontId="30" fillId="48" borderId="160" applyNumberFormat="0" applyProtection="0">
      <alignment horizontal="left" vertical="center" indent="1"/>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24" fillId="2" borderId="169" applyFill="0">
      <alignment horizontal="left" vertical="top" wrapText="1"/>
    </xf>
    <xf numFmtId="0" fontId="91" fillId="0" borderId="168" applyNumberFormat="0" applyAlignment="0" applyProtection="0">
      <alignment horizontal="left" vertical="center"/>
    </xf>
    <xf numFmtId="0" fontId="91" fillId="0" borderId="170">
      <alignment horizontal="left" vertical="center"/>
    </xf>
    <xf numFmtId="10" fontId="43" fillId="22" borderId="169" applyNumberFormat="0" applyBorder="0" applyAlignment="0" applyProtection="0"/>
    <xf numFmtId="4" fontId="32" fillId="45" borderId="161" applyNumberFormat="0" applyProtection="0">
      <alignment horizontal="left" vertical="center" indent="1"/>
    </xf>
    <xf numFmtId="0" fontId="100" fillId="1" borderId="170" applyNumberFormat="0" applyFont="0" applyAlignment="0">
      <alignment horizontal="center"/>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9" borderId="160" applyNumberFormat="0" applyProtection="0">
      <alignment horizontal="right" vertical="center"/>
    </xf>
    <xf numFmtId="4" fontId="30" fillId="8" borderId="160" applyNumberFormat="0" applyProtection="0">
      <alignment horizontal="right" vertical="center"/>
    </xf>
    <xf numFmtId="4" fontId="32" fillId="42" borderId="160" applyNumberFormat="0" applyProtection="0">
      <alignment horizontal="left" vertical="center" indent="1"/>
    </xf>
    <xf numFmtId="4" fontId="30" fillId="8" borderId="160" applyNumberFormat="0" applyProtection="0">
      <alignment horizontal="right" vertical="center"/>
    </xf>
    <xf numFmtId="4" fontId="30" fillId="15" borderId="160" applyNumberFormat="0" applyProtection="0">
      <alignment horizontal="right" vertical="center"/>
    </xf>
    <xf numFmtId="4" fontId="32" fillId="42" borderId="160" applyNumberFormat="0" applyProtection="0">
      <alignment horizontal="left" vertical="center" indent="1"/>
    </xf>
    <xf numFmtId="4" fontId="30" fillId="48" borderId="160" applyNumberFormat="0" applyProtection="0">
      <alignment horizontal="right" vertical="center"/>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5" borderId="160" applyNumberFormat="0" applyProtection="0">
      <alignment horizontal="right" vertical="center"/>
    </xf>
    <xf numFmtId="4" fontId="30" fillId="11" borderId="160" applyNumberFormat="0" applyProtection="0">
      <alignment horizontal="right" vertical="center"/>
    </xf>
    <xf numFmtId="4" fontId="30" fillId="17"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5" borderId="161"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91" fillId="0" borderId="168" applyNumberFormat="0" applyAlignment="0" applyProtection="0">
      <alignment horizontal="left" vertical="center"/>
    </xf>
    <xf numFmtId="4" fontId="32" fillId="23" borderId="160" applyNumberFormat="0" applyProtection="0">
      <alignment vertical="center"/>
    </xf>
    <xf numFmtId="4" fontId="102" fillId="42" borderId="160" applyNumberFormat="0" applyProtection="0">
      <alignment vertical="center"/>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17"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2" fillId="45" borderId="161" applyNumberFormat="0" applyProtection="0">
      <alignment horizontal="left" vertical="center" indent="1"/>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11" borderId="160" applyNumberFormat="0" applyProtection="0">
      <alignment horizontal="right" vertical="center"/>
    </xf>
    <xf numFmtId="0" fontId="6" fillId="43" borderId="160" applyNumberFormat="0" applyProtection="0">
      <alignment horizontal="left" vertical="top" indent="1"/>
    </xf>
    <xf numFmtId="4" fontId="30" fillId="46" borderId="160" applyNumberFormat="0" applyProtection="0">
      <alignment horizontal="right" vertical="center"/>
    </xf>
    <xf numFmtId="0" fontId="91" fillId="0" borderId="168" applyNumberFormat="0" applyAlignment="0" applyProtection="0">
      <alignment horizontal="lef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0" fontId="91" fillId="0" borderId="168" applyNumberFormat="0" applyAlignment="0" applyProtection="0">
      <alignment horizontal="lef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45" borderId="161" applyNumberFormat="0" applyProtection="0">
      <alignment horizontal="left" vertical="center" indent="1"/>
    </xf>
    <xf numFmtId="4" fontId="104" fillId="46" borderId="160" applyNumberFormat="0" applyProtection="0">
      <alignment horizontal="right" vertical="center"/>
    </xf>
    <xf numFmtId="4" fontId="30" fillId="48" borderId="160" applyNumberFormat="0" applyProtection="0">
      <alignment horizontal="right" vertical="center"/>
    </xf>
    <xf numFmtId="4" fontId="30" fillId="11" borderId="160" applyNumberFormat="0" applyProtection="0">
      <alignment horizontal="right" vertical="center"/>
    </xf>
    <xf numFmtId="0" fontId="30" fillId="22" borderId="160" applyNumberFormat="0" applyProtection="0">
      <alignment horizontal="left" vertical="top" indent="1"/>
    </xf>
    <xf numFmtId="4" fontId="30" fillId="48" borderId="160" applyNumberFormat="0" applyProtection="0">
      <alignment horizontal="left" vertical="center" indent="1"/>
    </xf>
    <xf numFmtId="4" fontId="30" fillId="46" borderId="160" applyNumberFormat="0" applyProtection="0">
      <alignment horizontal="right" vertical="center"/>
    </xf>
    <xf numFmtId="4" fontId="30" fillId="22" borderId="160" applyNumberFormat="0" applyProtection="0">
      <alignment horizontal="left" vertical="center" indent="1"/>
    </xf>
    <xf numFmtId="4" fontId="104" fillId="22" borderId="160" applyNumberFormat="0" applyProtection="0">
      <alignment vertical="center"/>
    </xf>
    <xf numFmtId="4" fontId="30" fillId="22" borderId="160" applyNumberFormat="0" applyProtection="0">
      <alignment vertical="center"/>
    </xf>
    <xf numFmtId="0" fontId="6" fillId="49" borderId="160" applyNumberFormat="0" applyProtection="0">
      <alignment horizontal="left" vertical="top" indent="1"/>
    </xf>
    <xf numFmtId="0" fontId="6" fillId="49" borderId="160" applyNumberFormat="0" applyProtection="0">
      <alignment horizontal="left" vertical="center" indent="1"/>
    </xf>
    <xf numFmtId="0" fontId="6" fillId="39" borderId="160" applyNumberFormat="0" applyProtection="0">
      <alignment horizontal="left" vertical="top" indent="1"/>
    </xf>
    <xf numFmtId="0" fontId="6" fillId="39" borderId="160" applyNumberFormat="0" applyProtection="0">
      <alignment horizontal="left" vertical="center" indent="1"/>
    </xf>
    <xf numFmtId="0" fontId="6" fillId="43" borderId="160" applyNumberFormat="0" applyProtection="0">
      <alignment horizontal="left" vertical="top" indent="1"/>
    </xf>
    <xf numFmtId="0" fontId="6" fillId="43" borderId="160" applyNumberFormat="0" applyProtection="0">
      <alignment horizontal="left" vertical="center" indent="1"/>
    </xf>
    <xf numFmtId="0" fontId="6" fillId="47" borderId="160" applyNumberFormat="0" applyProtection="0">
      <alignment horizontal="left" vertical="top" indent="1"/>
    </xf>
    <xf numFmtId="0" fontId="6" fillId="47" borderId="160" applyNumberFormat="0" applyProtection="0">
      <alignment horizontal="left" vertical="center" indent="1"/>
    </xf>
    <xf numFmtId="4" fontId="30" fillId="9" borderId="160" applyNumberFormat="0" applyProtection="0">
      <alignment horizontal="right" vertical="center"/>
    </xf>
    <xf numFmtId="4" fontId="30" fillId="44" borderId="160" applyNumberFormat="0" applyProtection="0">
      <alignment horizontal="right" vertical="center"/>
    </xf>
    <xf numFmtId="4" fontId="30" fillId="18" borderId="160" applyNumberFormat="0" applyProtection="0">
      <alignment horizontal="right" vertical="center"/>
    </xf>
    <xf numFmtId="4" fontId="30" fillId="19" borderId="160" applyNumberFormat="0" applyProtection="0">
      <alignment horizontal="right" vertical="center"/>
    </xf>
    <xf numFmtId="4" fontId="30" fillId="15" borderId="160" applyNumberFormat="0" applyProtection="0">
      <alignment horizontal="right" vertical="center"/>
    </xf>
    <xf numFmtId="4" fontId="30" fillId="17" borderId="160" applyNumberFormat="0" applyProtection="0">
      <alignment horizontal="right" vertical="center"/>
    </xf>
    <xf numFmtId="4" fontId="30" fillId="8" borderId="160" applyNumberFormat="0" applyProtection="0">
      <alignment horizontal="right" vertical="center"/>
    </xf>
    <xf numFmtId="4" fontId="30" fillId="3" borderId="160" applyNumberFormat="0" applyProtection="0">
      <alignment horizontal="right" vertical="center"/>
    </xf>
    <xf numFmtId="0" fontId="32" fillId="42" borderId="160" applyNumberFormat="0" applyProtection="0">
      <alignment horizontal="left" vertical="top" indent="1"/>
    </xf>
    <xf numFmtId="4" fontId="32" fillId="42" borderId="160" applyNumberFormat="0" applyProtection="0">
      <alignment horizontal="left" vertical="center" indent="1"/>
    </xf>
    <xf numFmtId="4" fontId="102" fillId="42" borderId="160" applyNumberFormat="0" applyProtection="0">
      <alignment vertical="center"/>
    </xf>
    <xf numFmtId="4" fontId="32" fillId="23" borderId="160" applyNumberFormat="0" applyProtection="0">
      <alignment vertical="center"/>
    </xf>
    <xf numFmtId="0" fontId="30" fillId="43" borderId="160" applyNumberFormat="0" applyProtection="0">
      <alignment horizontal="left" vertical="top" indent="1"/>
    </xf>
    <xf numFmtId="4" fontId="106" fillId="46" borderId="160" applyNumberFormat="0" applyProtection="0">
      <alignment horizontal="right" vertical="center"/>
    </xf>
    <xf numFmtId="4" fontId="32" fillId="23" borderId="160" applyNumberFormat="0" applyProtection="0">
      <alignment vertical="center"/>
    </xf>
    <xf numFmtId="4" fontId="102" fillId="42" borderId="160" applyNumberFormat="0" applyProtection="0">
      <alignment vertical="center"/>
    </xf>
    <xf numFmtId="4" fontId="32" fillId="42" borderId="160" applyNumberFormat="0" applyProtection="0">
      <alignment horizontal="left" vertical="center" indent="1"/>
    </xf>
    <xf numFmtId="0" fontId="32" fillId="42" borderId="160" applyNumberFormat="0" applyProtection="0">
      <alignment horizontal="left" vertical="top" indent="1"/>
    </xf>
    <xf numFmtId="4" fontId="30" fillId="3" borderId="160" applyNumberFormat="0" applyProtection="0">
      <alignment horizontal="right" vertical="center"/>
    </xf>
    <xf numFmtId="4" fontId="30" fillId="8" borderId="160" applyNumberFormat="0" applyProtection="0">
      <alignment horizontal="right" vertical="center"/>
    </xf>
    <xf numFmtId="4" fontId="30" fillId="17" borderId="160" applyNumberFormat="0" applyProtection="0">
      <alignment horizontal="right" vertical="center"/>
    </xf>
    <xf numFmtId="4" fontId="30" fillId="11" borderId="160" applyNumberFormat="0" applyProtection="0">
      <alignment horizontal="right" vertical="center"/>
    </xf>
    <xf numFmtId="4" fontId="30" fillId="15" borderId="160" applyNumberFormat="0" applyProtection="0">
      <alignment horizontal="right" vertical="center"/>
    </xf>
    <xf numFmtId="4" fontId="30" fillId="19" borderId="160" applyNumberFormat="0" applyProtection="0">
      <alignment horizontal="right" vertical="center"/>
    </xf>
    <xf numFmtId="4" fontId="30" fillId="18" borderId="160" applyNumberFormat="0" applyProtection="0">
      <alignment horizontal="right" vertical="center"/>
    </xf>
    <xf numFmtId="4" fontId="30" fillId="44" borderId="160" applyNumberFormat="0" applyProtection="0">
      <alignment horizontal="right" vertical="center"/>
    </xf>
    <xf numFmtId="4" fontId="30" fillId="9" borderId="160" applyNumberFormat="0" applyProtection="0">
      <alignment horizontal="right" vertical="center"/>
    </xf>
    <xf numFmtId="4" fontId="30" fillId="48" borderId="160" applyNumberFormat="0" applyProtection="0">
      <alignment horizontal="right" vertical="center"/>
    </xf>
    <xf numFmtId="0" fontId="6" fillId="47" borderId="160" applyNumberFormat="0" applyProtection="0">
      <alignment horizontal="left" vertical="center" indent="1"/>
    </xf>
    <xf numFmtId="0" fontId="6" fillId="47" borderId="160" applyNumberFormat="0" applyProtection="0">
      <alignment horizontal="left" vertical="top" indent="1"/>
    </xf>
    <xf numFmtId="0" fontId="6" fillId="43" borderId="160" applyNumberFormat="0" applyProtection="0">
      <alignment horizontal="left" vertical="center" indent="1"/>
    </xf>
    <xf numFmtId="0" fontId="6" fillId="43" borderId="160" applyNumberFormat="0" applyProtection="0">
      <alignment horizontal="left" vertical="top" indent="1"/>
    </xf>
    <xf numFmtId="0" fontId="6" fillId="39" borderId="160" applyNumberFormat="0" applyProtection="0">
      <alignment horizontal="left" vertical="center" indent="1"/>
    </xf>
    <xf numFmtId="0" fontId="6" fillId="39" borderId="160" applyNumberFormat="0" applyProtection="0">
      <alignment horizontal="left" vertical="top" indent="1"/>
    </xf>
    <xf numFmtId="0" fontId="6" fillId="49" borderId="160" applyNumberFormat="0" applyProtection="0">
      <alignment horizontal="left" vertical="center" indent="1"/>
    </xf>
    <xf numFmtId="0" fontId="6" fillId="49" borderId="160" applyNumberFormat="0" applyProtection="0">
      <alignment horizontal="left" vertical="top" indent="1"/>
    </xf>
    <xf numFmtId="4" fontId="30" fillId="22" borderId="160" applyNumberFormat="0" applyProtection="0">
      <alignment vertical="center"/>
    </xf>
    <xf numFmtId="4" fontId="104" fillId="22" borderId="160" applyNumberFormat="0" applyProtection="0">
      <alignment vertical="center"/>
    </xf>
    <xf numFmtId="4" fontId="30" fillId="22" borderId="160" applyNumberFormat="0" applyProtection="0">
      <alignment horizontal="left" vertical="center" indent="1"/>
    </xf>
    <xf numFmtId="0" fontId="30" fillId="22" borderId="160" applyNumberFormat="0" applyProtection="0">
      <alignment horizontal="left" vertical="top" indent="1"/>
    </xf>
    <xf numFmtId="4" fontId="30" fillId="46" borderId="160" applyNumberFormat="0" applyProtection="0">
      <alignment horizontal="right" vertical="center"/>
    </xf>
    <xf numFmtId="4" fontId="104" fillId="46" borderId="160" applyNumberFormat="0" applyProtection="0">
      <alignment horizontal="right" vertical="center"/>
    </xf>
    <xf numFmtId="4" fontId="30" fillId="48" borderId="160" applyNumberFormat="0" applyProtection="0">
      <alignment horizontal="left" vertical="center" indent="1"/>
    </xf>
    <xf numFmtId="0" fontId="30" fillId="43" borderId="160" applyNumberFormat="0" applyProtection="0">
      <alignment horizontal="left" vertical="top" indent="1"/>
    </xf>
    <xf numFmtId="4" fontId="106" fillId="46" borderId="160" applyNumberFormat="0" applyProtection="0">
      <alignment horizontal="right" vertical="center"/>
    </xf>
    <xf numFmtId="4" fontId="30" fillId="48" borderId="160" applyNumberFormat="0" applyProtection="0">
      <alignment horizontal="left" vertical="center" indent="1"/>
    </xf>
    <xf numFmtId="4" fontId="30" fillId="48" borderId="160" applyNumberFormat="0" applyProtection="0">
      <alignment horizontal="left" vertical="center" indent="1"/>
    </xf>
    <xf numFmtId="0" fontId="1" fillId="0" borderId="0"/>
    <xf numFmtId="44" fontId="1" fillId="0" borderId="0" applyFont="0" applyFill="0" applyBorder="0" applyAlignment="0" applyProtection="0"/>
    <xf numFmtId="0" fontId="134" fillId="84" borderId="171" applyNumberFormat="0" applyAlignment="0" applyProtection="0"/>
    <xf numFmtId="0" fontId="134" fillId="84" borderId="171" applyNumberFormat="0" applyAlignment="0" applyProtection="0"/>
    <xf numFmtId="0" fontId="140" fillId="23" borderId="171" applyNumberFormat="0" applyAlignment="0" applyProtection="0"/>
    <xf numFmtId="0" fontId="140" fillId="23" borderId="171" applyNumberFormat="0" applyAlignment="0" applyProtection="0"/>
    <xf numFmtId="0" fontId="6" fillId="24" borderId="172" applyNumberFormat="0" applyFont="0" applyAlignment="0" applyProtection="0"/>
    <xf numFmtId="0" fontId="6" fillId="24" borderId="172" applyNumberFormat="0" applyFont="0" applyAlignment="0" applyProtection="0"/>
    <xf numFmtId="0" fontId="145" fillId="84" borderId="173" applyNumberFormat="0" applyAlignment="0" applyProtection="0"/>
    <xf numFmtId="0" fontId="145" fillId="84" borderId="173" applyNumberFormat="0" applyAlignment="0" applyProtection="0"/>
    <xf numFmtId="4" fontId="43" fillId="14" borderId="176" applyNumberFormat="0" applyProtection="0">
      <alignment horizontal="left" vertical="center" indent="1"/>
    </xf>
    <xf numFmtId="0" fontId="6" fillId="85" borderId="173" applyNumberFormat="0" applyProtection="0">
      <alignment horizontal="left" vertical="center" indent="1"/>
    </xf>
    <xf numFmtId="0" fontId="20" fillId="0" borderId="177" applyNumberFormat="0" applyFill="0" applyAlignment="0" applyProtection="0"/>
    <xf numFmtId="0" fontId="20" fillId="0" borderId="177" applyNumberFormat="0" applyFill="0" applyAlignment="0" applyProtection="0"/>
    <xf numFmtId="0" fontId="12" fillId="20" borderId="171" applyNumberFormat="0" applyAlignment="0" applyProtection="0"/>
    <xf numFmtId="0" fontId="156" fillId="106" borderId="176" applyNumberFormat="0" applyAlignment="0" applyProtection="0"/>
    <xf numFmtId="0" fontId="156" fillId="106" borderId="176" applyNumberFormat="0" applyAlignment="0" applyProtection="0"/>
    <xf numFmtId="0" fontId="12" fillId="20" borderId="171" applyNumberFormat="0" applyAlignment="0" applyProtection="0"/>
    <xf numFmtId="0" fontId="12" fillId="20" borderId="171" applyNumberFormat="0" applyAlignment="0" applyProtection="0"/>
    <xf numFmtId="0" fontId="156" fillId="106" borderId="176" applyNumberFormat="0" applyAlignment="0" applyProtection="0"/>
    <xf numFmtId="0" fontId="12" fillId="20" borderId="171" applyNumberFormat="0" applyAlignment="0" applyProtection="0"/>
    <xf numFmtId="0" fontId="12" fillId="20" borderId="171" applyNumberFormat="0" applyAlignment="0" applyProtection="0"/>
    <xf numFmtId="0" fontId="156" fillId="106" borderId="176" applyNumberFormat="0" applyAlignment="0" applyProtection="0"/>
    <xf numFmtId="0" fontId="156" fillId="106" borderId="176" applyNumberFormat="0" applyAlignment="0" applyProtection="0"/>
    <xf numFmtId="0" fontId="140" fillId="7" borderId="171" applyNumberFormat="0" applyAlignment="0" applyProtection="0"/>
    <xf numFmtId="0" fontId="164" fillId="103" borderId="176" applyNumberFormat="0" applyAlignment="0" applyProtection="0"/>
    <xf numFmtId="0" fontId="164" fillId="103" borderId="176" applyNumberFormat="0" applyAlignment="0" applyProtection="0"/>
    <xf numFmtId="0" fontId="140" fillId="7" borderId="171" applyNumberFormat="0" applyAlignment="0" applyProtection="0"/>
    <xf numFmtId="0" fontId="140" fillId="7" borderId="171" applyNumberFormat="0" applyAlignment="0" applyProtection="0"/>
    <xf numFmtId="0" fontId="140" fillId="7" borderId="171" applyNumberFormat="0" applyAlignment="0" applyProtection="0"/>
    <xf numFmtId="0" fontId="164" fillId="103" borderId="176" applyNumberFormat="0" applyAlignment="0" applyProtection="0"/>
    <xf numFmtId="0" fontId="140" fillId="7" borderId="171" applyNumberFormat="0" applyAlignment="0" applyProtection="0"/>
    <xf numFmtId="0" fontId="164" fillId="103" borderId="176" applyNumberFormat="0" applyAlignment="0" applyProtection="0"/>
    <xf numFmtId="0" fontId="164" fillId="103" borderId="176" applyNumberFormat="0" applyAlignment="0" applyProtection="0"/>
    <xf numFmtId="0" fontId="140" fillId="7" borderId="171" applyNumberFormat="0" applyAlignment="0" applyProtection="0"/>
    <xf numFmtId="0" fontId="9" fillId="24" borderId="172"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6" fillId="24" borderId="172" applyNumberFormat="0" applyFont="0" applyAlignment="0" applyProtection="0"/>
    <xf numFmtId="0" fontId="43" fillId="102" borderId="176" applyNumberFormat="0" applyFont="0" applyAlignment="0" applyProtection="0"/>
    <xf numFmtId="0" fontId="6" fillId="24" borderId="172" applyNumberFormat="0" applyFont="0" applyAlignment="0" applyProtection="0"/>
    <xf numFmtId="0" fontId="7" fillId="24" borderId="172" applyNumberFormat="0" applyFont="0" applyAlignment="0" applyProtection="0"/>
    <xf numFmtId="0" fontId="9" fillId="24" borderId="172" applyNumberFormat="0" applyFont="0" applyAlignment="0" applyProtection="0"/>
    <xf numFmtId="0" fontId="9" fillId="24" borderId="172" applyNumberFormat="0" applyFont="0" applyAlignment="0" applyProtection="0"/>
    <xf numFmtId="0" fontId="43" fillId="102" borderId="176" applyNumberFormat="0" applyFont="0" applyAlignment="0" applyProtection="0"/>
    <xf numFmtId="0" fontId="9" fillId="24" borderId="172" applyNumberFormat="0" applyFont="0" applyAlignment="0" applyProtection="0"/>
    <xf numFmtId="0" fontId="43" fillId="102" borderId="176" applyNumberFormat="0" applyFont="0" applyAlignment="0" applyProtection="0"/>
    <xf numFmtId="0" fontId="7" fillId="24" borderId="172"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6" fillId="24" borderId="172" applyNumberFormat="0" applyFont="0" applyAlignment="0" applyProtection="0"/>
    <xf numFmtId="0" fontId="43" fillId="102" borderId="176" applyNumberFormat="0" applyFont="0" applyAlignment="0" applyProtection="0"/>
    <xf numFmtId="0" fontId="6" fillId="24" borderId="172" applyNumberFormat="0" applyFont="0" applyAlignment="0" applyProtection="0"/>
    <xf numFmtId="0" fontId="6" fillId="24" borderId="172"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43" fillId="102" borderId="176" applyNumberFormat="0" applyFont="0" applyAlignment="0" applyProtection="0"/>
    <xf numFmtId="0" fontId="6" fillId="24" borderId="172" applyNumberFormat="0" applyFont="0" applyAlignment="0" applyProtection="0"/>
    <xf numFmtId="0" fontId="6" fillId="24" borderId="172" applyNumberFormat="0" applyFont="0" applyAlignment="0" applyProtection="0"/>
    <xf numFmtId="0" fontId="7" fillId="24" borderId="172" applyNumberFormat="0" applyFont="0" applyAlignment="0" applyProtection="0"/>
    <xf numFmtId="0" fontId="145" fillId="20" borderId="173" applyNumberFormat="0" applyAlignment="0" applyProtection="0"/>
    <xf numFmtId="0" fontId="145" fillId="106" borderId="173" applyNumberFormat="0" applyAlignment="0" applyProtection="0"/>
    <xf numFmtId="0" fontId="145" fillId="106" borderId="173" applyNumberFormat="0" applyAlignment="0" applyProtection="0"/>
    <xf numFmtId="0" fontId="145" fillId="20" borderId="173" applyNumberFormat="0" applyAlignment="0" applyProtection="0"/>
    <xf numFmtId="0" fontId="145" fillId="20" borderId="173" applyNumberFormat="0" applyAlignment="0" applyProtection="0"/>
    <xf numFmtId="0" fontId="145" fillId="106" borderId="173" applyNumberFormat="0" applyAlignment="0" applyProtection="0"/>
    <xf numFmtId="0" fontId="145" fillId="20" borderId="173" applyNumberFormat="0" applyAlignment="0" applyProtection="0"/>
    <xf numFmtId="0" fontId="145" fillId="20" borderId="173" applyNumberFormat="0" applyAlignment="0" applyProtection="0"/>
    <xf numFmtId="0" fontId="145" fillId="106" borderId="173" applyNumberFormat="0" applyAlignment="0" applyProtection="0"/>
    <xf numFmtId="0" fontId="26" fillId="28" borderId="173" applyNumberFormat="0" applyAlignment="0" applyProtection="0"/>
    <xf numFmtId="0" fontId="145" fillId="106" borderId="173" applyNumberFormat="0" applyAlignment="0" applyProtection="0"/>
    <xf numFmtId="0" fontId="145" fillId="20" borderId="173" applyNumberFormat="0" applyAlignment="0" applyProtection="0"/>
    <xf numFmtId="0" fontId="26" fillId="28" borderId="173" applyNumberFormat="0" applyAlignment="0" applyProtection="0"/>
    <xf numFmtId="4" fontId="43" fillId="23" borderId="176" applyNumberFormat="0" applyProtection="0">
      <alignment vertical="center"/>
    </xf>
    <xf numFmtId="4" fontId="43" fillId="23" borderId="176" applyNumberFormat="0" applyProtection="0">
      <alignment vertical="center"/>
    </xf>
    <xf numFmtId="4" fontId="43" fillId="23" borderId="176" applyNumberFormat="0" applyProtection="0">
      <alignment vertical="center"/>
    </xf>
    <xf numFmtId="4" fontId="43" fillId="23" borderId="176" applyNumberFormat="0" applyProtection="0">
      <alignment vertical="center"/>
    </xf>
    <xf numFmtId="4" fontId="172" fillId="42" borderId="176" applyNumberFormat="0" applyProtection="0">
      <alignment vertical="center"/>
    </xf>
    <xf numFmtId="4" fontId="172" fillId="42" borderId="176" applyNumberFormat="0" applyProtection="0">
      <alignment vertical="center"/>
    </xf>
    <xf numFmtId="4" fontId="43" fillId="42" borderId="176" applyNumberFormat="0" applyProtection="0">
      <alignment horizontal="left" vertical="center" indent="1"/>
    </xf>
    <xf numFmtId="4" fontId="43" fillId="42" borderId="176" applyNumberFormat="0" applyProtection="0">
      <alignment horizontal="left" vertical="center" indent="1"/>
    </xf>
    <xf numFmtId="4" fontId="43" fillId="42" borderId="176" applyNumberFormat="0" applyProtection="0">
      <alignment horizontal="left" vertical="center" indent="1"/>
    </xf>
    <xf numFmtId="4" fontId="43" fillId="42" borderId="176" applyNumberFormat="0" applyProtection="0">
      <alignment horizontal="left" vertical="center" indent="1"/>
    </xf>
    <xf numFmtId="0" fontId="173" fillId="23" borderId="175" applyNumberFormat="0" applyProtection="0">
      <alignment horizontal="left" vertical="top" indent="1"/>
    </xf>
    <xf numFmtId="0" fontId="173" fillId="23" borderId="175" applyNumberFormat="0" applyProtection="0">
      <alignment horizontal="left" vertical="top" indent="1"/>
    </xf>
    <xf numFmtId="4" fontId="43" fillId="14" borderId="176" applyNumberFormat="0" applyProtection="0">
      <alignment horizontal="left" vertical="center" indent="1"/>
    </xf>
    <xf numFmtId="4" fontId="43" fillId="14" borderId="176" applyNumberFormat="0" applyProtection="0">
      <alignment horizontal="left" vertical="center" indent="1"/>
    </xf>
    <xf numFmtId="4" fontId="43" fillId="14" borderId="176" applyNumberFormat="0" applyProtection="0">
      <alignment horizontal="left" vertical="center" indent="1"/>
    </xf>
    <xf numFmtId="4" fontId="43" fillId="14" borderId="176" applyNumberFormat="0" applyProtection="0">
      <alignment horizontal="left" vertical="center" indent="1"/>
    </xf>
    <xf numFmtId="4" fontId="43" fillId="3" borderId="176" applyNumberFormat="0" applyProtection="0">
      <alignment horizontal="right" vertical="center"/>
    </xf>
    <xf numFmtId="4" fontId="43" fillId="3" borderId="176" applyNumberFormat="0" applyProtection="0">
      <alignment horizontal="right" vertical="center"/>
    </xf>
    <xf numFmtId="4" fontId="43" fillId="111" borderId="176" applyNumberFormat="0" applyProtection="0">
      <alignment horizontal="right" vertical="center"/>
    </xf>
    <xf numFmtId="4" fontId="43" fillId="111" borderId="176" applyNumberFormat="0" applyProtection="0">
      <alignment horizontal="right" vertical="center"/>
    </xf>
    <xf numFmtId="4" fontId="43" fillId="17" borderId="178" applyNumberFormat="0" applyProtection="0">
      <alignment horizontal="right" vertical="center"/>
    </xf>
    <xf numFmtId="4" fontId="43" fillId="17" borderId="178" applyNumberFormat="0" applyProtection="0">
      <alignment horizontal="right" vertical="center"/>
    </xf>
    <xf numFmtId="4" fontId="43" fillId="11" borderId="176" applyNumberFormat="0" applyProtection="0">
      <alignment horizontal="right" vertical="center"/>
    </xf>
    <xf numFmtId="4" fontId="43" fillId="11" borderId="176" applyNumberFormat="0" applyProtection="0">
      <alignment horizontal="right" vertical="center"/>
    </xf>
    <xf numFmtId="4" fontId="43" fillId="15" borderId="176" applyNumberFormat="0" applyProtection="0">
      <alignment horizontal="right" vertical="center"/>
    </xf>
    <xf numFmtId="4" fontId="43" fillId="15" borderId="176" applyNumberFormat="0" applyProtection="0">
      <alignment horizontal="right" vertical="center"/>
    </xf>
    <xf numFmtId="4" fontId="43" fillId="19" borderId="176" applyNumberFormat="0" applyProtection="0">
      <alignment horizontal="right" vertical="center"/>
    </xf>
    <xf numFmtId="4" fontId="43" fillId="19" borderId="176" applyNumberFormat="0" applyProtection="0">
      <alignment horizontal="right" vertical="center"/>
    </xf>
    <xf numFmtId="4" fontId="43" fillId="18" borderId="176" applyNumberFormat="0" applyProtection="0">
      <alignment horizontal="right" vertical="center"/>
    </xf>
    <xf numFmtId="4" fontId="43" fillId="18" borderId="176" applyNumberFormat="0" applyProtection="0">
      <alignment horizontal="right" vertical="center"/>
    </xf>
    <xf numFmtId="4" fontId="43" fillId="44" borderId="176" applyNumberFormat="0" applyProtection="0">
      <alignment horizontal="right" vertical="center"/>
    </xf>
    <xf numFmtId="4" fontId="43" fillId="44" borderId="176" applyNumberFormat="0" applyProtection="0">
      <alignment horizontal="right" vertical="center"/>
    </xf>
    <xf numFmtId="4" fontId="43" fillId="9" borderId="176" applyNumberFormat="0" applyProtection="0">
      <alignment horizontal="right" vertical="center"/>
    </xf>
    <xf numFmtId="4" fontId="43" fillId="9" borderId="176" applyNumberFormat="0" applyProtection="0">
      <alignment horizontal="right" vertical="center"/>
    </xf>
    <xf numFmtId="4" fontId="43" fillId="45" borderId="178" applyNumberFormat="0" applyProtection="0">
      <alignment horizontal="left" vertical="center" indent="1"/>
    </xf>
    <xf numFmtId="4" fontId="43" fillId="45" borderId="178" applyNumberFormat="0" applyProtection="0">
      <alignment horizontal="left" vertical="center" indent="1"/>
    </xf>
    <xf numFmtId="4" fontId="6" fillId="83" borderId="178" applyNumberFormat="0" applyProtection="0">
      <alignment horizontal="left" vertical="center" indent="1"/>
    </xf>
    <xf numFmtId="4" fontId="6" fillId="83" borderId="178" applyNumberFormat="0" applyProtection="0">
      <alignment horizontal="left" vertical="center" indent="1"/>
    </xf>
    <xf numFmtId="4" fontId="6" fillId="83" borderId="178" applyNumberFormat="0" applyProtection="0">
      <alignment horizontal="left" vertical="center" indent="1"/>
    </xf>
    <xf numFmtId="4" fontId="6" fillId="83" borderId="178" applyNumberFormat="0" applyProtection="0">
      <alignment horizontal="left" vertical="center" indent="1"/>
    </xf>
    <xf numFmtId="4" fontId="43" fillId="48" borderId="176" applyNumberFormat="0" applyProtection="0">
      <alignment horizontal="right" vertical="center"/>
    </xf>
    <xf numFmtId="4" fontId="43" fillId="48" borderId="176" applyNumberFormat="0" applyProtection="0">
      <alignment horizontal="right" vertical="center"/>
    </xf>
    <xf numFmtId="4" fontId="43" fillId="46" borderId="178" applyNumberFormat="0" applyProtection="0">
      <alignment horizontal="left" vertical="center" indent="1"/>
    </xf>
    <xf numFmtId="4" fontId="43" fillId="46" borderId="178" applyNumberFormat="0" applyProtection="0">
      <alignment horizontal="left" vertical="center" indent="1"/>
    </xf>
    <xf numFmtId="4" fontId="43" fillId="48" borderId="178" applyNumberFormat="0" applyProtection="0">
      <alignment horizontal="left" vertical="center" indent="1"/>
    </xf>
    <xf numFmtId="4" fontId="43" fillId="48" borderId="178" applyNumberFormat="0" applyProtection="0">
      <alignment horizontal="left" vertical="center" indent="1"/>
    </xf>
    <xf numFmtId="0" fontId="43" fillId="20" borderId="176" applyNumberFormat="0" applyProtection="0">
      <alignment horizontal="left" vertical="center" indent="1"/>
    </xf>
    <xf numFmtId="0" fontId="43" fillId="20" borderId="176" applyNumberFormat="0" applyProtection="0">
      <alignment horizontal="left" vertical="center"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83" borderId="175" applyNumberFormat="0" applyProtection="0">
      <alignment horizontal="left" vertical="top" indent="1"/>
    </xf>
    <xf numFmtId="0" fontId="43" fillId="112" borderId="176" applyNumberFormat="0" applyProtection="0">
      <alignment horizontal="left" vertical="center" indent="1"/>
    </xf>
    <xf numFmtId="0" fontId="43" fillId="112" borderId="176" applyNumberFormat="0" applyProtection="0">
      <alignment horizontal="left" vertical="center"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48" borderId="175" applyNumberFormat="0" applyProtection="0">
      <alignment horizontal="left" vertical="top" indent="1"/>
    </xf>
    <xf numFmtId="0" fontId="43" fillId="10" borderId="176" applyNumberFormat="0" applyProtection="0">
      <alignment horizontal="left" vertical="center" indent="1"/>
    </xf>
    <xf numFmtId="0" fontId="43" fillId="10" borderId="176" applyNumberFormat="0" applyProtection="0">
      <alignment horizontal="left" vertical="center"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10" borderId="175" applyNumberFormat="0" applyProtection="0">
      <alignment horizontal="left" vertical="top" indent="1"/>
    </xf>
    <xf numFmtId="0" fontId="43" fillId="46" borderId="176" applyNumberFormat="0" applyProtection="0">
      <alignment horizontal="left" vertical="center" indent="1"/>
    </xf>
    <xf numFmtId="0" fontId="43" fillId="46" borderId="176" applyNumberFormat="0" applyProtection="0">
      <alignment horizontal="left" vertical="center"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3" fillId="46" borderId="175" applyNumberFormat="0" applyProtection="0">
      <alignment horizontal="left" vertical="top" indent="1"/>
    </xf>
    <xf numFmtId="0" fontId="42" fillId="83" borderId="179" applyBorder="0"/>
    <xf numFmtId="0" fontId="42" fillId="83" borderId="179" applyBorder="0"/>
    <xf numFmtId="4" fontId="62" fillId="24" borderId="175" applyNumberFormat="0" applyProtection="0">
      <alignment vertical="center"/>
    </xf>
    <xf numFmtId="4" fontId="62" fillId="24" borderId="175" applyNumberFormat="0" applyProtection="0">
      <alignment vertical="center"/>
    </xf>
    <xf numFmtId="4" fontId="62" fillId="20" borderId="175" applyNumberFormat="0" applyProtection="0">
      <alignment horizontal="left" vertical="center" indent="1"/>
    </xf>
    <xf numFmtId="4" fontId="62" fillId="20" borderId="175" applyNumberFormat="0" applyProtection="0">
      <alignment horizontal="left" vertical="center" indent="1"/>
    </xf>
    <xf numFmtId="0" fontId="62" fillId="24" borderId="175" applyNumberFormat="0" applyProtection="0">
      <alignment horizontal="left" vertical="top" indent="1"/>
    </xf>
    <xf numFmtId="0" fontId="62" fillId="24" borderId="175" applyNumberFormat="0" applyProtection="0">
      <alignment horizontal="left" vertical="top" indent="1"/>
    </xf>
    <xf numFmtId="4" fontId="43" fillId="0" borderId="176" applyNumberFormat="0" applyProtection="0">
      <alignment horizontal="right" vertical="center"/>
    </xf>
    <xf numFmtId="4" fontId="43" fillId="0" borderId="176" applyNumberFormat="0" applyProtection="0">
      <alignment horizontal="right" vertical="center"/>
    </xf>
    <xf numFmtId="4" fontId="43" fillId="0" borderId="176" applyNumberFormat="0" applyProtection="0">
      <alignment horizontal="right" vertical="center"/>
    </xf>
    <xf numFmtId="4" fontId="43" fillId="0" borderId="176" applyNumberFormat="0" applyProtection="0">
      <alignment horizontal="right" vertical="center"/>
    </xf>
    <xf numFmtId="4" fontId="172" fillId="52" borderId="176" applyNumberFormat="0" applyProtection="0">
      <alignment horizontal="right" vertical="center"/>
    </xf>
    <xf numFmtId="4" fontId="172" fillId="52" borderId="176" applyNumberFormat="0" applyProtection="0">
      <alignment horizontal="right" vertical="center"/>
    </xf>
    <xf numFmtId="4" fontId="43" fillId="14" borderId="176" applyNumberFormat="0" applyProtection="0">
      <alignment horizontal="left" vertical="center" indent="1"/>
    </xf>
    <xf numFmtId="4" fontId="43" fillId="14" borderId="176" applyNumberFormat="0" applyProtection="0">
      <alignment horizontal="left" vertical="center" indent="1"/>
    </xf>
    <xf numFmtId="4" fontId="30" fillId="48" borderId="175" applyNumberFormat="0" applyProtection="0">
      <alignment horizontal="left" vertical="center" indent="1"/>
    </xf>
    <xf numFmtId="4" fontId="43" fillId="14" borderId="176" applyNumberFormat="0" applyProtection="0">
      <alignment horizontal="left" vertical="center" indent="1"/>
    </xf>
    <xf numFmtId="0" fontId="62" fillId="48" borderId="175" applyNumberFormat="0" applyProtection="0">
      <alignment horizontal="left" vertical="top" indent="1"/>
    </xf>
    <xf numFmtId="0" fontId="62" fillId="48" borderId="175" applyNumberFormat="0" applyProtection="0">
      <alignment horizontal="left" vertical="top" indent="1"/>
    </xf>
    <xf numFmtId="4" fontId="174" fillId="50" borderId="178" applyNumberFormat="0" applyProtection="0">
      <alignment horizontal="left" vertical="center" indent="1"/>
    </xf>
    <xf numFmtId="4" fontId="174" fillId="50" borderId="178" applyNumberFormat="0" applyProtection="0">
      <alignment horizontal="left" vertical="center" indent="1"/>
    </xf>
    <xf numFmtId="4" fontId="175" fillId="84" borderId="176" applyNumberFormat="0" applyProtection="0">
      <alignment horizontal="right" vertical="center"/>
    </xf>
    <xf numFmtId="4" fontId="175" fillId="84" borderId="176" applyNumberFormat="0" applyProtection="0">
      <alignment horizontal="right" vertical="center"/>
    </xf>
    <xf numFmtId="0" fontId="20" fillId="0" borderId="174" applyNumberFormat="0" applyFill="0" applyAlignment="0" applyProtection="0"/>
    <xf numFmtId="0" fontId="20" fillId="0" borderId="180" applyNumberFormat="0" applyFill="0" applyAlignment="0" applyProtection="0"/>
    <xf numFmtId="0" fontId="20" fillId="0" borderId="180" applyNumberFormat="0" applyFill="0" applyAlignment="0" applyProtection="0"/>
    <xf numFmtId="0" fontId="20" fillId="0" borderId="174" applyNumberFormat="0" applyFill="0" applyAlignment="0" applyProtection="0"/>
    <xf numFmtId="0" fontId="20" fillId="0" borderId="174" applyNumberFormat="0" applyFill="0" applyAlignment="0" applyProtection="0"/>
    <xf numFmtId="0" fontId="20" fillId="0" borderId="180" applyNumberFormat="0" applyFill="0" applyAlignment="0" applyProtection="0"/>
    <xf numFmtId="0" fontId="20" fillId="0" borderId="174" applyNumberFormat="0" applyFill="0" applyAlignment="0" applyProtection="0"/>
    <xf numFmtId="0" fontId="20" fillId="0" borderId="174" applyNumberFormat="0" applyFill="0" applyAlignment="0" applyProtection="0"/>
    <xf numFmtId="0" fontId="20" fillId="0" borderId="180" applyNumberFormat="0" applyFill="0" applyAlignment="0" applyProtection="0"/>
    <xf numFmtId="0" fontId="20" fillId="0" borderId="180" applyNumberFormat="0" applyFill="0" applyAlignment="0" applyProtection="0"/>
    <xf numFmtId="0" fontId="134" fillId="84" borderId="171" applyNumberFormat="0" applyAlignment="0" applyProtection="0"/>
    <xf numFmtId="0" fontId="134" fillId="84" borderId="171" applyNumberFormat="0" applyAlignment="0" applyProtection="0"/>
    <xf numFmtId="0" fontId="140" fillId="23" borderId="171" applyNumberFormat="0" applyAlignment="0" applyProtection="0"/>
    <xf numFmtId="0" fontId="140" fillId="23" borderId="171" applyNumberFormat="0" applyAlignment="0" applyProtection="0"/>
    <xf numFmtId="0" fontId="6" fillId="24" borderId="172" applyNumberFormat="0" applyFont="0" applyAlignment="0" applyProtection="0"/>
    <xf numFmtId="0" fontId="6" fillId="24" borderId="172" applyNumberFormat="0" applyFont="0" applyAlignment="0" applyProtection="0"/>
    <xf numFmtId="0" fontId="145" fillId="84" borderId="173" applyNumberFormat="0" applyAlignment="0" applyProtection="0"/>
    <xf numFmtId="0" fontId="145" fillId="84" borderId="173" applyNumberFormat="0" applyAlignment="0" applyProtection="0"/>
    <xf numFmtId="0" fontId="6" fillId="85" borderId="173" applyNumberFormat="0" applyProtection="0">
      <alignment horizontal="left" vertical="center" indent="1"/>
    </xf>
    <xf numFmtId="0" fontId="20" fillId="0" borderId="177" applyNumberFormat="0" applyFill="0" applyAlignment="0" applyProtection="0"/>
    <xf numFmtId="0" fontId="20" fillId="0" borderId="177" applyNumberFormat="0" applyFill="0" applyAlignment="0" applyProtection="0"/>
    <xf numFmtId="0" fontId="140" fillId="23" borderId="171" applyNumberFormat="0" applyAlignment="0" applyProtection="0"/>
    <xf numFmtId="4" fontId="30" fillId="48" borderId="175" applyNumberFormat="0" applyProtection="0">
      <alignment horizontal="left" vertical="center" indent="1"/>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0" fontId="24" fillId="2" borderId="181" applyFill="0">
      <alignment horizontal="left" vertical="top" wrapText="1"/>
    </xf>
    <xf numFmtId="0" fontId="91" fillId="0" borderId="182">
      <alignment horizontal="left" vertical="center"/>
    </xf>
    <xf numFmtId="10" fontId="43" fillId="22" borderId="181" applyNumberFormat="0" applyBorder="0" applyAlignment="0" applyProtection="0"/>
    <xf numFmtId="0" fontId="100" fillId="1" borderId="182" applyNumberFormat="0" applyFont="0" applyAlignment="0">
      <alignment horizont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0" fillId="19" borderId="175" applyNumberFormat="0" applyProtection="0">
      <alignment horizontal="right" vertical="center"/>
    </xf>
    <xf numFmtId="4" fontId="30" fillId="8" borderId="175" applyNumberFormat="0" applyProtection="0">
      <alignment horizontal="right" vertical="center"/>
    </xf>
    <xf numFmtId="4" fontId="32" fillId="42" borderId="175" applyNumberFormat="0" applyProtection="0">
      <alignment horizontal="left" vertical="center" indent="1"/>
    </xf>
    <xf numFmtId="4" fontId="30" fillId="8" borderId="175" applyNumberFormat="0" applyProtection="0">
      <alignment horizontal="right" vertical="center"/>
    </xf>
    <xf numFmtId="4" fontId="30" fillId="15" borderId="175" applyNumberFormat="0" applyProtection="0">
      <alignment horizontal="right" vertical="center"/>
    </xf>
    <xf numFmtId="4" fontId="32" fillId="42" borderId="175" applyNumberFormat="0" applyProtection="0">
      <alignment horizontal="left" vertical="center" indent="1"/>
    </xf>
    <xf numFmtId="4" fontId="30" fillId="48" borderId="175" applyNumberFormat="0" applyProtection="0">
      <alignment horizontal="right" vertical="center"/>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5" borderId="175" applyNumberFormat="0" applyProtection="0">
      <alignment horizontal="right" vertical="center"/>
    </xf>
    <xf numFmtId="4" fontId="30" fillId="11" borderId="175" applyNumberFormat="0" applyProtection="0">
      <alignment horizontal="right" vertical="center"/>
    </xf>
    <xf numFmtId="4" fontId="30" fillId="17"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102" fillId="42" borderId="175" applyNumberFormat="0" applyProtection="0">
      <alignment vertical="center"/>
    </xf>
    <xf numFmtId="4" fontId="32" fillId="23" borderId="175" applyNumberFormat="0" applyProtection="0">
      <alignment vertical="center"/>
    </xf>
    <xf numFmtId="4" fontId="32" fillId="23" borderId="175" applyNumberFormat="0" applyProtection="0">
      <alignment vertical="center"/>
    </xf>
    <xf numFmtId="4" fontId="102" fillId="42" borderId="175" applyNumberFormat="0" applyProtection="0">
      <alignment vertical="center"/>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17"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30" fillId="11" borderId="175" applyNumberFormat="0" applyProtection="0">
      <alignment horizontal="right" vertical="center"/>
    </xf>
    <xf numFmtId="0" fontId="6" fillId="43"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right" vertical="center"/>
    </xf>
    <xf numFmtId="4" fontId="30" fillId="11" borderId="175" applyNumberFormat="0" applyProtection="0">
      <alignment horizontal="right" vertical="center"/>
    </xf>
    <xf numFmtId="0" fontId="30" fillId="22" borderId="175" applyNumberFormat="0" applyProtection="0">
      <alignment horizontal="left" vertical="top" indent="1"/>
    </xf>
    <xf numFmtId="4" fontId="30" fillId="48" borderId="175" applyNumberFormat="0" applyProtection="0">
      <alignment horizontal="left" vertical="center" indent="1"/>
    </xf>
    <xf numFmtId="4" fontId="30" fillId="46" borderId="175" applyNumberFormat="0" applyProtection="0">
      <alignment horizontal="right" vertical="center"/>
    </xf>
    <xf numFmtId="4" fontId="30" fillId="22" borderId="175" applyNumberFormat="0" applyProtection="0">
      <alignment horizontal="left" vertical="center" indent="1"/>
    </xf>
    <xf numFmtId="4" fontId="104" fillId="22" borderId="175" applyNumberFormat="0" applyProtection="0">
      <alignment vertical="center"/>
    </xf>
    <xf numFmtId="4" fontId="30" fillId="22" borderId="175" applyNumberFormat="0" applyProtection="0">
      <alignment vertical="center"/>
    </xf>
    <xf numFmtId="0" fontId="6" fillId="49" borderId="175" applyNumberFormat="0" applyProtection="0">
      <alignment horizontal="left" vertical="top" indent="1"/>
    </xf>
    <xf numFmtId="0" fontId="6" fillId="49" borderId="175" applyNumberFormat="0" applyProtection="0">
      <alignment horizontal="left" vertical="center" indent="1"/>
    </xf>
    <xf numFmtId="0" fontId="6" fillId="39" borderId="175" applyNumberFormat="0" applyProtection="0">
      <alignment horizontal="left" vertical="top" indent="1"/>
    </xf>
    <xf numFmtId="0" fontId="6" fillId="39" borderId="175" applyNumberFormat="0" applyProtection="0">
      <alignment horizontal="left" vertical="center" indent="1"/>
    </xf>
    <xf numFmtId="0" fontId="6" fillId="43" borderId="175" applyNumberFormat="0" applyProtection="0">
      <alignment horizontal="left" vertical="top" indent="1"/>
    </xf>
    <xf numFmtId="0" fontId="6" fillId="43" borderId="175" applyNumberFormat="0" applyProtection="0">
      <alignment horizontal="left" vertical="center" indent="1"/>
    </xf>
    <xf numFmtId="0" fontId="6" fillId="47" borderId="175" applyNumberFormat="0" applyProtection="0">
      <alignment horizontal="left" vertical="top" indent="1"/>
    </xf>
    <xf numFmtId="0" fontId="6" fillId="47" borderId="175" applyNumberFormat="0" applyProtection="0">
      <alignment horizontal="left" vertical="center" indent="1"/>
    </xf>
    <xf numFmtId="4" fontId="30" fillId="9" borderId="175" applyNumberFormat="0" applyProtection="0">
      <alignment horizontal="right" vertical="center"/>
    </xf>
    <xf numFmtId="4" fontId="30" fillId="44" borderId="175" applyNumberFormat="0" applyProtection="0">
      <alignment horizontal="right" vertical="center"/>
    </xf>
    <xf numFmtId="4" fontId="30" fillId="18" borderId="175" applyNumberFormat="0" applyProtection="0">
      <alignment horizontal="right" vertical="center"/>
    </xf>
    <xf numFmtId="4" fontId="30" fillId="19" borderId="175" applyNumberFormat="0" applyProtection="0">
      <alignment horizontal="right" vertical="center"/>
    </xf>
    <xf numFmtId="4" fontId="30" fillId="15" borderId="175" applyNumberFormat="0" applyProtection="0">
      <alignment horizontal="right" vertical="center"/>
    </xf>
    <xf numFmtId="4" fontId="30" fillId="17" borderId="175" applyNumberFormat="0" applyProtection="0">
      <alignment horizontal="right" vertical="center"/>
    </xf>
    <xf numFmtId="4" fontId="30" fillId="8" borderId="175" applyNumberFormat="0" applyProtection="0">
      <alignment horizontal="right" vertical="center"/>
    </xf>
    <xf numFmtId="4" fontId="30" fillId="3" borderId="175" applyNumberFormat="0" applyProtection="0">
      <alignment horizontal="right" vertical="center"/>
    </xf>
    <xf numFmtId="0" fontId="32" fillId="42" borderId="175" applyNumberFormat="0" applyProtection="0">
      <alignment horizontal="left" vertical="top" indent="1"/>
    </xf>
    <xf numFmtId="4" fontId="32" fillId="42" borderId="175" applyNumberFormat="0" applyProtection="0">
      <alignment horizontal="left" vertical="center" indent="1"/>
    </xf>
    <xf numFmtId="4" fontId="102" fillId="42" borderId="175" applyNumberFormat="0" applyProtection="0">
      <alignment vertical="center"/>
    </xf>
    <xf numFmtId="4" fontId="32" fillId="23" borderId="175" applyNumberFormat="0" applyProtection="0">
      <alignment vertical="center"/>
    </xf>
    <xf numFmtId="0" fontId="30" fillId="43" borderId="175" applyNumberFormat="0" applyProtection="0">
      <alignment horizontal="left" vertical="top" indent="1"/>
    </xf>
    <xf numFmtId="4" fontId="106" fillId="46" borderId="175" applyNumberFormat="0" applyProtection="0">
      <alignment horizontal="right" vertical="center"/>
    </xf>
    <xf numFmtId="4" fontId="32" fillId="23" borderId="175" applyNumberFormat="0" applyProtection="0">
      <alignment vertical="center"/>
    </xf>
    <xf numFmtId="4" fontId="102" fillId="42" borderId="175" applyNumberFormat="0" applyProtection="0">
      <alignment vertical="center"/>
    </xf>
    <xf numFmtId="4" fontId="32" fillId="42" borderId="175" applyNumberFormat="0" applyProtection="0">
      <alignment horizontal="left" vertical="center" indent="1"/>
    </xf>
    <xf numFmtId="0" fontId="32" fillId="42" borderId="175" applyNumberFormat="0" applyProtection="0">
      <alignment horizontal="left" vertical="top" indent="1"/>
    </xf>
    <xf numFmtId="4" fontId="30" fillId="3" borderId="175" applyNumberFormat="0" applyProtection="0">
      <alignment horizontal="right" vertical="center"/>
    </xf>
    <xf numFmtId="4" fontId="30" fillId="8" borderId="175" applyNumberFormat="0" applyProtection="0">
      <alignment horizontal="right" vertical="center"/>
    </xf>
    <xf numFmtId="4" fontId="30" fillId="17" borderId="175" applyNumberFormat="0" applyProtection="0">
      <alignment horizontal="right" vertical="center"/>
    </xf>
    <xf numFmtId="4" fontId="30" fillId="11" borderId="175" applyNumberFormat="0" applyProtection="0">
      <alignment horizontal="right" vertical="center"/>
    </xf>
    <xf numFmtId="4" fontId="30" fillId="15" borderId="175" applyNumberFormat="0" applyProtection="0">
      <alignment horizontal="right" vertical="center"/>
    </xf>
    <xf numFmtId="4" fontId="30" fillId="19" borderId="175" applyNumberFormat="0" applyProtection="0">
      <alignment horizontal="right" vertical="center"/>
    </xf>
    <xf numFmtId="4" fontId="30" fillId="18" borderId="175" applyNumberFormat="0" applyProtection="0">
      <alignment horizontal="right" vertical="center"/>
    </xf>
    <xf numFmtId="4" fontId="30" fillId="44" borderId="175" applyNumberFormat="0" applyProtection="0">
      <alignment horizontal="right" vertical="center"/>
    </xf>
    <xf numFmtId="4" fontId="30" fillId="9" borderId="175" applyNumberFormat="0" applyProtection="0">
      <alignment horizontal="right" vertical="center"/>
    </xf>
    <xf numFmtId="4" fontId="30" fillId="48" borderId="175" applyNumberFormat="0" applyProtection="0">
      <alignment horizontal="right" vertical="center"/>
    </xf>
    <xf numFmtId="0" fontId="6" fillId="47" borderId="175" applyNumberFormat="0" applyProtection="0">
      <alignment horizontal="left" vertical="center" indent="1"/>
    </xf>
    <xf numFmtId="0" fontId="6" fillId="47" borderId="175" applyNumberFormat="0" applyProtection="0">
      <alignment horizontal="left" vertical="top" indent="1"/>
    </xf>
    <xf numFmtId="0" fontId="6" fillId="43" borderId="175" applyNumberFormat="0" applyProtection="0">
      <alignment horizontal="left" vertical="center" indent="1"/>
    </xf>
    <xf numFmtId="0" fontId="6" fillId="43" borderId="175" applyNumberFormat="0" applyProtection="0">
      <alignment horizontal="left" vertical="top" indent="1"/>
    </xf>
    <xf numFmtId="0" fontId="6" fillId="39" borderId="175" applyNumberFormat="0" applyProtection="0">
      <alignment horizontal="left" vertical="center" indent="1"/>
    </xf>
    <xf numFmtId="0" fontId="6" fillId="39" borderId="175" applyNumberFormat="0" applyProtection="0">
      <alignment horizontal="left" vertical="top" indent="1"/>
    </xf>
    <xf numFmtId="0" fontId="6" fillId="49" borderId="175" applyNumberFormat="0" applyProtection="0">
      <alignment horizontal="left" vertical="center" indent="1"/>
    </xf>
    <xf numFmtId="0" fontId="6" fillId="49" borderId="175" applyNumberFormat="0" applyProtection="0">
      <alignment horizontal="left" vertical="top" indent="1"/>
    </xf>
    <xf numFmtId="4" fontId="30" fillId="22" borderId="175" applyNumberFormat="0" applyProtection="0">
      <alignment vertical="center"/>
    </xf>
    <xf numFmtId="4" fontId="104" fillId="22" borderId="175" applyNumberFormat="0" applyProtection="0">
      <alignment vertical="center"/>
    </xf>
    <xf numFmtId="4" fontId="30" fillId="22" borderId="175" applyNumberFormat="0" applyProtection="0">
      <alignment horizontal="left" vertical="center" indent="1"/>
    </xf>
    <xf numFmtId="0" fontId="30" fillId="22" borderId="175" applyNumberFormat="0" applyProtection="0">
      <alignment horizontal="left" vertical="top" indent="1"/>
    </xf>
    <xf numFmtId="4" fontId="30" fillId="46" borderId="175" applyNumberFormat="0" applyProtection="0">
      <alignment horizontal="right" vertical="center"/>
    </xf>
    <xf numFmtId="4" fontId="104" fillId="46" borderId="175" applyNumberFormat="0" applyProtection="0">
      <alignment horizontal="right" vertical="center"/>
    </xf>
    <xf numFmtId="4" fontId="30" fillId="48" borderId="175" applyNumberFormat="0" applyProtection="0">
      <alignment horizontal="left" vertical="center" indent="1"/>
    </xf>
    <xf numFmtId="0" fontId="30" fillId="43" borderId="175" applyNumberFormat="0" applyProtection="0">
      <alignment horizontal="left" vertical="top" indent="1"/>
    </xf>
    <xf numFmtId="4" fontId="106" fillId="46" borderId="175" applyNumberFormat="0" applyProtection="0">
      <alignment horizontal="right" vertical="center"/>
    </xf>
    <xf numFmtId="4" fontId="30" fillId="48" borderId="175" applyNumberFormat="0" applyProtection="0">
      <alignment horizontal="left" vertical="center" indent="1"/>
    </xf>
    <xf numFmtId="4" fontId="30" fillId="48" borderId="175" applyNumberFormat="0" applyProtection="0">
      <alignment horizontal="left" vertical="center" indent="1"/>
    </xf>
    <xf numFmtId="44" fontId="6" fillId="0" borderId="0" applyFont="0" applyFill="0" applyBorder="0" applyAlignment="0" applyProtection="0"/>
    <xf numFmtId="0" fontId="32" fillId="42" borderId="183" applyNumberFormat="0" applyProtection="0">
      <alignment horizontal="left" vertical="top" indent="1"/>
    </xf>
    <xf numFmtId="4" fontId="30" fillId="48"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5"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0" fontId="134" fillId="84" borderId="185" applyNumberFormat="0" applyAlignment="0" applyProtection="0"/>
    <xf numFmtId="0" fontId="134" fillId="84" borderId="185" applyNumberFormat="0" applyAlignment="0" applyProtection="0"/>
    <xf numFmtId="0" fontId="140" fillId="23" borderId="185" applyNumberFormat="0" applyAlignment="0" applyProtection="0"/>
    <xf numFmtId="0" fontId="140" fillId="23" borderId="185" applyNumberFormat="0" applyAlignment="0" applyProtection="0"/>
    <xf numFmtId="4" fontId="30" fillId="48" borderId="183" applyNumberFormat="0" applyProtection="0">
      <alignment horizontal="left" vertical="center" indent="1"/>
    </xf>
    <xf numFmtId="4" fontId="30" fillId="48" borderId="183" applyNumberFormat="0" applyProtection="0">
      <alignment horizontal="left" vertical="center" indent="1"/>
    </xf>
    <xf numFmtId="0" fontId="6" fillId="24" borderId="184" applyNumberFormat="0" applyFont="0" applyAlignment="0" applyProtection="0"/>
    <xf numFmtId="0" fontId="6" fillId="24" borderId="184" applyNumberFormat="0" applyFont="0" applyAlignment="0" applyProtection="0"/>
    <xf numFmtId="0" fontId="145" fillId="84" borderId="186" applyNumberFormat="0" applyAlignment="0" applyProtection="0"/>
    <xf numFmtId="0" fontId="145" fillId="84" borderId="186" applyNumberFormat="0" applyAlignment="0" applyProtection="0"/>
    <xf numFmtId="4" fontId="30" fillId="11" borderId="183" applyNumberFormat="0" applyProtection="0">
      <alignment horizontal="right" vertical="center"/>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4" fontId="43" fillId="14" borderId="187" applyNumberFormat="0" applyProtection="0">
      <alignment horizontal="left" vertical="center" indent="1"/>
    </xf>
    <xf numFmtId="0" fontId="6" fillId="85" borderId="186" applyNumberFormat="0" applyProtection="0">
      <alignment horizontal="left" vertical="center" indent="1"/>
    </xf>
    <xf numFmtId="0" fontId="20" fillId="0" borderId="188" applyNumberFormat="0" applyFill="0" applyAlignment="0" applyProtection="0"/>
    <xf numFmtId="0" fontId="20" fillId="0" borderId="188" applyNumberFormat="0" applyFill="0" applyAlignment="0" applyProtection="0"/>
    <xf numFmtId="0" fontId="12" fillId="20" borderId="185" applyNumberFormat="0" applyAlignment="0" applyProtection="0"/>
    <xf numFmtId="0" fontId="156" fillId="106" borderId="187" applyNumberFormat="0" applyAlignment="0" applyProtection="0"/>
    <xf numFmtId="0" fontId="156" fillId="106" borderId="187" applyNumberFormat="0" applyAlignment="0" applyProtection="0"/>
    <xf numFmtId="0" fontId="12" fillId="20" borderId="185" applyNumberFormat="0" applyAlignment="0" applyProtection="0"/>
    <xf numFmtId="0" fontId="12" fillId="20" borderId="185" applyNumberFormat="0" applyAlignment="0" applyProtection="0"/>
    <xf numFmtId="0" fontId="156" fillId="106" borderId="187" applyNumberFormat="0" applyAlignment="0" applyProtection="0"/>
    <xf numFmtId="0" fontId="12" fillId="20" borderId="185" applyNumberFormat="0" applyAlignment="0" applyProtection="0"/>
    <xf numFmtId="0" fontId="12" fillId="20" borderId="185" applyNumberFormat="0" applyAlignment="0" applyProtection="0"/>
    <xf numFmtId="0" fontId="156" fillId="106" borderId="187" applyNumberFormat="0" applyAlignment="0" applyProtection="0"/>
    <xf numFmtId="0" fontId="156" fillId="106" borderId="187" applyNumberFormat="0" applyAlignment="0" applyProtection="0"/>
    <xf numFmtId="0" fontId="140" fillId="7" borderId="185" applyNumberFormat="0" applyAlignment="0" applyProtection="0"/>
    <xf numFmtId="0" fontId="164" fillId="103" borderId="187" applyNumberFormat="0" applyAlignment="0" applyProtection="0"/>
    <xf numFmtId="0" fontId="164" fillId="103" borderId="187" applyNumberFormat="0" applyAlignment="0" applyProtection="0"/>
    <xf numFmtId="0" fontId="140" fillId="7" borderId="185" applyNumberFormat="0" applyAlignment="0" applyProtection="0"/>
    <xf numFmtId="0" fontId="140" fillId="7" borderId="185" applyNumberFormat="0" applyAlignment="0" applyProtection="0"/>
    <xf numFmtId="0" fontId="140" fillId="7" borderId="185" applyNumberFormat="0" applyAlignment="0" applyProtection="0"/>
    <xf numFmtId="0" fontId="164" fillId="103" borderId="187" applyNumberFormat="0" applyAlignment="0" applyProtection="0"/>
    <xf numFmtId="0" fontId="140" fillId="7" borderId="185" applyNumberFormat="0" applyAlignment="0" applyProtection="0"/>
    <xf numFmtId="0" fontId="164" fillId="103" borderId="187" applyNumberFormat="0" applyAlignment="0" applyProtection="0"/>
    <xf numFmtId="0" fontId="164" fillId="103" borderId="187" applyNumberFormat="0" applyAlignment="0" applyProtection="0"/>
    <xf numFmtId="0" fontId="140" fillId="7" borderId="185" applyNumberFormat="0" applyAlignment="0" applyProtection="0"/>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48" borderId="183" applyNumberFormat="0" applyProtection="0">
      <alignment horizontal="left" vertical="center" indent="1"/>
    </xf>
    <xf numFmtId="0" fontId="9" fillId="24" borderId="184"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7" fillId="24" borderId="184" applyNumberFormat="0" applyFont="0" applyAlignment="0" applyProtection="0"/>
    <xf numFmtId="0" fontId="9" fillId="24" borderId="184" applyNumberFormat="0" applyFont="0" applyAlignment="0" applyProtection="0"/>
    <xf numFmtId="4" fontId="106" fillId="46" borderId="183" applyNumberFormat="0" applyProtection="0">
      <alignment horizontal="right" vertical="center"/>
    </xf>
    <xf numFmtId="0" fontId="30" fillId="43" borderId="183" applyNumberFormat="0" applyProtection="0">
      <alignment horizontal="left" vertical="top" indent="1"/>
    </xf>
    <xf numFmtId="0" fontId="9" fillId="24" borderId="184" applyNumberFormat="0" applyFont="0" applyAlignment="0" applyProtection="0"/>
    <xf numFmtId="0" fontId="43" fillId="102" borderId="187" applyNumberFormat="0" applyFont="0" applyAlignment="0" applyProtection="0"/>
    <xf numFmtId="0" fontId="9" fillId="24" borderId="184" applyNumberFormat="0" applyFont="0" applyAlignment="0" applyProtection="0"/>
    <xf numFmtId="0" fontId="43" fillId="102" borderId="187" applyNumberFormat="0" applyFont="0" applyAlignment="0" applyProtection="0"/>
    <xf numFmtId="0" fontId="7" fillId="24" borderId="184"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4" fontId="30" fillId="48" borderId="183" applyNumberFormat="0" applyProtection="0">
      <alignment horizontal="left" vertical="center" indent="1"/>
    </xf>
    <xf numFmtId="4" fontId="104" fillId="46" borderId="183" applyNumberFormat="0" applyProtection="0">
      <alignment horizontal="right" vertical="center"/>
    </xf>
    <xf numFmtId="4" fontId="30" fillId="46" borderId="183" applyNumberFormat="0" applyProtection="0">
      <alignment horizontal="right" vertical="center"/>
    </xf>
    <xf numFmtId="0" fontId="43" fillId="102" borderId="187" applyNumberFormat="0" applyFont="0" applyAlignment="0" applyProtection="0"/>
    <xf numFmtId="0" fontId="30" fillId="22" borderId="183" applyNumberFormat="0" applyProtection="0">
      <alignment horizontal="left" vertical="top" indent="1"/>
    </xf>
    <xf numFmtId="4" fontId="30" fillId="22" borderId="183" applyNumberFormat="0" applyProtection="0">
      <alignment horizontal="left" vertical="center" indent="1"/>
    </xf>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7" borderId="183" applyNumberFormat="0" applyProtection="0">
      <alignment horizontal="left" vertical="top" indent="1"/>
    </xf>
    <xf numFmtId="0" fontId="6" fillId="39" borderId="183" applyNumberFormat="0" applyProtection="0">
      <alignment horizontal="left" vertical="center"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43" fillId="102" borderId="187" applyNumberFormat="0" applyFont="0" applyAlignment="0" applyProtection="0"/>
    <xf numFmtId="0" fontId="43" fillId="102" borderId="187" applyNumberFormat="0" applyFont="0" applyAlignment="0" applyProtection="0"/>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center" indent="1"/>
    </xf>
    <xf numFmtId="0" fontId="6" fillId="24" borderId="184" applyNumberFormat="0" applyFont="0" applyAlignment="0" applyProtection="0"/>
    <xf numFmtId="0" fontId="6" fillId="24" borderId="184" applyNumberFormat="0" applyFont="0" applyAlignment="0" applyProtection="0"/>
    <xf numFmtId="0" fontId="7" fillId="24" borderId="184" applyNumberFormat="0" applyFont="0" applyAlignment="0" applyProtection="0"/>
    <xf numFmtId="0" fontId="145" fillId="20" borderId="186" applyNumberFormat="0" applyAlignment="0" applyProtection="0"/>
    <xf numFmtId="0" fontId="145" fillId="106" borderId="186" applyNumberFormat="0" applyAlignment="0" applyProtection="0"/>
    <xf numFmtId="0" fontId="145" fillId="106" borderId="186" applyNumberFormat="0" applyAlignment="0" applyProtection="0"/>
    <xf numFmtId="0" fontId="145" fillId="20" borderId="186" applyNumberFormat="0" applyAlignment="0" applyProtection="0"/>
    <xf numFmtId="0" fontId="145" fillId="20" borderId="186" applyNumberFormat="0" applyAlignment="0" applyProtection="0"/>
    <xf numFmtId="0" fontId="145" fillId="106" borderId="186" applyNumberFormat="0" applyAlignment="0" applyProtection="0"/>
    <xf numFmtId="0" fontId="145" fillId="20" borderId="186" applyNumberFormat="0" applyAlignment="0" applyProtection="0"/>
    <xf numFmtId="4" fontId="30" fillId="48" borderId="183" applyNumberFormat="0" applyProtection="0">
      <alignment horizontal="right" vertical="center"/>
    </xf>
    <xf numFmtId="0" fontId="145" fillId="20" borderId="186" applyNumberFormat="0" applyAlignment="0" applyProtection="0"/>
    <xf numFmtId="0" fontId="145" fillId="106" borderId="186" applyNumberFormat="0" applyAlignment="0" applyProtection="0"/>
    <xf numFmtId="0" fontId="26" fillId="28" borderId="186" applyNumberFormat="0" applyAlignment="0" applyProtection="0"/>
    <xf numFmtId="0" fontId="145" fillId="106" borderId="186" applyNumberFormat="0" applyAlignment="0" applyProtection="0"/>
    <xf numFmtId="0" fontId="145" fillId="20" borderId="186" applyNumberFormat="0" applyAlignment="0" applyProtection="0"/>
    <xf numFmtId="0" fontId="26" fillId="28" borderId="186" applyNumberFormat="0" applyAlignment="0" applyProtection="0"/>
    <xf numFmtId="4" fontId="30" fillId="19" borderId="183" applyNumberFormat="0" applyProtection="0">
      <alignment horizontal="right" vertical="center"/>
    </xf>
    <xf numFmtId="4" fontId="30" fillId="18" borderId="183" applyNumberFormat="0" applyProtection="0">
      <alignment horizontal="right" vertical="center"/>
    </xf>
    <xf numFmtId="4" fontId="30" fillId="17" borderId="183" applyNumberFormat="0" applyProtection="0">
      <alignment horizontal="right" vertical="center"/>
    </xf>
    <xf numFmtId="4" fontId="43" fillId="23" borderId="187" applyNumberFormat="0" applyProtection="0">
      <alignment vertical="center"/>
    </xf>
    <xf numFmtId="4" fontId="43" fillId="23" borderId="187" applyNumberFormat="0" applyProtection="0">
      <alignment vertical="center"/>
    </xf>
    <xf numFmtId="4" fontId="43" fillId="23" borderId="187" applyNumberFormat="0" applyProtection="0">
      <alignment vertical="center"/>
    </xf>
    <xf numFmtId="4" fontId="43" fillId="23" borderId="187" applyNumberFormat="0" applyProtection="0">
      <alignment vertical="center"/>
    </xf>
    <xf numFmtId="4" fontId="172" fillId="42" borderId="187" applyNumberFormat="0" applyProtection="0">
      <alignment vertical="center"/>
    </xf>
    <xf numFmtId="4" fontId="172" fillId="42" borderId="187" applyNumberFormat="0" applyProtection="0">
      <alignment vertical="center"/>
    </xf>
    <xf numFmtId="4" fontId="43" fillId="42" borderId="187" applyNumberFormat="0" applyProtection="0">
      <alignment horizontal="left" vertical="center" indent="1"/>
    </xf>
    <xf numFmtId="4" fontId="43" fillId="42" borderId="187" applyNumberFormat="0" applyProtection="0">
      <alignment horizontal="left" vertical="center" indent="1"/>
    </xf>
    <xf numFmtId="4" fontId="43" fillId="42" borderId="187" applyNumberFormat="0" applyProtection="0">
      <alignment horizontal="left" vertical="center" indent="1"/>
    </xf>
    <xf numFmtId="4" fontId="43" fillId="42" borderId="187" applyNumberFormat="0" applyProtection="0">
      <alignment horizontal="left" vertical="center" indent="1"/>
    </xf>
    <xf numFmtId="0" fontId="173" fillId="23" borderId="183" applyNumberFormat="0" applyProtection="0">
      <alignment horizontal="left" vertical="top" indent="1"/>
    </xf>
    <xf numFmtId="0" fontId="173" fillId="23" borderId="183" applyNumberFormat="0" applyProtection="0">
      <alignment horizontal="left" vertical="top"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3" borderId="187" applyNumberFormat="0" applyProtection="0">
      <alignment horizontal="right" vertical="center"/>
    </xf>
    <xf numFmtId="4" fontId="43" fillId="3" borderId="187" applyNumberFormat="0" applyProtection="0">
      <alignment horizontal="right" vertical="center"/>
    </xf>
    <xf numFmtId="4" fontId="43" fillId="111" borderId="187" applyNumberFormat="0" applyProtection="0">
      <alignment horizontal="right" vertical="center"/>
    </xf>
    <xf numFmtId="4" fontId="43" fillId="111" borderId="187" applyNumberFormat="0" applyProtection="0">
      <alignment horizontal="right" vertical="center"/>
    </xf>
    <xf numFmtId="4" fontId="43" fillId="17" borderId="189" applyNumberFormat="0" applyProtection="0">
      <alignment horizontal="right" vertical="center"/>
    </xf>
    <xf numFmtId="4" fontId="43" fillId="17" borderId="189" applyNumberFormat="0" applyProtection="0">
      <alignment horizontal="right" vertical="center"/>
    </xf>
    <xf numFmtId="4" fontId="43" fillId="11" borderId="187" applyNumberFormat="0" applyProtection="0">
      <alignment horizontal="right" vertical="center"/>
    </xf>
    <xf numFmtId="4" fontId="43" fillId="11" borderId="187" applyNumberFormat="0" applyProtection="0">
      <alignment horizontal="right" vertical="center"/>
    </xf>
    <xf numFmtId="4" fontId="43" fillId="15" borderId="187" applyNumberFormat="0" applyProtection="0">
      <alignment horizontal="right" vertical="center"/>
    </xf>
    <xf numFmtId="4" fontId="43" fillId="15" borderId="187" applyNumberFormat="0" applyProtection="0">
      <alignment horizontal="right" vertical="center"/>
    </xf>
    <xf numFmtId="4" fontId="43" fillId="19" borderId="187" applyNumberFormat="0" applyProtection="0">
      <alignment horizontal="right" vertical="center"/>
    </xf>
    <xf numFmtId="4" fontId="43" fillId="19" borderId="187" applyNumberFormat="0" applyProtection="0">
      <alignment horizontal="right" vertical="center"/>
    </xf>
    <xf numFmtId="4" fontId="43" fillId="18" borderId="187" applyNumberFormat="0" applyProtection="0">
      <alignment horizontal="right" vertical="center"/>
    </xf>
    <xf numFmtId="4" fontId="43" fillId="18" borderId="187" applyNumberFormat="0" applyProtection="0">
      <alignment horizontal="right" vertical="center"/>
    </xf>
    <xf numFmtId="4" fontId="43" fillId="44" borderId="187" applyNumberFormat="0" applyProtection="0">
      <alignment horizontal="right" vertical="center"/>
    </xf>
    <xf numFmtId="4" fontId="43" fillId="44" borderId="187" applyNumberFormat="0" applyProtection="0">
      <alignment horizontal="right" vertical="center"/>
    </xf>
    <xf numFmtId="4" fontId="43" fillId="9" borderId="187" applyNumberFormat="0" applyProtection="0">
      <alignment horizontal="right" vertical="center"/>
    </xf>
    <xf numFmtId="4" fontId="43" fillId="9" borderId="187" applyNumberFormat="0" applyProtection="0">
      <alignment horizontal="right" vertical="center"/>
    </xf>
    <xf numFmtId="4" fontId="43" fillId="45" borderId="189" applyNumberFormat="0" applyProtection="0">
      <alignment horizontal="left" vertical="center" indent="1"/>
    </xf>
    <xf numFmtId="4" fontId="43" fillId="45"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43" fillId="48" borderId="187" applyNumberFormat="0" applyProtection="0">
      <alignment horizontal="right" vertical="center"/>
    </xf>
    <xf numFmtId="4" fontId="43" fillId="48" borderId="187" applyNumberFormat="0" applyProtection="0">
      <alignment horizontal="right" vertical="center"/>
    </xf>
    <xf numFmtId="4" fontId="43" fillId="46" borderId="189" applyNumberFormat="0" applyProtection="0">
      <alignment horizontal="left" vertical="center" indent="1"/>
    </xf>
    <xf numFmtId="4" fontId="43" fillId="46" borderId="189" applyNumberFormat="0" applyProtection="0">
      <alignment horizontal="left" vertical="center" indent="1"/>
    </xf>
    <xf numFmtId="4" fontId="43" fillId="48" borderId="189" applyNumberFormat="0" applyProtection="0">
      <alignment horizontal="left" vertical="center" indent="1"/>
    </xf>
    <xf numFmtId="4" fontId="43" fillId="48" borderId="189" applyNumberFormat="0" applyProtection="0">
      <alignment horizontal="left" vertical="center" indent="1"/>
    </xf>
    <xf numFmtId="0" fontId="43" fillId="20" borderId="187" applyNumberFormat="0" applyProtection="0">
      <alignment horizontal="left" vertical="center" indent="1"/>
    </xf>
    <xf numFmtId="0" fontId="43" fillId="20" borderId="187" applyNumberFormat="0" applyProtection="0">
      <alignment horizontal="left" vertical="center"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112" borderId="187" applyNumberFormat="0" applyProtection="0">
      <alignment horizontal="left" vertical="center" indent="1"/>
    </xf>
    <xf numFmtId="0" fontId="43" fillId="112" borderId="187" applyNumberFormat="0" applyProtection="0">
      <alignment horizontal="left" vertical="center"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10" borderId="187" applyNumberFormat="0" applyProtection="0">
      <alignment horizontal="left" vertical="center" indent="1"/>
    </xf>
    <xf numFmtId="0" fontId="43" fillId="10" borderId="187" applyNumberFormat="0" applyProtection="0">
      <alignment horizontal="left" vertical="center"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46" borderId="187" applyNumberFormat="0" applyProtection="0">
      <alignment horizontal="left" vertical="center" indent="1"/>
    </xf>
    <xf numFmtId="0" fontId="43" fillId="46" borderId="187" applyNumberFormat="0" applyProtection="0">
      <alignment horizontal="left" vertical="center"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2" fillId="83" borderId="190" applyBorder="0"/>
    <xf numFmtId="0" fontId="42" fillId="83" borderId="190" applyBorder="0"/>
    <xf numFmtId="4" fontId="62" fillId="24" borderId="183" applyNumberFormat="0" applyProtection="0">
      <alignment vertical="center"/>
    </xf>
    <xf numFmtId="4" fontId="62" fillId="24" borderId="183" applyNumberFormat="0" applyProtection="0">
      <alignment vertical="center"/>
    </xf>
    <xf numFmtId="4" fontId="62" fillId="20" borderId="183" applyNumberFormat="0" applyProtection="0">
      <alignment horizontal="left" vertical="center" indent="1"/>
    </xf>
    <xf numFmtId="4" fontId="62" fillId="20" borderId="183" applyNumberFormat="0" applyProtection="0">
      <alignment horizontal="left" vertical="center" indent="1"/>
    </xf>
    <xf numFmtId="0" fontId="62" fillId="24" borderId="183" applyNumberFormat="0" applyProtection="0">
      <alignment horizontal="left" vertical="top" indent="1"/>
    </xf>
    <xf numFmtId="0" fontId="62" fillId="24" borderId="183" applyNumberFormat="0" applyProtection="0">
      <alignment horizontal="left" vertical="top" indent="1"/>
    </xf>
    <xf numFmtId="4" fontId="43" fillId="0" borderId="187" applyNumberFormat="0" applyProtection="0">
      <alignment horizontal="right" vertical="center"/>
    </xf>
    <xf numFmtId="4" fontId="43" fillId="0" borderId="187" applyNumberFormat="0" applyProtection="0">
      <alignment horizontal="right" vertical="center"/>
    </xf>
    <xf numFmtId="4" fontId="43" fillId="0" borderId="187" applyNumberFormat="0" applyProtection="0">
      <alignment horizontal="right" vertical="center"/>
    </xf>
    <xf numFmtId="4" fontId="43" fillId="0" borderId="187" applyNumberFormat="0" applyProtection="0">
      <alignment horizontal="right" vertical="center"/>
    </xf>
    <xf numFmtId="4" fontId="172" fillId="52" borderId="187" applyNumberFormat="0" applyProtection="0">
      <alignment horizontal="right" vertical="center"/>
    </xf>
    <xf numFmtId="4" fontId="172" fillId="52" borderId="187" applyNumberFormat="0" applyProtection="0">
      <alignment horizontal="right" vertical="center"/>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30" fillId="48" borderId="183" applyNumberFormat="0" applyProtection="0">
      <alignment horizontal="left" vertical="center" indent="1"/>
    </xf>
    <xf numFmtId="4" fontId="43" fillId="14" borderId="187" applyNumberFormat="0" applyProtection="0">
      <alignment horizontal="left" vertical="center" indent="1"/>
    </xf>
    <xf numFmtId="0" fontId="62" fillId="48" borderId="183" applyNumberFormat="0" applyProtection="0">
      <alignment horizontal="left" vertical="top" indent="1"/>
    </xf>
    <xf numFmtId="0" fontId="62" fillId="48" borderId="183" applyNumberFormat="0" applyProtection="0">
      <alignment horizontal="left" vertical="top" indent="1"/>
    </xf>
    <xf numFmtId="4" fontId="174" fillId="50" borderId="189" applyNumberFormat="0" applyProtection="0">
      <alignment horizontal="left" vertical="center" indent="1"/>
    </xf>
    <xf numFmtId="4" fontId="174" fillId="50" borderId="189" applyNumberFormat="0" applyProtection="0">
      <alignment horizontal="left" vertical="center" indent="1"/>
    </xf>
    <xf numFmtId="4" fontId="175" fillId="84" borderId="187" applyNumberFormat="0" applyProtection="0">
      <alignment horizontal="right" vertical="center"/>
    </xf>
    <xf numFmtId="4" fontId="175" fillId="84" borderId="187" applyNumberFormat="0" applyProtection="0">
      <alignment horizontal="right" vertical="center"/>
    </xf>
    <xf numFmtId="0" fontId="20" fillId="0" borderId="191" applyNumberFormat="0" applyFill="0" applyAlignment="0" applyProtection="0"/>
    <xf numFmtId="0" fontId="20" fillId="0" borderId="192" applyNumberFormat="0" applyFill="0" applyAlignment="0" applyProtection="0"/>
    <xf numFmtId="0" fontId="20" fillId="0" borderId="192" applyNumberFormat="0" applyFill="0" applyAlignment="0" applyProtection="0"/>
    <xf numFmtId="0" fontId="20" fillId="0" borderId="191" applyNumberFormat="0" applyFill="0" applyAlignment="0" applyProtection="0"/>
    <xf numFmtId="0" fontId="20" fillId="0" borderId="191" applyNumberFormat="0" applyFill="0" applyAlignment="0" applyProtection="0"/>
    <xf numFmtId="0" fontId="20" fillId="0" borderId="192" applyNumberFormat="0" applyFill="0" applyAlignment="0" applyProtection="0"/>
    <xf numFmtId="0" fontId="20" fillId="0" borderId="191" applyNumberFormat="0" applyFill="0" applyAlignment="0" applyProtection="0"/>
    <xf numFmtId="0" fontId="20" fillId="0" borderId="191" applyNumberFormat="0" applyFill="0" applyAlignment="0" applyProtection="0"/>
    <xf numFmtId="0" fontId="20" fillId="0" borderId="192" applyNumberFormat="0" applyFill="0" applyAlignment="0" applyProtection="0"/>
    <xf numFmtId="0" fontId="20" fillId="0" borderId="192" applyNumberFormat="0" applyFill="0" applyAlignment="0" applyProtection="0"/>
    <xf numFmtId="0" fontId="134" fillId="84" borderId="185" applyNumberFormat="0" applyAlignment="0" applyProtection="0"/>
    <xf numFmtId="0" fontId="134" fillId="84" borderId="185" applyNumberFormat="0" applyAlignment="0" applyProtection="0"/>
    <xf numFmtId="0" fontId="140" fillId="23" borderId="185" applyNumberFormat="0" applyAlignment="0" applyProtection="0"/>
    <xf numFmtId="0" fontId="140" fillId="23" borderId="185" applyNumberFormat="0" applyAlignment="0" applyProtection="0"/>
    <xf numFmtId="0" fontId="6" fillId="24" borderId="184" applyNumberFormat="0" applyFont="0" applyAlignment="0" applyProtection="0"/>
    <xf numFmtId="0" fontId="6" fillId="24" borderId="184" applyNumberFormat="0" applyFont="0" applyAlignment="0" applyProtection="0"/>
    <xf numFmtId="0" fontId="145" fillId="84" borderId="186" applyNumberFormat="0" applyAlignment="0" applyProtection="0"/>
    <xf numFmtId="0" fontId="145" fillId="84" borderId="186" applyNumberFormat="0" applyAlignment="0" applyProtection="0"/>
    <xf numFmtId="0" fontId="6" fillId="85" borderId="186" applyNumberFormat="0" applyProtection="0">
      <alignment horizontal="left" vertical="center" indent="1"/>
    </xf>
    <xf numFmtId="0" fontId="20" fillId="0" borderId="188" applyNumberFormat="0" applyFill="0" applyAlignment="0" applyProtection="0"/>
    <xf numFmtId="0" fontId="20" fillId="0" borderId="188" applyNumberFormat="0" applyFill="0" applyAlignment="0" applyProtection="0"/>
    <xf numFmtId="0" fontId="140" fillId="23" borderId="185" applyNumberFormat="0" applyAlignment="0" applyProtection="0"/>
    <xf numFmtId="4" fontId="30" fillId="48" borderId="183" applyNumberFormat="0" applyProtection="0">
      <alignment horizontal="left" vertical="center" indent="1"/>
    </xf>
    <xf numFmtId="0" fontId="91" fillId="0" borderId="182">
      <alignment horizontal="lef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100" fillId="1" borderId="182" applyNumberFormat="0" applyFont="0" applyAlignment="0">
      <alignment horizontal="center"/>
    </xf>
    <xf numFmtId="0" fontId="24" fillId="2" borderId="193" applyFill="0">
      <alignment horizontal="left" vertical="top" wrapText="1"/>
    </xf>
    <xf numFmtId="10" fontId="43" fillId="22" borderId="193" applyNumberFormat="0" applyBorder="0" applyAlignment="0" applyProtection="0"/>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19" borderId="183" applyNumberFormat="0" applyProtection="0">
      <alignment horizontal="right" vertical="center"/>
    </xf>
    <xf numFmtId="4" fontId="30" fillId="8" borderId="183" applyNumberFormat="0" applyProtection="0">
      <alignment horizontal="right" vertical="center"/>
    </xf>
    <xf numFmtId="4" fontId="32" fillId="42" borderId="183" applyNumberFormat="0" applyProtection="0">
      <alignment horizontal="left" vertical="center" indent="1"/>
    </xf>
    <xf numFmtId="4" fontId="30" fillId="8" borderId="183" applyNumberFormat="0" applyProtection="0">
      <alignment horizontal="right" vertical="center"/>
    </xf>
    <xf numFmtId="4" fontId="30" fillId="15" borderId="183" applyNumberFormat="0" applyProtection="0">
      <alignment horizontal="right" vertical="center"/>
    </xf>
    <xf numFmtId="4" fontId="32" fillId="42" borderId="183" applyNumberFormat="0" applyProtection="0">
      <alignment horizontal="left" vertical="center" indent="1"/>
    </xf>
    <xf numFmtId="4" fontId="30" fillId="48" borderId="183" applyNumberFormat="0" applyProtection="0">
      <alignment horizontal="right" vertical="center"/>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5" borderId="183" applyNumberFormat="0" applyProtection="0">
      <alignment horizontal="right" vertical="center"/>
    </xf>
    <xf numFmtId="4" fontId="30" fillId="11" borderId="183" applyNumberFormat="0" applyProtection="0">
      <alignment horizontal="right" vertical="center"/>
    </xf>
    <xf numFmtId="4" fontId="30" fillId="17"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102" fillId="42" borderId="183" applyNumberFormat="0" applyProtection="0">
      <alignment vertical="center"/>
    </xf>
    <xf numFmtId="4" fontId="32" fillId="23" borderId="183" applyNumberFormat="0" applyProtection="0">
      <alignment vertical="center"/>
    </xf>
    <xf numFmtId="4" fontId="32" fillId="23" borderId="183" applyNumberFormat="0" applyProtection="0">
      <alignment vertical="center"/>
    </xf>
    <xf numFmtId="4" fontId="102" fillId="42" borderId="183" applyNumberFormat="0" applyProtection="0">
      <alignment vertical="center"/>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17"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11" borderId="183" applyNumberFormat="0" applyProtection="0">
      <alignment horizontal="right" vertical="center"/>
    </xf>
    <xf numFmtId="0" fontId="6" fillId="43"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91" fillId="0" borderId="182">
      <alignment horizontal="left" vertical="center"/>
    </xf>
    <xf numFmtId="0" fontId="100" fillId="1" borderId="182" applyNumberFormat="0" applyFont="0" applyAlignment="0">
      <alignment horizont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91" fillId="0" borderId="182">
      <alignment horizontal="left" vertical="center"/>
    </xf>
    <xf numFmtId="0" fontId="100" fillId="1" borderId="182" applyNumberFormat="0" applyFont="0" applyAlignment="0">
      <alignment horizont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91" fillId="0" borderId="182">
      <alignment horizontal="left" vertical="center"/>
    </xf>
    <xf numFmtId="0" fontId="100" fillId="1" borderId="182" applyNumberFormat="0" applyFont="0" applyAlignment="0">
      <alignment horizont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91" fillId="0" borderId="182">
      <alignment horizontal="left" vertical="center"/>
    </xf>
    <xf numFmtId="0" fontId="100" fillId="1" borderId="182" applyNumberFormat="0" applyFont="0" applyAlignment="0">
      <alignment horizont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48" borderId="183" applyNumberFormat="0" applyProtection="0">
      <alignment horizontal="left" vertical="center" indent="1"/>
    </xf>
    <xf numFmtId="4" fontId="30" fillId="48" borderId="183" applyNumberFormat="0" applyProtection="0">
      <alignment horizontal="left" vertical="center" indent="1"/>
    </xf>
    <xf numFmtId="4" fontId="30" fillId="8" borderId="183" applyNumberFormat="0" applyProtection="0">
      <alignment horizontal="right" vertical="center"/>
    </xf>
    <xf numFmtId="4" fontId="30" fillId="3" borderId="183" applyNumberFormat="0" applyProtection="0">
      <alignment horizontal="right" vertical="center"/>
    </xf>
    <xf numFmtId="4" fontId="30" fillId="48" borderId="183" applyNumberFormat="0" applyProtection="0">
      <alignment horizontal="left" vertical="center" indent="1"/>
    </xf>
    <xf numFmtId="4" fontId="30" fillId="48" borderId="183" applyNumberFormat="0" applyProtection="0">
      <alignment horizontal="left" vertical="center" indent="1"/>
    </xf>
    <xf numFmtId="0" fontId="134" fillId="84" borderId="185" applyNumberFormat="0" applyAlignment="0" applyProtection="0"/>
    <xf numFmtId="0" fontId="134" fillId="84" borderId="185" applyNumberFormat="0" applyAlignment="0" applyProtection="0"/>
    <xf numFmtId="0" fontId="140" fillId="23" borderId="185" applyNumberFormat="0" applyAlignment="0" applyProtection="0"/>
    <xf numFmtId="0" fontId="140" fillId="23" borderId="185" applyNumberFormat="0" applyAlignment="0" applyProtection="0"/>
    <xf numFmtId="0" fontId="6" fillId="24" borderId="184" applyNumberFormat="0" applyFont="0" applyAlignment="0" applyProtection="0"/>
    <xf numFmtId="0" fontId="6" fillId="24" borderId="184" applyNumberFormat="0" applyFont="0" applyAlignment="0" applyProtection="0"/>
    <xf numFmtId="0" fontId="145" fillId="84" borderId="186" applyNumberFormat="0" applyAlignment="0" applyProtection="0"/>
    <xf numFmtId="0" fontId="145" fillId="84" borderId="186" applyNumberFormat="0" applyAlignment="0" applyProtection="0"/>
    <xf numFmtId="4" fontId="43" fillId="14" borderId="187" applyNumberFormat="0" applyProtection="0">
      <alignment horizontal="left" vertical="center" indent="1"/>
    </xf>
    <xf numFmtId="0" fontId="6" fillId="85" borderId="186" applyNumberFormat="0" applyProtection="0">
      <alignment horizontal="left" vertical="center" indent="1"/>
    </xf>
    <xf numFmtId="0" fontId="20" fillId="0" borderId="188" applyNumberFormat="0" applyFill="0" applyAlignment="0" applyProtection="0"/>
    <xf numFmtId="0" fontId="20" fillId="0" borderId="188" applyNumberFormat="0" applyFill="0" applyAlignment="0" applyProtection="0"/>
    <xf numFmtId="0" fontId="12" fillId="20" borderId="185" applyNumberFormat="0" applyAlignment="0" applyProtection="0"/>
    <xf numFmtId="0" fontId="156" fillId="106" borderId="187" applyNumberFormat="0" applyAlignment="0" applyProtection="0"/>
    <xf numFmtId="0" fontId="156" fillId="106" borderId="187" applyNumberFormat="0" applyAlignment="0" applyProtection="0"/>
    <xf numFmtId="0" fontId="12" fillId="20" borderId="185" applyNumberFormat="0" applyAlignment="0" applyProtection="0"/>
    <xf numFmtId="0" fontId="12" fillId="20" borderId="185" applyNumberFormat="0" applyAlignment="0" applyProtection="0"/>
    <xf numFmtId="0" fontId="156" fillId="106" borderId="187" applyNumberFormat="0" applyAlignment="0" applyProtection="0"/>
    <xf numFmtId="0" fontId="12" fillId="20" borderId="185" applyNumberFormat="0" applyAlignment="0" applyProtection="0"/>
    <xf numFmtId="0" fontId="12" fillId="20" borderId="185" applyNumberFormat="0" applyAlignment="0" applyProtection="0"/>
    <xf numFmtId="0" fontId="156" fillId="106" borderId="187" applyNumberFormat="0" applyAlignment="0" applyProtection="0"/>
    <xf numFmtId="0" fontId="156" fillId="106" borderId="187" applyNumberFormat="0" applyAlignment="0" applyProtection="0"/>
    <xf numFmtId="0" fontId="140" fillId="7" borderId="185" applyNumberFormat="0" applyAlignment="0" applyProtection="0"/>
    <xf numFmtId="0" fontId="164" fillId="103" borderId="187" applyNumberFormat="0" applyAlignment="0" applyProtection="0"/>
    <xf numFmtId="0" fontId="164" fillId="103" borderId="187" applyNumberFormat="0" applyAlignment="0" applyProtection="0"/>
    <xf numFmtId="0" fontId="140" fillId="7" borderId="185" applyNumberFormat="0" applyAlignment="0" applyProtection="0"/>
    <xf numFmtId="0" fontId="140" fillId="7" borderId="185" applyNumberFormat="0" applyAlignment="0" applyProtection="0"/>
    <xf numFmtId="0" fontId="140" fillId="7" borderId="185" applyNumberFormat="0" applyAlignment="0" applyProtection="0"/>
    <xf numFmtId="0" fontId="164" fillId="103" borderId="187" applyNumberFormat="0" applyAlignment="0" applyProtection="0"/>
    <xf numFmtId="0" fontId="140" fillId="7" borderId="185" applyNumberFormat="0" applyAlignment="0" applyProtection="0"/>
    <xf numFmtId="0" fontId="164" fillId="103" borderId="187" applyNumberFormat="0" applyAlignment="0" applyProtection="0"/>
    <xf numFmtId="0" fontId="164" fillId="103" borderId="187" applyNumberFormat="0" applyAlignment="0" applyProtection="0"/>
    <xf numFmtId="0" fontId="140" fillId="7" borderId="185" applyNumberFormat="0" applyAlignment="0" applyProtection="0"/>
    <xf numFmtId="0" fontId="9" fillId="24" borderId="184"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7" fillId="24" borderId="184" applyNumberFormat="0" applyFont="0" applyAlignment="0" applyProtection="0"/>
    <xf numFmtId="0" fontId="9" fillId="24" borderId="184" applyNumberFormat="0" applyFont="0" applyAlignment="0" applyProtection="0"/>
    <xf numFmtId="0" fontId="9" fillId="24" borderId="184" applyNumberFormat="0" applyFont="0" applyAlignment="0" applyProtection="0"/>
    <xf numFmtId="0" fontId="43" fillId="102" borderId="187" applyNumberFormat="0" applyFont="0" applyAlignment="0" applyProtection="0"/>
    <xf numFmtId="0" fontId="9" fillId="24" borderId="184" applyNumberFormat="0" applyFont="0" applyAlignment="0" applyProtection="0"/>
    <xf numFmtId="0" fontId="43" fillId="102" borderId="187" applyNumberFormat="0" applyFont="0" applyAlignment="0" applyProtection="0"/>
    <xf numFmtId="0" fontId="7" fillId="24" borderId="184"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6" fillId="24" borderId="184"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43" fillId="102" borderId="187" applyNumberFormat="0" applyFont="0" applyAlignment="0" applyProtection="0"/>
    <xf numFmtId="0" fontId="6" fillId="24" borderId="184" applyNumberFormat="0" applyFont="0" applyAlignment="0" applyProtection="0"/>
    <xf numFmtId="0" fontId="6" fillId="24" borderId="184" applyNumberFormat="0" applyFont="0" applyAlignment="0" applyProtection="0"/>
    <xf numFmtId="0" fontId="7" fillId="24" borderId="184" applyNumberFormat="0" applyFont="0" applyAlignment="0" applyProtection="0"/>
    <xf numFmtId="0" fontId="145" fillId="20" borderId="186" applyNumberFormat="0" applyAlignment="0" applyProtection="0"/>
    <xf numFmtId="0" fontId="145" fillId="106" borderId="186" applyNumberFormat="0" applyAlignment="0" applyProtection="0"/>
    <xf numFmtId="0" fontId="145" fillId="106" borderId="186" applyNumberFormat="0" applyAlignment="0" applyProtection="0"/>
    <xf numFmtId="0" fontId="145" fillId="20" borderId="186" applyNumberFormat="0" applyAlignment="0" applyProtection="0"/>
    <xf numFmtId="0" fontId="145" fillId="20" borderId="186" applyNumberFormat="0" applyAlignment="0" applyProtection="0"/>
    <xf numFmtId="0" fontId="145" fillId="106" borderId="186" applyNumberFormat="0" applyAlignment="0" applyProtection="0"/>
    <xf numFmtId="0" fontId="145" fillId="20" borderId="186" applyNumberFormat="0" applyAlignment="0" applyProtection="0"/>
    <xf numFmtId="0" fontId="145" fillId="20" borderId="186" applyNumberFormat="0" applyAlignment="0" applyProtection="0"/>
    <xf numFmtId="0" fontId="145" fillId="106" borderId="186" applyNumberFormat="0" applyAlignment="0" applyProtection="0"/>
    <xf numFmtId="0" fontId="26" fillId="28" borderId="186" applyNumberFormat="0" applyAlignment="0" applyProtection="0"/>
    <xf numFmtId="0" fontId="145" fillId="106" borderId="186" applyNumberFormat="0" applyAlignment="0" applyProtection="0"/>
    <xf numFmtId="0" fontId="145" fillId="20" borderId="186" applyNumberFormat="0" applyAlignment="0" applyProtection="0"/>
    <xf numFmtId="0" fontId="26" fillId="28" borderId="186" applyNumberFormat="0" applyAlignment="0" applyProtection="0"/>
    <xf numFmtId="4" fontId="43" fillId="23" borderId="187" applyNumberFormat="0" applyProtection="0">
      <alignment vertical="center"/>
    </xf>
    <xf numFmtId="4" fontId="43" fillId="23" borderId="187" applyNumberFormat="0" applyProtection="0">
      <alignment vertical="center"/>
    </xf>
    <xf numFmtId="4" fontId="43" fillId="23" borderId="187" applyNumberFormat="0" applyProtection="0">
      <alignment vertical="center"/>
    </xf>
    <xf numFmtId="4" fontId="43" fillId="23" borderId="187" applyNumberFormat="0" applyProtection="0">
      <alignment vertical="center"/>
    </xf>
    <xf numFmtId="4" fontId="172" fillId="42" borderId="187" applyNumberFormat="0" applyProtection="0">
      <alignment vertical="center"/>
    </xf>
    <xf numFmtId="4" fontId="172" fillId="42" borderId="187" applyNumberFormat="0" applyProtection="0">
      <alignment vertical="center"/>
    </xf>
    <xf numFmtId="4" fontId="43" fillId="42" borderId="187" applyNumberFormat="0" applyProtection="0">
      <alignment horizontal="left" vertical="center" indent="1"/>
    </xf>
    <xf numFmtId="4" fontId="43" fillId="42" borderId="187" applyNumberFormat="0" applyProtection="0">
      <alignment horizontal="left" vertical="center" indent="1"/>
    </xf>
    <xf numFmtId="4" fontId="43" fillId="42" borderId="187" applyNumberFormat="0" applyProtection="0">
      <alignment horizontal="left" vertical="center" indent="1"/>
    </xf>
    <xf numFmtId="4" fontId="43" fillId="42" borderId="187" applyNumberFormat="0" applyProtection="0">
      <alignment horizontal="left" vertical="center" indent="1"/>
    </xf>
    <xf numFmtId="0" fontId="173" fillId="23" borderId="183" applyNumberFormat="0" applyProtection="0">
      <alignment horizontal="left" vertical="top" indent="1"/>
    </xf>
    <xf numFmtId="0" fontId="173" fillId="23" borderId="183" applyNumberFormat="0" applyProtection="0">
      <alignment horizontal="left" vertical="top"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43" fillId="3" borderId="187" applyNumberFormat="0" applyProtection="0">
      <alignment horizontal="right" vertical="center"/>
    </xf>
    <xf numFmtId="4" fontId="43" fillId="3" borderId="187" applyNumberFormat="0" applyProtection="0">
      <alignment horizontal="right" vertical="center"/>
    </xf>
    <xf numFmtId="4" fontId="43" fillId="111" borderId="187" applyNumberFormat="0" applyProtection="0">
      <alignment horizontal="right" vertical="center"/>
    </xf>
    <xf numFmtId="4" fontId="43" fillId="111" borderId="187" applyNumberFormat="0" applyProtection="0">
      <alignment horizontal="right" vertical="center"/>
    </xf>
    <xf numFmtId="4" fontId="43" fillId="17" borderId="189" applyNumberFormat="0" applyProtection="0">
      <alignment horizontal="right" vertical="center"/>
    </xf>
    <xf numFmtId="4" fontId="43" fillId="17" borderId="189" applyNumberFormat="0" applyProtection="0">
      <alignment horizontal="right" vertical="center"/>
    </xf>
    <xf numFmtId="4" fontId="43" fillId="11" borderId="187" applyNumberFormat="0" applyProtection="0">
      <alignment horizontal="right" vertical="center"/>
    </xf>
    <xf numFmtId="4" fontId="43" fillId="11" borderId="187" applyNumberFormat="0" applyProtection="0">
      <alignment horizontal="right" vertical="center"/>
    </xf>
    <xf numFmtId="4" fontId="43" fillId="15" borderId="187" applyNumberFormat="0" applyProtection="0">
      <alignment horizontal="right" vertical="center"/>
    </xf>
    <xf numFmtId="4" fontId="43" fillId="15" borderId="187" applyNumberFormat="0" applyProtection="0">
      <alignment horizontal="right" vertical="center"/>
    </xf>
    <xf numFmtId="4" fontId="43" fillId="19" borderId="187" applyNumberFormat="0" applyProtection="0">
      <alignment horizontal="right" vertical="center"/>
    </xf>
    <xf numFmtId="4" fontId="43" fillId="19" borderId="187" applyNumberFormat="0" applyProtection="0">
      <alignment horizontal="right" vertical="center"/>
    </xf>
    <xf numFmtId="4" fontId="43" fillId="18" borderId="187" applyNumberFormat="0" applyProtection="0">
      <alignment horizontal="right" vertical="center"/>
    </xf>
    <xf numFmtId="4" fontId="43" fillId="18" borderId="187" applyNumberFormat="0" applyProtection="0">
      <alignment horizontal="right" vertical="center"/>
    </xf>
    <xf numFmtId="4" fontId="43" fillId="44" borderId="187" applyNumberFormat="0" applyProtection="0">
      <alignment horizontal="right" vertical="center"/>
    </xf>
    <xf numFmtId="4" fontId="43" fillId="44" borderId="187" applyNumberFormat="0" applyProtection="0">
      <alignment horizontal="right" vertical="center"/>
    </xf>
    <xf numFmtId="4" fontId="43" fillId="9" borderId="187" applyNumberFormat="0" applyProtection="0">
      <alignment horizontal="right" vertical="center"/>
    </xf>
    <xf numFmtId="4" fontId="43" fillId="9" borderId="187" applyNumberFormat="0" applyProtection="0">
      <alignment horizontal="right" vertical="center"/>
    </xf>
    <xf numFmtId="4" fontId="43" fillId="45" borderId="189" applyNumberFormat="0" applyProtection="0">
      <alignment horizontal="left" vertical="center" indent="1"/>
    </xf>
    <xf numFmtId="4" fontId="43" fillId="45"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6" fillId="83" borderId="189" applyNumberFormat="0" applyProtection="0">
      <alignment horizontal="left" vertical="center" indent="1"/>
    </xf>
    <xf numFmtId="4" fontId="43" fillId="48" borderId="187" applyNumberFormat="0" applyProtection="0">
      <alignment horizontal="right" vertical="center"/>
    </xf>
    <xf numFmtId="4" fontId="43" fillId="48" borderId="187" applyNumberFormat="0" applyProtection="0">
      <alignment horizontal="right" vertical="center"/>
    </xf>
    <xf numFmtId="4" fontId="43" fillId="46" borderId="189" applyNumberFormat="0" applyProtection="0">
      <alignment horizontal="left" vertical="center" indent="1"/>
    </xf>
    <xf numFmtId="4" fontId="43" fillId="46" borderId="189" applyNumberFormat="0" applyProtection="0">
      <alignment horizontal="left" vertical="center" indent="1"/>
    </xf>
    <xf numFmtId="4" fontId="43" fillId="48" borderId="189" applyNumberFormat="0" applyProtection="0">
      <alignment horizontal="left" vertical="center" indent="1"/>
    </xf>
    <xf numFmtId="4" fontId="43" fillId="48" borderId="189" applyNumberFormat="0" applyProtection="0">
      <alignment horizontal="left" vertical="center" indent="1"/>
    </xf>
    <xf numFmtId="0" fontId="43" fillId="20" borderId="187" applyNumberFormat="0" applyProtection="0">
      <alignment horizontal="left" vertical="center" indent="1"/>
    </xf>
    <xf numFmtId="0" fontId="43" fillId="20" borderId="187" applyNumberFormat="0" applyProtection="0">
      <alignment horizontal="left" vertical="center"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83" borderId="183" applyNumberFormat="0" applyProtection="0">
      <alignment horizontal="left" vertical="top" indent="1"/>
    </xf>
    <xf numFmtId="0" fontId="43" fillId="112" borderId="187" applyNumberFormat="0" applyProtection="0">
      <alignment horizontal="left" vertical="center" indent="1"/>
    </xf>
    <xf numFmtId="0" fontId="43" fillId="112" borderId="187" applyNumberFormat="0" applyProtection="0">
      <alignment horizontal="left" vertical="center"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48" borderId="183" applyNumberFormat="0" applyProtection="0">
      <alignment horizontal="left" vertical="top" indent="1"/>
    </xf>
    <xf numFmtId="0" fontId="43" fillId="10" borderId="187" applyNumberFormat="0" applyProtection="0">
      <alignment horizontal="left" vertical="center" indent="1"/>
    </xf>
    <xf numFmtId="0" fontId="43" fillId="10" borderId="187" applyNumberFormat="0" applyProtection="0">
      <alignment horizontal="left" vertical="center"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10" borderId="183" applyNumberFormat="0" applyProtection="0">
      <alignment horizontal="left" vertical="top" indent="1"/>
    </xf>
    <xf numFmtId="0" fontId="43" fillId="46" borderId="187" applyNumberFormat="0" applyProtection="0">
      <alignment horizontal="left" vertical="center" indent="1"/>
    </xf>
    <xf numFmtId="0" fontId="43" fillId="46" borderId="187" applyNumberFormat="0" applyProtection="0">
      <alignment horizontal="left" vertical="center"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3" fillId="46" borderId="183" applyNumberFormat="0" applyProtection="0">
      <alignment horizontal="left" vertical="top" indent="1"/>
    </xf>
    <xf numFmtId="0" fontId="42" fillId="83" borderId="190" applyBorder="0"/>
    <xf numFmtId="0" fontId="42" fillId="83" borderId="190" applyBorder="0"/>
    <xf numFmtId="4" fontId="62" fillId="24" borderId="183" applyNumberFormat="0" applyProtection="0">
      <alignment vertical="center"/>
    </xf>
    <xf numFmtId="4" fontId="62" fillId="24" borderId="183" applyNumberFormat="0" applyProtection="0">
      <alignment vertical="center"/>
    </xf>
    <xf numFmtId="4" fontId="62" fillId="20" borderId="183" applyNumberFormat="0" applyProtection="0">
      <alignment horizontal="left" vertical="center" indent="1"/>
    </xf>
    <xf numFmtId="4" fontId="62" fillId="20" borderId="183" applyNumberFormat="0" applyProtection="0">
      <alignment horizontal="left" vertical="center" indent="1"/>
    </xf>
    <xf numFmtId="0" fontId="62" fillId="24" borderId="183" applyNumberFormat="0" applyProtection="0">
      <alignment horizontal="left" vertical="top" indent="1"/>
    </xf>
    <xf numFmtId="0" fontId="62" fillId="24" borderId="183" applyNumberFormat="0" applyProtection="0">
      <alignment horizontal="left" vertical="top" indent="1"/>
    </xf>
    <xf numFmtId="4" fontId="43" fillId="0" borderId="187" applyNumberFormat="0" applyProtection="0">
      <alignment horizontal="right" vertical="center"/>
    </xf>
    <xf numFmtId="4" fontId="43" fillId="0" borderId="187" applyNumberFormat="0" applyProtection="0">
      <alignment horizontal="right" vertical="center"/>
    </xf>
    <xf numFmtId="4" fontId="43" fillId="0" borderId="187" applyNumberFormat="0" applyProtection="0">
      <alignment horizontal="right" vertical="center"/>
    </xf>
    <xf numFmtId="4" fontId="43" fillId="0" borderId="187" applyNumberFormat="0" applyProtection="0">
      <alignment horizontal="right" vertical="center"/>
    </xf>
    <xf numFmtId="4" fontId="172" fillId="52" borderId="187" applyNumberFormat="0" applyProtection="0">
      <alignment horizontal="right" vertical="center"/>
    </xf>
    <xf numFmtId="4" fontId="172" fillId="52" borderId="187" applyNumberFormat="0" applyProtection="0">
      <alignment horizontal="right" vertical="center"/>
    </xf>
    <xf numFmtId="4" fontId="43" fillId="14" borderId="187" applyNumberFormat="0" applyProtection="0">
      <alignment horizontal="left" vertical="center" indent="1"/>
    </xf>
    <xf numFmtId="4" fontId="43" fillId="14" borderId="187" applyNumberFormat="0" applyProtection="0">
      <alignment horizontal="left" vertical="center" indent="1"/>
    </xf>
    <xf numFmtId="4" fontId="30" fillId="48" borderId="183" applyNumberFormat="0" applyProtection="0">
      <alignment horizontal="left" vertical="center" indent="1"/>
    </xf>
    <xf numFmtId="4" fontId="43" fillId="14" borderId="187" applyNumberFormat="0" applyProtection="0">
      <alignment horizontal="left" vertical="center" indent="1"/>
    </xf>
    <xf numFmtId="0" fontId="62" fillId="48" borderId="183" applyNumberFormat="0" applyProtection="0">
      <alignment horizontal="left" vertical="top" indent="1"/>
    </xf>
    <xf numFmtId="0" fontId="62" fillId="48" borderId="183" applyNumberFormat="0" applyProtection="0">
      <alignment horizontal="left" vertical="top" indent="1"/>
    </xf>
    <xf numFmtId="4" fontId="174" fillId="50" borderId="189" applyNumberFormat="0" applyProtection="0">
      <alignment horizontal="left" vertical="center" indent="1"/>
    </xf>
    <xf numFmtId="4" fontId="174" fillId="50" borderId="189" applyNumberFormat="0" applyProtection="0">
      <alignment horizontal="left" vertical="center" indent="1"/>
    </xf>
    <xf numFmtId="4" fontId="175" fillId="84" borderId="187" applyNumberFormat="0" applyProtection="0">
      <alignment horizontal="right" vertical="center"/>
    </xf>
    <xf numFmtId="4" fontId="175" fillId="84" borderId="187" applyNumberFormat="0" applyProtection="0">
      <alignment horizontal="right" vertical="center"/>
    </xf>
    <xf numFmtId="0" fontId="20" fillId="0" borderId="191" applyNumberFormat="0" applyFill="0" applyAlignment="0" applyProtection="0"/>
    <xf numFmtId="0" fontId="20" fillId="0" borderId="192" applyNumberFormat="0" applyFill="0" applyAlignment="0" applyProtection="0"/>
    <xf numFmtId="0" fontId="20" fillId="0" borderId="192" applyNumberFormat="0" applyFill="0" applyAlignment="0" applyProtection="0"/>
    <xf numFmtId="0" fontId="20" fillId="0" borderId="191" applyNumberFormat="0" applyFill="0" applyAlignment="0" applyProtection="0"/>
    <xf numFmtId="0" fontId="20" fillId="0" borderId="191" applyNumberFormat="0" applyFill="0" applyAlignment="0" applyProtection="0"/>
    <xf numFmtId="0" fontId="20" fillId="0" borderId="192" applyNumberFormat="0" applyFill="0" applyAlignment="0" applyProtection="0"/>
    <xf numFmtId="0" fontId="20" fillId="0" borderId="191" applyNumberFormat="0" applyFill="0" applyAlignment="0" applyProtection="0"/>
    <xf numFmtId="0" fontId="20" fillId="0" borderId="191" applyNumberFormat="0" applyFill="0" applyAlignment="0" applyProtection="0"/>
    <xf numFmtId="0" fontId="20" fillId="0" borderId="192" applyNumberFormat="0" applyFill="0" applyAlignment="0" applyProtection="0"/>
    <xf numFmtId="0" fontId="20" fillId="0" borderId="192" applyNumberFormat="0" applyFill="0" applyAlignment="0" applyProtection="0"/>
    <xf numFmtId="0" fontId="134" fillId="84" borderId="185" applyNumberFormat="0" applyAlignment="0" applyProtection="0"/>
    <xf numFmtId="0" fontId="134" fillId="84" borderId="185" applyNumberFormat="0" applyAlignment="0" applyProtection="0"/>
    <xf numFmtId="0" fontId="140" fillId="23" borderId="185" applyNumberFormat="0" applyAlignment="0" applyProtection="0"/>
    <xf numFmtId="0" fontId="140" fillId="23" borderId="185" applyNumberFormat="0" applyAlignment="0" applyProtection="0"/>
    <xf numFmtId="0" fontId="6" fillId="24" borderId="184" applyNumberFormat="0" applyFont="0" applyAlignment="0" applyProtection="0"/>
    <xf numFmtId="0" fontId="6" fillId="24" borderId="184" applyNumberFormat="0" applyFont="0" applyAlignment="0" applyProtection="0"/>
    <xf numFmtId="0" fontId="145" fillId="84" borderId="186" applyNumberFormat="0" applyAlignment="0" applyProtection="0"/>
    <xf numFmtId="0" fontId="145" fillId="84" borderId="186" applyNumberFormat="0" applyAlignment="0" applyProtection="0"/>
    <xf numFmtId="0" fontId="6" fillId="85" borderId="186" applyNumberFormat="0" applyProtection="0">
      <alignment horizontal="left" vertical="center" indent="1"/>
    </xf>
    <xf numFmtId="0" fontId="20" fillId="0" borderId="188" applyNumberFormat="0" applyFill="0" applyAlignment="0" applyProtection="0"/>
    <xf numFmtId="0" fontId="20" fillId="0" borderId="188" applyNumberFormat="0" applyFill="0" applyAlignment="0" applyProtection="0"/>
    <xf numFmtId="0" fontId="140" fillId="23" borderId="185" applyNumberFormat="0" applyAlignment="0" applyProtection="0"/>
    <xf numFmtId="4" fontId="30" fillId="48" borderId="183" applyNumberFormat="0" applyProtection="0">
      <alignment horizontal="left" vertical="center" indent="1"/>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24" fillId="2" borderId="193" applyFill="0">
      <alignment horizontal="left" vertical="top" wrapText="1"/>
    </xf>
    <xf numFmtId="0" fontId="91" fillId="0" borderId="194">
      <alignment horizontal="left" vertical="center"/>
    </xf>
    <xf numFmtId="10" fontId="43" fillId="22" borderId="193" applyNumberFormat="0" applyBorder="0" applyAlignment="0" applyProtection="0"/>
    <xf numFmtId="0" fontId="100" fillId="1" borderId="194" applyNumberFormat="0" applyFont="0" applyAlignment="0">
      <alignment horizont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19" borderId="183" applyNumberFormat="0" applyProtection="0">
      <alignment horizontal="right" vertical="center"/>
    </xf>
    <xf numFmtId="4" fontId="30" fillId="8" borderId="183" applyNumberFormat="0" applyProtection="0">
      <alignment horizontal="right" vertical="center"/>
    </xf>
    <xf numFmtId="4" fontId="32" fillId="42" borderId="183" applyNumberFormat="0" applyProtection="0">
      <alignment horizontal="left" vertical="center" indent="1"/>
    </xf>
    <xf numFmtId="4" fontId="30" fillId="8" borderId="183" applyNumberFormat="0" applyProtection="0">
      <alignment horizontal="right" vertical="center"/>
    </xf>
    <xf numFmtId="4" fontId="30" fillId="15" borderId="183" applyNumberFormat="0" applyProtection="0">
      <alignment horizontal="right" vertical="center"/>
    </xf>
    <xf numFmtId="4" fontId="32" fillId="42" borderId="183" applyNumberFormat="0" applyProtection="0">
      <alignment horizontal="left" vertical="center" indent="1"/>
    </xf>
    <xf numFmtId="4" fontId="30" fillId="48" borderId="183" applyNumberFormat="0" applyProtection="0">
      <alignment horizontal="right" vertical="center"/>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5" borderId="183" applyNumberFormat="0" applyProtection="0">
      <alignment horizontal="right" vertical="center"/>
    </xf>
    <xf numFmtId="4" fontId="30" fillId="11" borderId="183" applyNumberFormat="0" applyProtection="0">
      <alignment horizontal="right" vertical="center"/>
    </xf>
    <xf numFmtId="4" fontId="30" fillId="17"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102" fillId="42" borderId="183" applyNumberFormat="0" applyProtection="0">
      <alignment vertical="center"/>
    </xf>
    <xf numFmtId="4" fontId="32" fillId="23" borderId="183" applyNumberFormat="0" applyProtection="0">
      <alignment vertical="center"/>
    </xf>
    <xf numFmtId="4" fontId="32" fillId="23" borderId="183" applyNumberFormat="0" applyProtection="0">
      <alignment vertical="center"/>
    </xf>
    <xf numFmtId="4" fontId="102" fillId="42" borderId="183" applyNumberFormat="0" applyProtection="0">
      <alignment vertical="center"/>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17"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11" borderId="183" applyNumberFormat="0" applyProtection="0">
      <alignment horizontal="right" vertical="center"/>
    </xf>
    <xf numFmtId="0" fontId="6" fillId="43"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right" vertical="center"/>
    </xf>
    <xf numFmtId="4" fontId="30" fillId="11" borderId="183" applyNumberFormat="0" applyProtection="0">
      <alignment horizontal="right" vertical="center"/>
    </xf>
    <xf numFmtId="0" fontId="30" fillId="22" borderId="183" applyNumberFormat="0" applyProtection="0">
      <alignment horizontal="left" vertical="top" indent="1"/>
    </xf>
    <xf numFmtId="4" fontId="30" fillId="48" borderId="183" applyNumberFormat="0" applyProtection="0">
      <alignment horizontal="left" vertical="center" indent="1"/>
    </xf>
    <xf numFmtId="4" fontId="30" fillId="46" borderId="183" applyNumberFormat="0" applyProtection="0">
      <alignment horizontal="right" vertical="center"/>
    </xf>
    <xf numFmtId="4" fontId="30" fillId="22" borderId="183" applyNumberFormat="0" applyProtection="0">
      <alignment horizontal="left" vertical="center" indent="1"/>
    </xf>
    <xf numFmtId="4" fontId="104" fillId="22" borderId="183" applyNumberFormat="0" applyProtection="0">
      <alignment vertical="center"/>
    </xf>
    <xf numFmtId="4" fontId="30" fillId="22" borderId="183" applyNumberFormat="0" applyProtection="0">
      <alignment vertical="center"/>
    </xf>
    <xf numFmtId="0" fontId="6" fillId="49" borderId="183" applyNumberFormat="0" applyProtection="0">
      <alignment horizontal="left" vertical="top" indent="1"/>
    </xf>
    <xf numFmtId="0" fontId="6" fillId="49" borderId="183" applyNumberFormat="0" applyProtection="0">
      <alignment horizontal="left" vertical="center" indent="1"/>
    </xf>
    <xf numFmtId="0" fontId="6" fillId="39" borderId="183" applyNumberFormat="0" applyProtection="0">
      <alignment horizontal="left" vertical="top" indent="1"/>
    </xf>
    <xf numFmtId="0" fontId="6" fillId="39" borderId="183" applyNumberFormat="0" applyProtection="0">
      <alignment horizontal="left" vertical="center" indent="1"/>
    </xf>
    <xf numFmtId="0" fontId="6" fillId="43" borderId="183" applyNumberFormat="0" applyProtection="0">
      <alignment horizontal="left" vertical="top" indent="1"/>
    </xf>
    <xf numFmtId="0" fontId="6" fillId="43" borderId="183" applyNumberFormat="0" applyProtection="0">
      <alignment horizontal="left" vertical="center" indent="1"/>
    </xf>
    <xf numFmtId="0" fontId="6" fillId="47" borderId="183" applyNumberFormat="0" applyProtection="0">
      <alignment horizontal="left" vertical="top" indent="1"/>
    </xf>
    <xf numFmtId="0" fontId="6" fillId="47" borderId="183" applyNumberFormat="0" applyProtection="0">
      <alignment horizontal="left" vertical="center" indent="1"/>
    </xf>
    <xf numFmtId="4" fontId="30" fillId="9" borderId="183" applyNumberFormat="0" applyProtection="0">
      <alignment horizontal="right" vertical="center"/>
    </xf>
    <xf numFmtId="4" fontId="30" fillId="44" borderId="183" applyNumberFormat="0" applyProtection="0">
      <alignment horizontal="right" vertical="center"/>
    </xf>
    <xf numFmtId="4" fontId="30" fillId="18" borderId="183" applyNumberFormat="0" applyProtection="0">
      <alignment horizontal="right" vertical="center"/>
    </xf>
    <xf numFmtId="4" fontId="30" fillId="19" borderId="183" applyNumberFormat="0" applyProtection="0">
      <alignment horizontal="right" vertical="center"/>
    </xf>
    <xf numFmtId="4" fontId="30" fillId="15" borderId="183" applyNumberFormat="0" applyProtection="0">
      <alignment horizontal="right" vertical="center"/>
    </xf>
    <xf numFmtId="4" fontId="30" fillId="17" borderId="183" applyNumberFormat="0" applyProtection="0">
      <alignment horizontal="right" vertical="center"/>
    </xf>
    <xf numFmtId="4" fontId="30" fillId="8" borderId="183" applyNumberFormat="0" applyProtection="0">
      <alignment horizontal="right" vertical="center"/>
    </xf>
    <xf numFmtId="4" fontId="30" fillId="3" borderId="183" applyNumberFormat="0" applyProtection="0">
      <alignment horizontal="right" vertical="center"/>
    </xf>
    <xf numFmtId="0" fontId="32" fillId="42" borderId="183" applyNumberFormat="0" applyProtection="0">
      <alignment horizontal="left" vertical="top" indent="1"/>
    </xf>
    <xf numFmtId="4" fontId="32" fillId="42" borderId="183" applyNumberFormat="0" applyProtection="0">
      <alignment horizontal="left" vertical="center" indent="1"/>
    </xf>
    <xf numFmtId="4" fontId="102" fillId="42" borderId="183" applyNumberFormat="0" applyProtection="0">
      <alignment vertical="center"/>
    </xf>
    <xf numFmtId="4" fontId="32" fillId="23" borderId="183" applyNumberFormat="0" applyProtection="0">
      <alignment vertical="center"/>
    </xf>
    <xf numFmtId="0" fontId="30" fillId="43" borderId="183" applyNumberFormat="0" applyProtection="0">
      <alignment horizontal="left" vertical="top" indent="1"/>
    </xf>
    <xf numFmtId="4" fontId="106" fillId="46" borderId="183" applyNumberFormat="0" applyProtection="0">
      <alignment horizontal="right" vertical="center"/>
    </xf>
    <xf numFmtId="4" fontId="32" fillId="23" borderId="183" applyNumberFormat="0" applyProtection="0">
      <alignment vertical="center"/>
    </xf>
    <xf numFmtId="4" fontId="102" fillId="42" borderId="183" applyNumberFormat="0" applyProtection="0">
      <alignment vertical="center"/>
    </xf>
    <xf numFmtId="4" fontId="32" fillId="42" borderId="183" applyNumberFormat="0" applyProtection="0">
      <alignment horizontal="left" vertical="center" indent="1"/>
    </xf>
    <xf numFmtId="0" fontId="32" fillId="42" borderId="183" applyNumberFormat="0" applyProtection="0">
      <alignment horizontal="left" vertical="top" indent="1"/>
    </xf>
    <xf numFmtId="4" fontId="30" fillId="3" borderId="183" applyNumberFormat="0" applyProtection="0">
      <alignment horizontal="right" vertical="center"/>
    </xf>
    <xf numFmtId="4" fontId="30" fillId="8" borderId="183" applyNumberFormat="0" applyProtection="0">
      <alignment horizontal="right" vertical="center"/>
    </xf>
    <xf numFmtId="4" fontId="30" fillId="17" borderId="183" applyNumberFormat="0" applyProtection="0">
      <alignment horizontal="right" vertical="center"/>
    </xf>
    <xf numFmtId="4" fontId="30" fillId="11" borderId="183" applyNumberFormat="0" applyProtection="0">
      <alignment horizontal="right" vertical="center"/>
    </xf>
    <xf numFmtId="4" fontId="30" fillId="15" borderId="183" applyNumberFormat="0" applyProtection="0">
      <alignment horizontal="right" vertical="center"/>
    </xf>
    <xf numFmtId="4" fontId="30" fillId="19" borderId="183" applyNumberFormat="0" applyProtection="0">
      <alignment horizontal="right" vertical="center"/>
    </xf>
    <xf numFmtId="4" fontId="30" fillId="18" borderId="183" applyNumberFormat="0" applyProtection="0">
      <alignment horizontal="right" vertical="center"/>
    </xf>
    <xf numFmtId="4" fontId="30" fillId="44" borderId="183" applyNumberFormat="0" applyProtection="0">
      <alignment horizontal="right" vertical="center"/>
    </xf>
    <xf numFmtId="4" fontId="30" fillId="9" borderId="183" applyNumberFormat="0" applyProtection="0">
      <alignment horizontal="right" vertical="center"/>
    </xf>
    <xf numFmtId="4" fontId="30" fillId="48" borderId="183" applyNumberFormat="0" applyProtection="0">
      <alignment horizontal="right" vertical="center"/>
    </xf>
    <xf numFmtId="0" fontId="6" fillId="47" borderId="183" applyNumberFormat="0" applyProtection="0">
      <alignment horizontal="left" vertical="center" indent="1"/>
    </xf>
    <xf numFmtId="0" fontId="6" fillId="47" borderId="183" applyNumberFormat="0" applyProtection="0">
      <alignment horizontal="left" vertical="top" indent="1"/>
    </xf>
    <xf numFmtId="0" fontId="6" fillId="43" borderId="183" applyNumberFormat="0" applyProtection="0">
      <alignment horizontal="left" vertical="center" indent="1"/>
    </xf>
    <xf numFmtId="0" fontId="6" fillId="43" borderId="183" applyNumberFormat="0" applyProtection="0">
      <alignment horizontal="left" vertical="top" indent="1"/>
    </xf>
    <xf numFmtId="0" fontId="6" fillId="39" borderId="183" applyNumberFormat="0" applyProtection="0">
      <alignment horizontal="left" vertical="center" indent="1"/>
    </xf>
    <xf numFmtId="0" fontId="6" fillId="39" borderId="183" applyNumberFormat="0" applyProtection="0">
      <alignment horizontal="left" vertical="top" indent="1"/>
    </xf>
    <xf numFmtId="0" fontId="6" fillId="49" borderId="183" applyNumberFormat="0" applyProtection="0">
      <alignment horizontal="left" vertical="center" indent="1"/>
    </xf>
    <xf numFmtId="0" fontId="6" fillId="49" borderId="183" applyNumberFormat="0" applyProtection="0">
      <alignment horizontal="left" vertical="top" indent="1"/>
    </xf>
    <xf numFmtId="4" fontId="30" fillId="22" borderId="183" applyNumberFormat="0" applyProtection="0">
      <alignment vertical="center"/>
    </xf>
    <xf numFmtId="4" fontId="104" fillId="22" borderId="183" applyNumberFormat="0" applyProtection="0">
      <alignment vertical="center"/>
    </xf>
    <xf numFmtId="4" fontId="30" fillId="22" borderId="183" applyNumberFormat="0" applyProtection="0">
      <alignment horizontal="left" vertical="center" indent="1"/>
    </xf>
    <xf numFmtId="0" fontId="30" fillId="22" borderId="183" applyNumberFormat="0" applyProtection="0">
      <alignment horizontal="left" vertical="top" indent="1"/>
    </xf>
    <xf numFmtId="4" fontId="30" fillId="46" borderId="183" applyNumberFormat="0" applyProtection="0">
      <alignment horizontal="right" vertical="center"/>
    </xf>
    <xf numFmtId="4" fontId="104" fillId="46" borderId="183" applyNumberFormat="0" applyProtection="0">
      <alignment horizontal="right" vertical="center"/>
    </xf>
    <xf numFmtId="4" fontId="30" fillId="48" borderId="183" applyNumberFormat="0" applyProtection="0">
      <alignment horizontal="left" vertical="center" indent="1"/>
    </xf>
    <xf numFmtId="0" fontId="30" fillId="43" borderId="183" applyNumberFormat="0" applyProtection="0">
      <alignment horizontal="left" vertical="top" indent="1"/>
    </xf>
    <xf numFmtId="4" fontId="106" fillId="46" borderId="183" applyNumberFormat="0" applyProtection="0">
      <alignment horizontal="right" vertical="center"/>
    </xf>
    <xf numFmtId="4" fontId="30" fillId="48" borderId="183" applyNumberFormat="0" applyProtection="0">
      <alignment horizontal="left" vertical="center" indent="1"/>
    </xf>
    <xf numFmtId="4" fontId="30" fillId="48" borderId="183" applyNumberFormat="0" applyProtection="0">
      <alignment horizontal="left" vertical="center" indent="1"/>
    </xf>
  </cellStyleXfs>
  <cellXfs count="808">
    <xf numFmtId="0" fontId="0" fillId="0" borderId="0" xfId="0"/>
    <xf numFmtId="0" fontId="8" fillId="0" borderId="0" xfId="0" applyFont="1"/>
    <xf numFmtId="0" fontId="23" fillId="0" borderId="0" xfId="0" applyFont="1"/>
    <xf numFmtId="0" fontId="23" fillId="0" borderId="9" xfId="0" applyFont="1" applyBorder="1"/>
    <xf numFmtId="0" fontId="23" fillId="0" borderId="10" xfId="0" applyFont="1" applyBorder="1"/>
    <xf numFmtId="0" fontId="23" fillId="0" borderId="11" xfId="0" applyFont="1" applyBorder="1"/>
    <xf numFmtId="0" fontId="23" fillId="0" borderId="12" xfId="0" applyFont="1" applyBorder="1"/>
    <xf numFmtId="0" fontId="23" fillId="0" borderId="13" xfId="0" applyFont="1" applyBorder="1"/>
    <xf numFmtId="0" fontId="25" fillId="0" borderId="0" xfId="51">
      <alignment horizontal="left"/>
    </xf>
    <xf numFmtId="0" fontId="26" fillId="0" borderId="0" xfId="53">
      <alignment horizontal="left"/>
    </xf>
    <xf numFmtId="42" fontId="26" fillId="0" borderId="0" xfId="0" applyNumberFormat="1" applyFont="1"/>
    <xf numFmtId="42" fontId="26" fillId="0" borderId="0" xfId="0" applyNumberFormat="1" applyFont="1" applyAlignment="1">
      <alignment horizontal="right"/>
    </xf>
    <xf numFmtId="42" fontId="26" fillId="0" borderId="14" xfId="0" applyNumberFormat="1" applyFont="1" applyBorder="1"/>
    <xf numFmtId="42" fontId="29" fillId="0" borderId="0" xfId="0" applyNumberFormat="1" applyFont="1"/>
    <xf numFmtId="0" fontId="28" fillId="0" borderId="0" xfId="53" applyFont="1" applyAlignment="1">
      <alignment horizontal="center"/>
    </xf>
    <xf numFmtId="37" fontId="23" fillId="0" borderId="0" xfId="35" applyBorder="1">
      <alignment horizontal="center"/>
    </xf>
    <xf numFmtId="0" fontId="0" fillId="0" borderId="9" xfId="0" applyBorder="1"/>
    <xf numFmtId="0" fontId="0" fillId="0" borderId="10" xfId="0" applyBorder="1"/>
    <xf numFmtId="0" fontId="25" fillId="0" borderId="9" xfId="51" applyBorder="1">
      <alignment horizontal="left"/>
    </xf>
    <xf numFmtId="0" fontId="25" fillId="0" borderId="10" xfId="51" applyBorder="1">
      <alignment horizontal="left"/>
    </xf>
    <xf numFmtId="0" fontId="31" fillId="0" borderId="9" xfId="51" applyFont="1" applyBorder="1">
      <alignment horizontal="left"/>
    </xf>
    <xf numFmtId="0" fontId="30" fillId="0" borderId="9" xfId="0" applyFont="1" applyBorder="1"/>
    <xf numFmtId="0" fontId="30" fillId="0" borderId="0" xfId="0" quotePrefix="1" applyFont="1"/>
    <xf numFmtId="0" fontId="30" fillId="0" borderId="0" xfId="0" applyFont="1"/>
    <xf numFmtId="0" fontId="31" fillId="0" borderId="0" xfId="51" applyFont="1">
      <alignment horizontal="left"/>
    </xf>
    <xf numFmtId="0" fontId="32" fillId="0" borderId="0" xfId="0" applyFont="1"/>
    <xf numFmtId="0" fontId="0" fillId="0" borderId="0" xfId="0" applyAlignment="1">
      <alignment horizontal="left"/>
    </xf>
    <xf numFmtId="0" fontId="26" fillId="0" borderId="0" xfId="53" applyAlignment="1">
      <alignment horizontal="center"/>
    </xf>
    <xf numFmtId="0" fontId="23" fillId="0" borderId="0" xfId="0" applyFont="1" applyAlignment="1">
      <alignment vertical="top"/>
    </xf>
    <xf numFmtId="0" fontId="26" fillId="0" borderId="0" xfId="53" applyAlignment="1">
      <alignment horizontal="right" vertical="top"/>
    </xf>
    <xf numFmtId="0" fontId="34" fillId="27" borderId="4" xfId="59" applyFont="1" applyAlignment="1">
      <alignment horizontal="left" vertical="center" wrapText="1"/>
      <protection locked="0"/>
    </xf>
    <xf numFmtId="42" fontId="26" fillId="0" borderId="0" xfId="0" applyNumberFormat="1" applyFont="1" applyAlignment="1">
      <alignment vertical="top"/>
    </xf>
    <xf numFmtId="0" fontId="23" fillId="0" borderId="19" xfId="0" applyFont="1" applyBorder="1" applyAlignment="1">
      <alignment horizontal="centerContinuous"/>
    </xf>
    <xf numFmtId="0" fontId="23" fillId="0" borderId="20" xfId="0" applyFont="1" applyBorder="1"/>
    <xf numFmtId="0" fontId="34" fillId="0" borderId="21" xfId="0" applyFont="1" applyBorder="1" applyAlignment="1">
      <alignment horizontal="center"/>
    </xf>
    <xf numFmtId="0" fontId="26" fillId="0" borderId="22" xfId="53" applyBorder="1" applyAlignment="1">
      <alignment horizontal="centerContinuous"/>
    </xf>
    <xf numFmtId="0" fontId="26" fillId="0" borderId="23" xfId="53" applyBorder="1" applyAlignment="1">
      <alignment horizontal="center"/>
    </xf>
    <xf numFmtId="0" fontId="23" fillId="0" borderId="24" xfId="0" applyFont="1" applyBorder="1"/>
    <xf numFmtId="0" fontId="23" fillId="0" borderId="26" xfId="0" applyFont="1" applyBorder="1" applyAlignment="1">
      <alignment horizontal="center"/>
    </xf>
    <xf numFmtId="0" fontId="26" fillId="0" borderId="27" xfId="53" applyBorder="1" applyAlignment="1">
      <alignment horizontal="centerContinuous"/>
    </xf>
    <xf numFmtId="0" fontId="23" fillId="0" borderId="21" xfId="0" applyFont="1" applyBorder="1"/>
    <xf numFmtId="0" fontId="34" fillId="0" borderId="28" xfId="0" applyFont="1" applyBorder="1" applyAlignment="1">
      <alignment horizontal="center"/>
    </xf>
    <xf numFmtId="0" fontId="23" fillId="0" borderId="29" xfId="0" applyFont="1" applyBorder="1"/>
    <xf numFmtId="0" fontId="26" fillId="0" borderId="30" xfId="53" applyBorder="1" applyAlignment="1">
      <alignment horizontal="center" vertical="center" wrapText="1"/>
    </xf>
    <xf numFmtId="0" fontId="34" fillId="0" borderId="24" xfId="0" applyFont="1" applyBorder="1" applyAlignment="1">
      <alignment horizontal="center"/>
    </xf>
    <xf numFmtId="0" fontId="34" fillId="0" borderId="20" xfId="0" applyFont="1" applyBorder="1" applyAlignment="1">
      <alignment horizontal="center"/>
    </xf>
    <xf numFmtId="42" fontId="23" fillId="22" borderId="31" xfId="38" applyFont="1" applyFill="1" applyBorder="1" applyAlignment="1" applyProtection="1">
      <alignment horizontal="left"/>
      <protection locked="0"/>
    </xf>
    <xf numFmtId="42" fontId="23" fillId="22" borderId="32" xfId="38" applyFont="1" applyFill="1" applyBorder="1" applyAlignment="1" applyProtection="1">
      <alignment horizontal="left"/>
      <protection locked="0"/>
    </xf>
    <xf numFmtId="42" fontId="23" fillId="22" borderId="33" xfId="38" applyFont="1" applyFill="1" applyBorder="1" applyAlignment="1" applyProtection="1">
      <alignment horizontal="left"/>
      <protection locked="0"/>
    </xf>
    <xf numFmtId="0" fontId="46" fillId="0" borderId="0" xfId="0" applyFont="1" applyAlignment="1">
      <alignment horizontal="left" vertical="center"/>
    </xf>
    <xf numFmtId="0" fontId="47" fillId="0" borderId="0" xfId="0" applyFont="1" applyAlignment="1">
      <alignment horizontal="left" vertical="center"/>
    </xf>
    <xf numFmtId="42" fontId="23" fillId="0" borderId="0" xfId="0" applyNumberFormat="1" applyFont="1"/>
    <xf numFmtId="0" fontId="23" fillId="0" borderId="0" xfId="0" applyFont="1" applyAlignment="1">
      <alignment horizontal="left" indent="2"/>
    </xf>
    <xf numFmtId="0" fontId="23" fillId="0" borderId="10" xfId="0" applyFont="1" applyBorder="1" applyAlignment="1">
      <alignment vertical="top" wrapText="1"/>
    </xf>
    <xf numFmtId="42" fontId="23" fillId="0" borderId="0" xfId="0" applyNumberFormat="1" applyFont="1" applyAlignment="1">
      <alignment vertical="center"/>
    </xf>
    <xf numFmtId="0" fontId="37" fillId="0" borderId="40" xfId="0" applyFont="1" applyBorder="1" applyAlignment="1">
      <alignment horizontal="center"/>
    </xf>
    <xf numFmtId="0" fontId="29" fillId="0" borderId="0" xfId="0" applyFont="1" applyAlignment="1">
      <alignment horizontal="right"/>
    </xf>
    <xf numFmtId="0" fontId="25" fillId="0" borderId="9" xfId="0" applyFont="1" applyBorder="1"/>
    <xf numFmtId="0" fontId="25" fillId="0" borderId="0" xfId="0" applyFont="1"/>
    <xf numFmtId="10" fontId="35" fillId="0" borderId="0" xfId="0" applyNumberFormat="1" applyFont="1" applyAlignment="1">
      <alignment horizontal="center"/>
    </xf>
    <xf numFmtId="37" fontId="35" fillId="0" borderId="0" xfId="0" applyNumberFormat="1" applyFont="1" applyAlignment="1">
      <alignment horizontal="center"/>
    </xf>
    <xf numFmtId="9" fontId="35" fillId="0" borderId="0" xfId="0" applyNumberFormat="1" applyFont="1" applyAlignment="1">
      <alignment horizontal="center"/>
    </xf>
    <xf numFmtId="5" fontId="35" fillId="0" borderId="0" xfId="0" applyNumberFormat="1" applyFont="1" applyAlignment="1">
      <alignment horizontal="center"/>
    </xf>
    <xf numFmtId="0" fontId="29" fillId="0" borderId="14" xfId="0" applyFont="1" applyBorder="1"/>
    <xf numFmtId="0" fontId="26" fillId="0" borderId="41" xfId="0" applyFont="1" applyBorder="1" applyAlignment="1">
      <alignment horizontal="center"/>
    </xf>
    <xf numFmtId="0" fontId="26" fillId="0" borderId="42" xfId="0" applyFont="1" applyBorder="1" applyAlignment="1">
      <alignment horizontal="center"/>
    </xf>
    <xf numFmtId="0" fontId="26" fillId="0" borderId="25" xfId="0" applyFont="1" applyBorder="1" applyAlignment="1">
      <alignment horizontal="center"/>
    </xf>
    <xf numFmtId="0" fontId="26" fillId="0" borderId="26" xfId="0" applyFont="1" applyBorder="1" applyAlignment="1">
      <alignment horizontal="center"/>
    </xf>
    <xf numFmtId="0" fontId="23" fillId="0" borderId="43" xfId="0" applyFont="1" applyBorder="1"/>
    <xf numFmtId="0" fontId="23" fillId="0" borderId="44" xfId="0" applyFont="1" applyBorder="1"/>
    <xf numFmtId="0" fontId="23" fillId="0" borderId="45" xfId="0" applyFont="1" applyBorder="1"/>
    <xf numFmtId="0" fontId="23" fillId="0" borderId="46" xfId="0" applyFont="1" applyBorder="1"/>
    <xf numFmtId="0" fontId="23" fillId="0" borderId="47" xfId="0" applyFont="1" applyBorder="1"/>
    <xf numFmtId="0" fontId="23" fillId="0" borderId="48" xfId="0" applyFont="1" applyBorder="1"/>
    <xf numFmtId="0" fontId="23" fillId="0" borderId="49" xfId="0" applyFont="1" applyBorder="1"/>
    <xf numFmtId="0" fontId="0" fillId="25" borderId="0" xfId="0" applyFill="1"/>
    <xf numFmtId="0" fontId="31" fillId="0" borderId="0" xfId="0" applyFont="1"/>
    <xf numFmtId="0" fontId="31" fillId="25" borderId="24" xfId="0" applyFont="1" applyFill="1" applyBorder="1" applyAlignment="1">
      <alignment horizontal="center"/>
    </xf>
    <xf numFmtId="0" fontId="40" fillId="25" borderId="50" xfId="0" applyFont="1" applyFill="1" applyBorder="1" applyAlignment="1">
      <alignment horizontal="center"/>
    </xf>
    <xf numFmtId="0" fontId="40" fillId="25" borderId="51" xfId="0" applyFont="1" applyFill="1" applyBorder="1" applyAlignment="1">
      <alignment horizontal="center"/>
    </xf>
    <xf numFmtId="41" fontId="40" fillId="0" borderId="15" xfId="0" applyNumberFormat="1" applyFont="1" applyBorder="1"/>
    <xf numFmtId="41" fontId="41" fillId="0" borderId="31" xfId="31" applyFont="1" applyBorder="1"/>
    <xf numFmtId="41" fontId="41" fillId="0" borderId="52" xfId="31" applyFont="1" applyBorder="1"/>
    <xf numFmtId="41" fontId="41" fillId="0" borderId="32" xfId="31" applyFont="1" applyBorder="1"/>
    <xf numFmtId="41" fontId="41" fillId="0" borderId="35" xfId="31" applyFont="1" applyBorder="1"/>
    <xf numFmtId="9" fontId="41" fillId="0" borderId="23" xfId="69" applyFont="1" applyBorder="1" applyAlignment="1">
      <alignment horizontal="center"/>
    </xf>
    <xf numFmtId="9" fontId="41" fillId="0" borderId="42" xfId="69" applyFont="1" applyBorder="1" applyAlignment="1">
      <alignment horizontal="center"/>
    </xf>
    <xf numFmtId="0" fontId="31" fillId="25" borderId="41" xfId="0" applyFont="1" applyFill="1" applyBorder="1" applyAlignment="1">
      <alignment horizontal="right"/>
    </xf>
    <xf numFmtId="0" fontId="26" fillId="0" borderId="32" xfId="51" applyFont="1" applyBorder="1" applyAlignment="1">
      <alignment horizontal="center" wrapText="1"/>
    </xf>
    <xf numFmtId="0" fontId="26" fillId="0" borderId="35" xfId="51" applyFont="1" applyBorder="1" applyAlignment="1">
      <alignment horizontal="center" wrapText="1"/>
    </xf>
    <xf numFmtId="2" fontId="23" fillId="27" borderId="35" xfId="59" applyNumberFormat="1" applyBorder="1" applyAlignment="1">
      <alignment horizontal="center"/>
      <protection locked="0"/>
    </xf>
    <xf numFmtId="42" fontId="23" fillId="22" borderId="53" xfId="38" applyFont="1" applyFill="1" applyBorder="1" applyAlignment="1" applyProtection="1">
      <alignment horizontal="left"/>
      <protection locked="0"/>
    </xf>
    <xf numFmtId="2" fontId="23" fillId="27" borderId="18" xfId="59" applyNumberFormat="1" applyBorder="1" applyAlignment="1">
      <alignment horizontal="center"/>
      <protection locked="0"/>
    </xf>
    <xf numFmtId="0" fontId="37" fillId="0" borderId="54" xfId="0" applyFont="1" applyBorder="1" applyAlignment="1">
      <alignment horizontal="center"/>
    </xf>
    <xf numFmtId="0" fontId="37" fillId="0" borderId="38" xfId="0" applyFont="1" applyBorder="1" applyAlignment="1">
      <alignment horizontal="center"/>
    </xf>
    <xf numFmtId="37" fontId="23" fillId="0" borderId="32" xfId="0" applyNumberFormat="1" applyFont="1" applyBorder="1"/>
    <xf numFmtId="37" fontId="23" fillId="22" borderId="35" xfId="35" applyFill="1" applyBorder="1" applyProtection="1">
      <alignment horizontal="center"/>
      <protection locked="0"/>
    </xf>
    <xf numFmtId="37" fontId="23" fillId="0" borderId="33" xfId="0" applyNumberFormat="1" applyFont="1" applyBorder="1"/>
    <xf numFmtId="2" fontId="23" fillId="27" borderId="55" xfId="59" applyNumberFormat="1" applyBorder="1" applyAlignment="1">
      <alignment horizontal="center"/>
      <protection locked="0"/>
    </xf>
    <xf numFmtId="37" fontId="23" fillId="22" borderId="36" xfId="35" applyFill="1" applyBorder="1" applyProtection="1">
      <alignment horizontal="center"/>
      <protection locked="0"/>
    </xf>
    <xf numFmtId="2" fontId="23" fillId="28" borderId="7" xfId="67" applyNumberFormat="1" applyFont="1" applyAlignment="1" applyProtection="1">
      <alignment horizontal="center"/>
      <protection locked="0"/>
    </xf>
    <xf numFmtId="42" fontId="23" fillId="22" borderId="55" xfId="38" applyFont="1" applyFill="1" applyBorder="1" applyAlignment="1" applyProtection="1">
      <alignment horizontal="left"/>
      <protection locked="0"/>
    </xf>
    <xf numFmtId="0" fontId="0" fillId="26" borderId="0" xfId="0" applyFill="1"/>
    <xf numFmtId="41" fontId="40" fillId="0" borderId="18" xfId="0" applyNumberFormat="1" applyFont="1" applyBorder="1"/>
    <xf numFmtId="9" fontId="40" fillId="0" borderId="41" xfId="69" applyFont="1" applyBorder="1" applyAlignment="1">
      <alignment horizontal="center"/>
    </xf>
    <xf numFmtId="42" fontId="23" fillId="22" borderId="35" xfId="38" applyFont="1" applyFill="1" applyBorder="1" applyAlignment="1" applyProtection="1">
      <alignment horizontal="left"/>
      <protection locked="0"/>
    </xf>
    <xf numFmtId="37" fontId="23" fillId="22" borderId="31" xfId="35" applyFill="1" applyBorder="1" applyProtection="1">
      <alignment horizontal="center"/>
      <protection locked="0"/>
    </xf>
    <xf numFmtId="37" fontId="23" fillId="22" borderId="52" xfId="35" applyFill="1" applyBorder="1" applyProtection="1">
      <alignment horizontal="center"/>
      <protection locked="0"/>
    </xf>
    <xf numFmtId="37" fontId="23" fillId="22" borderId="32" xfId="35" applyFill="1" applyBorder="1" applyProtection="1">
      <alignment horizontal="center"/>
      <protection locked="0"/>
    </xf>
    <xf numFmtId="37" fontId="23" fillId="22" borderId="33" xfId="35" applyFill="1" applyBorder="1" applyProtection="1">
      <alignment horizontal="center"/>
      <protection locked="0"/>
    </xf>
    <xf numFmtId="42" fontId="23" fillId="22" borderId="52" xfId="38" applyFont="1" applyFill="1" applyBorder="1" applyAlignment="1" applyProtection="1">
      <alignment horizontal="left"/>
      <protection locked="0"/>
    </xf>
    <xf numFmtId="0" fontId="26" fillId="25" borderId="33" xfId="53" applyFill="1" applyBorder="1" applyAlignment="1">
      <alignment horizontal="center"/>
    </xf>
    <xf numFmtId="0" fontId="26" fillId="25" borderId="36" xfId="53" applyFill="1" applyBorder="1" applyAlignment="1">
      <alignment horizontal="center"/>
    </xf>
    <xf numFmtId="37" fontId="26" fillId="0" borderId="0" xfId="0" applyNumberFormat="1" applyFont="1" applyAlignment="1">
      <alignment horizontal="center"/>
    </xf>
    <xf numFmtId="0" fontId="31" fillId="0" borderId="0" xfId="0" applyFont="1" applyAlignment="1">
      <alignment horizontal="center"/>
    </xf>
    <xf numFmtId="0" fontId="42" fillId="25" borderId="56" xfId="0" applyFont="1" applyFill="1" applyBorder="1" applyAlignment="1">
      <alignment horizontal="center"/>
    </xf>
    <xf numFmtId="0" fontId="40" fillId="25" borderId="56" xfId="0" applyFont="1" applyFill="1" applyBorder="1" applyAlignment="1">
      <alignment horizontal="center"/>
    </xf>
    <xf numFmtId="9" fontId="41" fillId="0" borderId="19" xfId="69" applyFont="1" applyBorder="1" applyAlignment="1">
      <alignment horizontal="center"/>
    </xf>
    <xf numFmtId="0" fontId="42" fillId="25" borderId="30" xfId="0" applyFont="1" applyFill="1" applyBorder="1" applyAlignment="1">
      <alignment horizontal="center"/>
    </xf>
    <xf numFmtId="0" fontId="40" fillId="25" borderId="0" xfId="0" applyFont="1" applyFill="1" applyAlignment="1">
      <alignment horizontal="center"/>
    </xf>
    <xf numFmtId="9" fontId="41" fillId="0" borderId="25" xfId="69" applyFont="1" applyBorder="1" applyAlignment="1">
      <alignment horizontal="center"/>
    </xf>
    <xf numFmtId="9" fontId="41" fillId="0" borderId="26" xfId="69" applyFont="1" applyBorder="1" applyAlignment="1">
      <alignment horizontal="center"/>
    </xf>
    <xf numFmtId="9" fontId="41" fillId="0" borderId="24" xfId="69" applyFont="1" applyBorder="1" applyAlignment="1">
      <alignment horizontal="center"/>
    </xf>
    <xf numFmtId="41" fontId="41" fillId="0" borderId="23" xfId="31" applyFont="1" applyBorder="1"/>
    <xf numFmtId="41" fontId="41" fillId="0" borderId="25" xfId="31" applyFont="1" applyBorder="1"/>
    <xf numFmtId="41" fontId="41" fillId="0" borderId="26" xfId="31" applyFont="1" applyBorder="1"/>
    <xf numFmtId="41" fontId="40" fillId="0" borderId="24" xfId="0" applyNumberFormat="1" applyFont="1" applyBorder="1"/>
    <xf numFmtId="9" fontId="41" fillId="0" borderId="46" xfId="69" applyFont="1" applyBorder="1" applyAlignment="1">
      <alignment horizontal="center"/>
    </xf>
    <xf numFmtId="9" fontId="41" fillId="0" borderId="49" xfId="69" applyFont="1" applyBorder="1" applyAlignment="1">
      <alignment horizontal="center"/>
    </xf>
    <xf numFmtId="9" fontId="41" fillId="0" borderId="51" xfId="69" applyFont="1" applyBorder="1" applyAlignment="1">
      <alignment horizontal="center"/>
    </xf>
    <xf numFmtId="0" fontId="23" fillId="0" borderId="37" xfId="0" applyFont="1" applyBorder="1"/>
    <xf numFmtId="0" fontId="23" fillId="0" borderId="56" xfId="0" applyFont="1" applyBorder="1"/>
    <xf numFmtId="170" fontId="23" fillId="25" borderId="35"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3" fillId="0" borderId="10" xfId="0" applyFont="1" applyBorder="1" applyAlignment="1">
      <alignment horizontal="left" indent="1"/>
    </xf>
    <xf numFmtId="41" fontId="41" fillId="0" borderId="32" xfId="31" applyFont="1" applyBorder="1" applyAlignment="1">
      <alignment horizontal="center"/>
    </xf>
    <xf numFmtId="41" fontId="41" fillId="0" borderId="33" xfId="31" applyFont="1" applyBorder="1" applyAlignment="1">
      <alignment horizontal="center"/>
    </xf>
    <xf numFmtId="42" fontId="41" fillId="0" borderId="45" xfId="69" applyNumberFormat="1" applyFont="1" applyBorder="1" applyAlignment="1">
      <alignment horizontal="center"/>
    </xf>
    <xf numFmtId="42" fontId="41" fillId="0" borderId="47" xfId="69" applyNumberFormat="1" applyFont="1" applyBorder="1" applyAlignment="1">
      <alignment horizontal="center"/>
    </xf>
    <xf numFmtId="41" fontId="41" fillId="0" borderId="45" xfId="31" applyFont="1" applyBorder="1" applyAlignment="1">
      <alignment horizontal="center"/>
    </xf>
    <xf numFmtId="41" fontId="41" fillId="0" borderId="47" xfId="31" applyFont="1" applyBorder="1" applyAlignment="1">
      <alignment horizontal="center"/>
    </xf>
    <xf numFmtId="41" fontId="41" fillId="0" borderId="58" xfId="31" applyFont="1" applyBorder="1" applyAlignment="1">
      <alignment horizontal="center"/>
    </xf>
    <xf numFmtId="0" fontId="35" fillId="0" borderId="43" xfId="53" applyFont="1" applyBorder="1" applyAlignment="1">
      <alignment horizontal="center" vertical="center" wrapText="1"/>
    </xf>
    <xf numFmtId="0" fontId="35" fillId="0" borderId="54" xfId="53" applyFont="1" applyBorder="1" applyAlignment="1">
      <alignment horizontal="center" vertical="center" wrapText="1"/>
    </xf>
    <xf numFmtId="0" fontId="35" fillId="0" borderId="38" xfId="53" applyFont="1" applyBorder="1" applyAlignment="1">
      <alignment horizontal="center" vertical="center" wrapText="1"/>
    </xf>
    <xf numFmtId="0" fontId="35" fillId="0" borderId="13" xfId="53" applyFont="1" applyBorder="1" applyAlignment="1">
      <alignment horizontal="center" vertical="center" wrapText="1"/>
    </xf>
    <xf numFmtId="0" fontId="31" fillId="0" borderId="39" xfId="0" applyFont="1" applyBorder="1" applyAlignment="1">
      <alignment horizontal="center" wrapText="1"/>
    </xf>
    <xf numFmtId="6" fontId="41" fillId="0" borderId="40" xfId="0" applyNumberFormat="1" applyFont="1" applyBorder="1" applyAlignment="1">
      <alignment horizontal="center" vertical="center" wrapText="1"/>
    </xf>
    <xf numFmtId="0" fontId="41" fillId="0" borderId="54" xfId="0" applyFont="1" applyBorder="1" applyAlignment="1">
      <alignment horizontal="center" vertical="center" wrapText="1"/>
    </xf>
    <xf numFmtId="0" fontId="31" fillId="0" borderId="59" xfId="0" applyFont="1" applyBorder="1" applyAlignment="1">
      <alignment horizontal="center" wrapText="1"/>
    </xf>
    <xf numFmtId="0" fontId="31" fillId="0" borderId="60" xfId="0" applyFont="1" applyBorder="1" applyAlignment="1">
      <alignment horizontal="center" wrapText="1"/>
    </xf>
    <xf numFmtId="0" fontId="41" fillId="0" borderId="38" xfId="0" applyFont="1" applyBorder="1" applyAlignment="1">
      <alignment horizontal="center" vertical="center" wrapText="1"/>
    </xf>
    <xf numFmtId="6" fontId="41" fillId="0" borderId="54" xfId="0" applyNumberFormat="1" applyFont="1" applyBorder="1" applyAlignment="1">
      <alignment horizontal="center" vertical="center" wrapText="1"/>
    </xf>
    <xf numFmtId="0" fontId="26" fillId="0" borderId="0" xfId="0" applyFont="1"/>
    <xf numFmtId="0" fontId="23" fillId="27" borderId="4" xfId="59">
      <alignment horizontal="left"/>
      <protection locked="0"/>
    </xf>
    <xf numFmtId="0" fontId="0" fillId="25" borderId="37" xfId="0" applyFill="1" applyBorder="1"/>
    <xf numFmtId="0" fontId="0" fillId="25" borderId="56" xfId="0" applyFill="1" applyBorder="1"/>
    <xf numFmtId="0" fontId="0" fillId="25" borderId="50" xfId="0" applyFill="1" applyBorder="1"/>
    <xf numFmtId="0" fontId="0" fillId="25" borderId="51" xfId="0" applyFill="1" applyBorder="1"/>
    <xf numFmtId="0" fontId="0" fillId="25" borderId="57" xfId="0" applyFill="1" applyBorder="1"/>
    <xf numFmtId="42" fontId="0" fillId="0" borderId="0" xfId="0" applyNumberFormat="1" applyAlignment="1">
      <alignment horizontal="center"/>
    </xf>
    <xf numFmtId="0" fontId="23" fillId="0" borderId="22" xfId="0" applyFont="1" applyBorder="1"/>
    <xf numFmtId="0" fontId="44" fillId="0" borderId="0" xfId="0" applyFont="1"/>
    <xf numFmtId="165" fontId="41" fillId="0" borderId="35" xfId="31" applyNumberFormat="1" applyFont="1" applyBorder="1" applyAlignment="1">
      <alignment horizontal="center"/>
    </xf>
    <xf numFmtId="165" fontId="41" fillId="0" borderId="36" xfId="31" applyNumberFormat="1" applyFont="1" applyBorder="1" applyAlignment="1">
      <alignment horizontal="center"/>
    </xf>
    <xf numFmtId="42" fontId="41" fillId="0" borderId="32" xfId="0" applyNumberFormat="1" applyFont="1" applyBorder="1"/>
    <xf numFmtId="9" fontId="43" fillId="0" borderId="35" xfId="69" applyFont="1" applyBorder="1" applyAlignment="1">
      <alignment horizontal="center"/>
    </xf>
    <xf numFmtId="37" fontId="41" fillId="0" borderId="32" xfId="31" applyNumberFormat="1" applyFont="1" applyBorder="1" applyAlignment="1">
      <alignment horizontal="center" vertical="center"/>
    </xf>
    <xf numFmtId="39" fontId="41" fillId="0" borderId="25" xfId="0" applyNumberFormat="1" applyFont="1" applyBorder="1" applyAlignment="1">
      <alignment horizontal="center"/>
    </xf>
    <xf numFmtId="42" fontId="41" fillId="0" borderId="25" xfId="0" applyNumberFormat="1" applyFont="1" applyBorder="1"/>
    <xf numFmtId="42" fontId="41" fillId="0" borderId="26" xfId="0" applyNumberFormat="1" applyFont="1" applyBorder="1"/>
    <xf numFmtId="0" fontId="31" fillId="0" borderId="33" xfId="0" applyFont="1" applyBorder="1" applyAlignment="1">
      <alignment horizontal="center" wrapText="1"/>
    </xf>
    <xf numFmtId="0" fontId="31" fillId="0" borderId="55" xfId="0" applyFont="1" applyBorder="1" applyAlignment="1">
      <alignment horizontal="center" wrapText="1"/>
    </xf>
    <xf numFmtId="0" fontId="31" fillId="0" borderId="36" xfId="0" applyFont="1" applyBorder="1" applyAlignment="1">
      <alignment horizontal="center" wrapText="1"/>
    </xf>
    <xf numFmtId="42" fontId="41" fillId="0" borderId="42" xfId="0" applyNumberFormat="1" applyFont="1" applyBorder="1"/>
    <xf numFmtId="0" fontId="31" fillId="0" borderId="41" xfId="0" applyFont="1" applyBorder="1" applyAlignment="1">
      <alignment horizontal="center" wrapText="1"/>
    </xf>
    <xf numFmtId="42" fontId="23" fillId="0" borderId="31" xfId="38" applyFont="1" applyFill="1" applyBorder="1" applyAlignment="1" applyProtection="1">
      <alignment horizontal="left"/>
      <protection locked="0"/>
    </xf>
    <xf numFmtId="42" fontId="23" fillId="0" borderId="52" xfId="38" applyFont="1" applyFill="1" applyBorder="1" applyAlignment="1" applyProtection="1">
      <alignment horizontal="left"/>
      <protection locked="0"/>
    </xf>
    <xf numFmtId="42" fontId="23" fillId="0" borderId="32" xfId="38" applyFont="1" applyFill="1" applyBorder="1" applyAlignment="1" applyProtection="1">
      <alignment horizontal="left"/>
      <protection locked="0"/>
    </xf>
    <xf numFmtId="42" fontId="23" fillId="0" borderId="35" xfId="38" applyFont="1" applyFill="1" applyBorder="1" applyAlignment="1" applyProtection="1">
      <alignment horizontal="left"/>
      <protection locked="0"/>
    </xf>
    <xf numFmtId="42" fontId="23" fillId="0" borderId="33" xfId="38" applyFont="1" applyFill="1" applyBorder="1" applyAlignment="1" applyProtection="1">
      <alignment horizontal="left"/>
      <protection locked="0"/>
    </xf>
    <xf numFmtId="42" fontId="23" fillId="0" borderId="36" xfId="38" applyFont="1" applyFill="1" applyBorder="1" applyAlignment="1" applyProtection="1">
      <alignment horizontal="left"/>
      <protection locked="0"/>
    </xf>
    <xf numFmtId="37" fontId="23" fillId="0" borderId="31" xfId="35" applyFill="1" applyBorder="1" applyProtection="1">
      <alignment horizontal="center"/>
      <protection locked="0"/>
    </xf>
    <xf numFmtId="37" fontId="23" fillId="0" borderId="52" xfId="35" applyFill="1" applyBorder="1" applyProtection="1">
      <alignment horizontal="center"/>
      <protection locked="0"/>
    </xf>
    <xf numFmtId="37" fontId="23" fillId="0" borderId="32" xfId="35" applyFill="1" applyBorder="1" applyProtection="1">
      <alignment horizontal="center"/>
      <protection locked="0"/>
    </xf>
    <xf numFmtId="37" fontId="23" fillId="0" borderId="35" xfId="35" applyFill="1" applyBorder="1" applyProtection="1">
      <alignment horizontal="center"/>
      <protection locked="0"/>
    </xf>
    <xf numFmtId="37" fontId="23" fillId="0" borderId="33" xfId="35" applyFill="1" applyBorder="1" applyProtection="1">
      <alignment horizontal="center"/>
      <protection locked="0"/>
    </xf>
    <xf numFmtId="37" fontId="23" fillId="0" borderId="36" xfId="35" applyFill="1" applyBorder="1" applyProtection="1">
      <alignment horizontal="center"/>
      <protection locked="0"/>
    </xf>
    <xf numFmtId="42" fontId="23" fillId="0" borderId="61" xfId="38" applyFont="1" applyFill="1" applyBorder="1" applyAlignment="1" applyProtection="1">
      <alignment horizontal="left"/>
      <protection locked="0"/>
    </xf>
    <xf numFmtId="42" fontId="23" fillId="0" borderId="62" xfId="38" applyFont="1" applyFill="1" applyBorder="1" applyAlignment="1" applyProtection="1">
      <alignment horizontal="left"/>
      <protection locked="0"/>
    </xf>
    <xf numFmtId="37" fontId="23" fillId="0" borderId="61" xfId="35" applyFill="1" applyBorder="1" applyProtection="1">
      <alignment horizontal="center"/>
      <protection locked="0"/>
    </xf>
    <xf numFmtId="37" fontId="23" fillId="0" borderId="62" xfId="35" applyFill="1" applyBorder="1" applyProtection="1">
      <alignment horizontal="center"/>
      <protection locked="0"/>
    </xf>
    <xf numFmtId="42" fontId="41" fillId="0" borderId="43" xfId="0" applyNumberFormat="1" applyFont="1" applyBorder="1"/>
    <xf numFmtId="42" fontId="41" fillId="0" borderId="45" xfId="0" applyNumberFormat="1" applyFont="1" applyBorder="1"/>
    <xf numFmtId="42" fontId="41" fillId="0" borderId="47" xfId="0" applyNumberFormat="1" applyFont="1" applyBorder="1"/>
    <xf numFmtId="42" fontId="41" fillId="0" borderId="23" xfId="0" applyNumberFormat="1" applyFont="1" applyBorder="1"/>
    <xf numFmtId="42" fontId="41" fillId="0" borderId="63" xfId="0" applyNumberFormat="1" applyFont="1" applyBorder="1"/>
    <xf numFmtId="9" fontId="43" fillId="0" borderId="52" xfId="69" applyFont="1" applyBorder="1" applyAlignment="1">
      <alignment horizontal="center"/>
    </xf>
    <xf numFmtId="37" fontId="41" fillId="0" borderId="31" xfId="31" applyNumberFormat="1" applyFont="1" applyBorder="1" applyAlignment="1">
      <alignment horizontal="center" vertical="center"/>
    </xf>
    <xf numFmtId="37" fontId="41" fillId="0" borderId="63" xfId="31" applyNumberFormat="1" applyFont="1" applyBorder="1" applyAlignment="1">
      <alignment horizontal="center" vertical="center"/>
    </xf>
    <xf numFmtId="39" fontId="41" fillId="0" borderId="44" xfId="0" applyNumberFormat="1" applyFont="1" applyBorder="1" applyAlignment="1">
      <alignment horizontal="center"/>
    </xf>
    <xf numFmtId="39" fontId="41" fillId="0" borderId="46" xfId="0" applyNumberFormat="1" applyFont="1" applyBorder="1" applyAlignment="1">
      <alignment horizontal="center"/>
    </xf>
    <xf numFmtId="0" fontId="31" fillId="0" borderId="15" xfId="0" applyFont="1" applyBorder="1" applyAlignment="1">
      <alignment horizontal="center" wrapText="1"/>
    </xf>
    <xf numFmtId="42" fontId="40" fillId="0" borderId="53" xfId="0" applyNumberFormat="1" applyFont="1" applyBorder="1"/>
    <xf numFmtId="42" fontId="40" fillId="0" borderId="16" xfId="0" applyNumberFormat="1" applyFont="1" applyBorder="1"/>
    <xf numFmtId="9" fontId="41" fillId="0" borderId="18" xfId="69" applyFont="1" applyBorder="1" applyAlignment="1">
      <alignment horizontal="center"/>
    </xf>
    <xf numFmtId="37" fontId="40" fillId="0" borderId="53" xfId="0" applyNumberFormat="1" applyFont="1" applyBorder="1"/>
    <xf numFmtId="37" fontId="40" fillId="0" borderId="16" xfId="0" applyNumberFormat="1" applyFont="1" applyBorder="1"/>
    <xf numFmtId="2" fontId="40" fillId="0" borderId="41" xfId="0" applyNumberFormat="1" applyFont="1" applyBorder="1" applyAlignment="1">
      <alignment horizontal="center"/>
    </xf>
    <xf numFmtId="0" fontId="45" fillId="0" borderId="0" xfId="0" applyFont="1" applyAlignment="1">
      <alignment horizontal="center"/>
    </xf>
    <xf numFmtId="0" fontId="23" fillId="0" borderId="0" xfId="0" applyFont="1" applyProtection="1">
      <protection locked="0"/>
    </xf>
    <xf numFmtId="0" fontId="31" fillId="0" borderId="58" xfId="0" applyFont="1" applyBorder="1" applyAlignment="1">
      <alignment horizontal="center" wrapText="1"/>
    </xf>
    <xf numFmtId="42" fontId="41" fillId="0" borderId="64" xfId="0" applyNumberFormat="1" applyFont="1" applyBorder="1"/>
    <xf numFmtId="42" fontId="41" fillId="0" borderId="26" xfId="0" applyNumberFormat="1" applyFont="1" applyBorder="1" applyAlignment="1">
      <alignment horizontal="left" indent="1"/>
    </xf>
    <xf numFmtId="37" fontId="0" fillId="0" borderId="0" xfId="0" applyNumberFormat="1"/>
    <xf numFmtId="10" fontId="23" fillId="0" borderId="0" xfId="0" applyNumberFormat="1" applyFont="1"/>
    <xf numFmtId="164" fontId="23" fillId="0" borderId="0" xfId="0" applyNumberFormat="1" applyFont="1" applyAlignment="1">
      <alignment horizontal="center"/>
    </xf>
    <xf numFmtId="0" fontId="23" fillId="0" borderId="0" xfId="0" applyFont="1" applyAlignment="1">
      <alignment horizontal="center"/>
    </xf>
    <xf numFmtId="170" fontId="23" fillId="0" borderId="0" xfId="0" applyNumberFormat="1" applyFont="1"/>
    <xf numFmtId="0" fontId="25" fillId="0" borderId="0" xfId="51" applyFill="1" applyAlignment="1">
      <alignment horizontal="center"/>
    </xf>
    <xf numFmtId="0" fontId="26" fillId="0" borderId="0" xfId="51" applyFont="1" applyFill="1" applyAlignment="1">
      <alignment horizontal="center"/>
    </xf>
    <xf numFmtId="0" fontId="48" fillId="0" borderId="0" xfId="51" applyFont="1">
      <alignment horizontal="left"/>
    </xf>
    <xf numFmtId="0" fontId="49" fillId="0" borderId="0" xfId="0" applyFont="1"/>
    <xf numFmtId="2" fontId="23" fillId="28" borderId="0" xfId="67" applyNumberFormat="1" applyFont="1" applyBorder="1" applyAlignment="1" applyProtection="1">
      <alignment horizontal="center"/>
      <protection locked="0"/>
    </xf>
    <xf numFmtId="2" fontId="23" fillId="28" borderId="17" xfId="67" applyNumberFormat="1" applyFont="1" applyBorder="1" applyAlignment="1" applyProtection="1">
      <alignment horizontal="center"/>
      <protection locked="0"/>
    </xf>
    <xf numFmtId="170" fontId="26" fillId="25" borderId="18" xfId="38" applyNumberFormat="1" applyFont="1" applyFill="1" applyBorder="1" applyAlignment="1" applyProtection="1">
      <alignment horizontal="left"/>
      <protection locked="0"/>
    </xf>
    <xf numFmtId="0" fontId="23" fillId="0" borderId="0" xfId="0" applyFont="1" applyAlignment="1">
      <alignment horizontal="left" indent="1"/>
    </xf>
    <xf numFmtId="0" fontId="26" fillId="0" borderId="12" xfId="0" applyFont="1" applyBorder="1" applyAlignment="1">
      <alignment horizontal="right"/>
    </xf>
    <xf numFmtId="42" fontId="23" fillId="0" borderId="12" xfId="0" applyNumberFormat="1" applyFont="1" applyBorder="1"/>
    <xf numFmtId="42" fontId="23" fillId="22" borderId="32" xfId="39" applyFont="1" applyFill="1" applyBorder="1" applyAlignment="1" applyProtection="1">
      <alignment horizontal="left"/>
      <protection locked="0"/>
    </xf>
    <xf numFmtId="42" fontId="23" fillId="0" borderId="0" xfId="39" applyFont="1" applyFill="1" applyBorder="1" applyAlignment="1" applyProtection="1">
      <alignment horizontal="left"/>
      <protection locked="0"/>
    </xf>
    <xf numFmtId="42" fontId="26" fillId="0" borderId="0" xfId="53" applyNumberFormat="1" applyAlignment="1">
      <alignment horizontal="center"/>
    </xf>
    <xf numFmtId="0" fontId="23" fillId="0" borderId="0" xfId="0" applyFont="1" applyAlignment="1" applyProtection="1">
      <alignment horizontal="right"/>
      <protection locked="0"/>
    </xf>
    <xf numFmtId="0" fontId="23" fillId="27" borderId="4" xfId="60">
      <alignment horizontal="left"/>
      <protection locked="0"/>
    </xf>
    <xf numFmtId="2" fontId="23" fillId="28" borderId="41" xfId="67" applyNumberFormat="1" applyFont="1" applyBorder="1" applyAlignment="1" applyProtection="1">
      <alignment horizontal="center"/>
      <protection locked="0"/>
    </xf>
    <xf numFmtId="42" fontId="0" fillId="0" borderId="0" xfId="0" applyNumberFormat="1"/>
    <xf numFmtId="0" fontId="50" fillId="0" borderId="0" xfId="0" applyFont="1"/>
    <xf numFmtId="172" fontId="41" fillId="0" borderId="32" xfId="69" applyNumberFormat="1" applyFont="1" applyBorder="1" applyAlignment="1">
      <alignment horizontal="center"/>
    </xf>
    <xf numFmtId="172" fontId="41" fillId="0" borderId="33" xfId="69" applyNumberFormat="1" applyFont="1" applyBorder="1" applyAlignment="1">
      <alignment horizontal="center"/>
    </xf>
    <xf numFmtId="172" fontId="41" fillId="0" borderId="58" xfId="69" applyNumberFormat="1" applyFont="1" applyBorder="1" applyAlignment="1">
      <alignment horizontal="center"/>
    </xf>
    <xf numFmtId="167" fontId="23" fillId="0" borderId="9" xfId="76" applyBorder="1"/>
    <xf numFmtId="0" fontId="24" fillId="0" borderId="0" xfId="77" applyFill="1">
      <alignment horizontal="left"/>
    </xf>
    <xf numFmtId="0" fontId="26" fillId="0" borderId="0" xfId="53" applyAlignment="1">
      <alignment horizontal="center" wrapText="1"/>
    </xf>
    <xf numFmtId="0" fontId="28" fillId="0" borderId="0" xfId="53" applyFont="1" applyAlignment="1">
      <alignment horizontal="center" wrapText="1"/>
    </xf>
    <xf numFmtId="0" fontId="29" fillId="0" borderId="0" xfId="53" applyFont="1" applyFill="1" applyAlignment="1">
      <alignment horizontal="right"/>
    </xf>
    <xf numFmtId="0" fontId="26" fillId="0" borderId="0" xfId="53" applyFill="1" applyAlignment="1">
      <alignment horizontal="right"/>
    </xf>
    <xf numFmtId="167" fontId="26" fillId="0" borderId="9" xfId="76" applyFont="1" applyBorder="1"/>
    <xf numFmtId="42" fontId="26" fillId="28" borderId="7" xfId="67" applyNumberFormat="1"/>
    <xf numFmtId="167" fontId="23" fillId="0" borderId="0" xfId="76"/>
    <xf numFmtId="0" fontId="23" fillId="0" borderId="0" xfId="53" applyFont="1">
      <alignment horizontal="left"/>
    </xf>
    <xf numFmtId="0" fontId="26" fillId="0" borderId="0" xfId="0" applyFont="1" applyAlignment="1">
      <alignment horizontal="left" indent="1"/>
    </xf>
    <xf numFmtId="0" fontId="24" fillId="0" borderId="4" xfId="78" applyFill="1">
      <alignment horizontal="left" vertical="top" wrapText="1"/>
    </xf>
    <xf numFmtId="37" fontId="23" fillId="27" borderId="4" xfId="79" applyProtection="1">
      <alignment horizontal="center"/>
      <protection locked="0"/>
    </xf>
    <xf numFmtId="0" fontId="25" fillId="0" borderId="0" xfId="51" applyAlignment="1">
      <alignment horizontal="right"/>
    </xf>
    <xf numFmtId="44" fontId="0" fillId="0" borderId="0" xfId="0" applyNumberFormat="1"/>
    <xf numFmtId="0" fontId="25" fillId="0" borderId="0" xfId="51" applyAlignment="1"/>
    <xf numFmtId="0" fontId="25" fillId="30" borderId="0" xfId="51" applyFill="1" applyAlignment="1">
      <alignment horizontal="right"/>
    </xf>
    <xf numFmtId="42" fontId="26" fillId="30" borderId="0" xfId="0" applyNumberFormat="1" applyFont="1" applyFill="1"/>
    <xf numFmtId="0" fontId="23" fillId="30" borderId="0" xfId="0" applyFont="1" applyFill="1"/>
    <xf numFmtId="37" fontId="26" fillId="30" borderId="0" xfId="0" applyNumberFormat="1" applyFont="1" applyFill="1" applyAlignment="1">
      <alignment horizontal="center"/>
    </xf>
    <xf numFmtId="0" fontId="38" fillId="0" borderId="0" xfId="51" applyFont="1">
      <alignment horizontal="left"/>
    </xf>
    <xf numFmtId="0" fontId="25" fillId="0" borderId="68" xfId="51" applyBorder="1" applyAlignment="1">
      <alignment horizontal="right"/>
    </xf>
    <xf numFmtId="37" fontId="26" fillId="0" borderId="68" xfId="0" applyNumberFormat="1" applyFont="1" applyBorder="1" applyAlignment="1">
      <alignment horizontal="center"/>
    </xf>
    <xf numFmtId="0" fontId="23" fillId="0" borderId="68" xfId="0" applyFont="1" applyBorder="1"/>
    <xf numFmtId="42" fontId="23" fillId="22" borderId="18" xfId="38" applyFont="1" applyFill="1" applyBorder="1" applyAlignment="1" applyProtection="1">
      <alignment horizontal="left"/>
      <protection locked="0"/>
    </xf>
    <xf numFmtId="0" fontId="24" fillId="0" borderId="0" xfId="77" applyFill="1" applyAlignment="1">
      <alignment horizontal="center"/>
    </xf>
    <xf numFmtId="0" fontId="36" fillId="0" borderId="0" xfId="0" applyFont="1" applyAlignment="1">
      <alignment horizontal="centerContinuous"/>
    </xf>
    <xf numFmtId="0" fontId="23" fillId="0" borderId="0" xfId="0" applyFont="1" applyAlignment="1">
      <alignment horizontal="centerContinuous"/>
    </xf>
    <xf numFmtId="0" fontId="25" fillId="0" borderId="0" xfId="51" applyFill="1">
      <alignment horizontal="left"/>
    </xf>
    <xf numFmtId="0" fontId="26" fillId="0" borderId="0" xfId="53" applyFill="1" applyAlignment="1">
      <alignment horizontal="center" wrapText="1"/>
    </xf>
    <xf numFmtId="0" fontId="23" fillId="0" borderId="0" xfId="53" applyFont="1" applyFill="1" applyAlignment="1">
      <alignment horizontal="center" wrapText="1"/>
    </xf>
    <xf numFmtId="10" fontId="35" fillId="0" borderId="0" xfId="69" applyNumberFormat="1" applyFont="1" applyFill="1" applyBorder="1" applyAlignment="1">
      <alignment horizontal="center"/>
    </xf>
    <xf numFmtId="37" fontId="23" fillId="0" borderId="0" xfId="79" applyFill="1" applyBorder="1" applyProtection="1">
      <alignment horizontal="center"/>
      <protection locked="0"/>
    </xf>
    <xf numFmtId="37" fontId="23" fillId="0" borderId="0" xfId="0" applyNumberFormat="1" applyFont="1"/>
    <xf numFmtId="42" fontId="23" fillId="0" borderId="26" xfId="39" applyFont="1" applyFill="1" applyBorder="1" applyAlignment="1" applyProtection="1">
      <alignment horizontal="left"/>
      <protection locked="0"/>
    </xf>
    <xf numFmtId="42" fontId="23" fillId="0" borderId="33" xfId="39" applyFont="1" applyFill="1" applyBorder="1" applyAlignment="1" applyProtection="1">
      <alignment horizontal="left"/>
      <protection locked="0"/>
    </xf>
    <xf numFmtId="42" fontId="23" fillId="0" borderId="58" xfId="39" applyFont="1" applyFill="1" applyBorder="1" applyAlignment="1" applyProtection="1">
      <alignment horizontal="left"/>
      <protection locked="0"/>
    </xf>
    <xf numFmtId="37" fontId="23" fillId="0" borderId="26" xfId="35" applyFill="1" applyBorder="1" applyProtection="1">
      <alignment horizontal="center"/>
      <protection locked="0"/>
    </xf>
    <xf numFmtId="0" fontId="0" fillId="0" borderId="11" xfId="0" applyBorder="1"/>
    <xf numFmtId="0" fontId="0" fillId="0" borderId="12" xfId="0" applyBorder="1"/>
    <xf numFmtId="0" fontId="0" fillId="0" borderId="13" xfId="0" applyBorder="1"/>
    <xf numFmtId="0" fontId="25" fillId="0" borderId="0" xfId="51" applyFill="1" applyAlignment="1">
      <alignment horizontal="centerContinuous"/>
    </xf>
    <xf numFmtId="0" fontId="26" fillId="0" borderId="0" xfId="53" applyFill="1" applyAlignment="1">
      <alignment horizontal="center"/>
    </xf>
    <xf numFmtId="0" fontId="26" fillId="0" borderId="0" xfId="53" applyFill="1" applyAlignment="1">
      <alignment horizontal="centerContinuous"/>
    </xf>
    <xf numFmtId="0" fontId="26" fillId="0" borderId="0" xfId="53" applyFill="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xf>
    <xf numFmtId="37" fontId="23" fillId="0" borderId="0" xfId="35" applyFill="1" applyBorder="1" applyProtection="1">
      <alignment horizontal="center"/>
      <protection locked="0"/>
    </xf>
    <xf numFmtId="169" fontId="23" fillId="0" borderId="0" xfId="36" applyFill="1" applyBorder="1" applyAlignment="1">
      <alignment horizontal="center"/>
    </xf>
    <xf numFmtId="165" fontId="35" fillId="0" borderId="0" xfId="69" applyNumberFormat="1" applyFont="1" applyFill="1" applyBorder="1" applyAlignment="1">
      <alignment horizontal="center"/>
    </xf>
    <xf numFmtId="42" fontId="23" fillId="0" borderId="0" xfId="38" applyFont="1" applyFill="1" applyBorder="1"/>
    <xf numFmtId="0" fontId="53" fillId="0" borderId="0" xfId="0" applyFont="1" applyAlignment="1">
      <alignment horizontal="left" vertical="center"/>
    </xf>
    <xf numFmtId="0" fontId="54" fillId="0" borderId="0" xfId="0" applyFont="1" applyAlignment="1">
      <alignment horizontal="left" vertical="center"/>
    </xf>
    <xf numFmtId="0" fontId="23" fillId="27" borderId="4" xfId="59" applyAlignment="1">
      <alignment horizontal="center"/>
      <protection locked="0"/>
    </xf>
    <xf numFmtId="0" fontId="20" fillId="0" borderId="0" xfId="77" applyFont="1" applyFill="1">
      <alignment horizontal="left"/>
    </xf>
    <xf numFmtId="0" fontId="23" fillId="0" borderId="0" xfId="0" applyFont="1" applyAlignment="1">
      <alignment horizontal="right"/>
    </xf>
    <xf numFmtId="0" fontId="59" fillId="0" borderId="0" xfId="0" applyFont="1" applyAlignment="1" applyProtection="1">
      <alignment horizontal="left"/>
      <protection hidden="1"/>
    </xf>
    <xf numFmtId="0" fontId="60" fillId="0" borderId="0" xfId="0" applyFont="1" applyProtection="1">
      <protection hidden="1"/>
    </xf>
    <xf numFmtId="0" fontId="41" fillId="0" borderId="0" xfId="0" applyFont="1"/>
    <xf numFmtId="0" fontId="30" fillId="0" borderId="0" xfId="0" applyFont="1" applyAlignment="1">
      <alignment horizontal="left" vertical="center"/>
    </xf>
    <xf numFmtId="0" fontId="61" fillId="0" borderId="0" xfId="0" quotePrefix="1" applyFont="1"/>
    <xf numFmtId="0" fontId="61" fillId="0" borderId="0" xfId="0" quotePrefix="1" applyFont="1" applyAlignment="1">
      <alignment horizontal="left"/>
    </xf>
    <xf numFmtId="0" fontId="61" fillId="0" borderId="0" xfId="0" quotePrefix="1" applyFont="1" applyAlignment="1">
      <alignment horizontal="right"/>
    </xf>
    <xf numFmtId="0" fontId="62" fillId="0" borderId="0" xfId="0" quotePrefix="1" applyFont="1" applyAlignment="1">
      <alignment horizontal="left" indent="1"/>
    </xf>
    <xf numFmtId="0" fontId="30" fillId="0" borderId="0" xfId="0" applyFont="1" applyAlignment="1">
      <alignment vertical="center"/>
    </xf>
    <xf numFmtId="167" fontId="23" fillId="0" borderId="0" xfId="76" quotePrefix="1"/>
    <xf numFmtId="0" fontId="26" fillId="28" borderId="7" xfId="68" applyAlignment="1">
      <alignment horizontal="center"/>
    </xf>
    <xf numFmtId="167" fontId="26" fillId="0" borderId="0" xfId="76" quotePrefix="1" applyFont="1"/>
    <xf numFmtId="0" fontId="30" fillId="0" borderId="11" xfId="0" applyFont="1" applyBorder="1"/>
    <xf numFmtId="0" fontId="30" fillId="0" borderId="12" xfId="0" applyFont="1" applyBorder="1"/>
    <xf numFmtId="0" fontId="23" fillId="0" borderId="70" xfId="0" applyFont="1" applyBorder="1"/>
    <xf numFmtId="0" fontId="26" fillId="0" borderId="0" xfId="0" applyFont="1" applyAlignment="1">
      <alignment horizontal="left"/>
    </xf>
    <xf numFmtId="0" fontId="65" fillId="0" borderId="0" xfId="0" applyFont="1" applyAlignment="1" applyProtection="1">
      <alignment horizontal="left" vertical="center"/>
      <protection hidden="1"/>
    </xf>
    <xf numFmtId="0" fontId="26" fillId="0" borderId="74" xfId="53" applyFill="1" applyBorder="1">
      <alignment horizontal="left"/>
    </xf>
    <xf numFmtId="0" fontId="24" fillId="0" borderId="39" xfId="77" applyFill="1" applyBorder="1" applyAlignment="1">
      <alignment horizontal="right"/>
    </xf>
    <xf numFmtId="0" fontId="24" fillId="0" borderId="40" xfId="77" applyFill="1" applyBorder="1" applyAlignment="1">
      <alignment horizontal="right"/>
    </xf>
    <xf numFmtId="0" fontId="23" fillId="27" borderId="74" xfId="59" applyBorder="1">
      <alignment horizontal="left"/>
      <protection locked="0"/>
    </xf>
    <xf numFmtId="0" fontId="23" fillId="27" borderId="40" xfId="59" applyBorder="1">
      <alignment horizontal="left"/>
      <protection locked="0"/>
    </xf>
    <xf numFmtId="0" fontId="26" fillId="0" borderId="32" xfId="53" applyBorder="1" applyAlignment="1">
      <alignment horizontal="center" vertical="center" wrapText="1"/>
    </xf>
    <xf numFmtId="0" fontId="26" fillId="0" borderId="35" xfId="53" applyBorder="1" applyAlignment="1">
      <alignment horizontal="center" vertical="center" wrapText="1"/>
    </xf>
    <xf numFmtId="42" fontId="23" fillId="27" borderId="35" xfId="39" applyFont="1" applyFill="1" applyBorder="1" applyAlignment="1" applyProtection="1">
      <alignment horizontal="left"/>
      <protection locked="0"/>
    </xf>
    <xf numFmtId="42" fontId="23" fillId="27" borderId="36" xfId="39" applyFont="1" applyFill="1" applyBorder="1" applyAlignment="1" applyProtection="1">
      <alignment horizontal="left"/>
      <protection locked="0"/>
    </xf>
    <xf numFmtId="42" fontId="26" fillId="0" borderId="10" xfId="0" applyNumberFormat="1" applyFont="1" applyBorder="1"/>
    <xf numFmtId="42" fontId="26" fillId="0" borderId="13" xfId="0" applyNumberFormat="1" applyFont="1" applyBorder="1"/>
    <xf numFmtId="42" fontId="23" fillId="27" borderId="32" xfId="39" applyFont="1" applyFill="1" applyBorder="1" applyAlignment="1" applyProtection="1">
      <alignment horizontal="left"/>
      <protection locked="0"/>
    </xf>
    <xf numFmtId="42" fontId="23" fillId="27" borderId="33" xfId="39" applyFont="1" applyFill="1" applyBorder="1" applyAlignment="1" applyProtection="1">
      <alignment horizontal="left"/>
      <protection locked="0"/>
    </xf>
    <xf numFmtId="0" fontId="25" fillId="0" borderId="9" xfId="52" applyBorder="1">
      <alignment horizontal="left"/>
    </xf>
    <xf numFmtId="0" fontId="23" fillId="0" borderId="0" xfId="0" applyFont="1" applyAlignment="1" applyProtection="1">
      <alignment horizontal="left"/>
      <protection hidden="1"/>
    </xf>
    <xf numFmtId="0" fontId="23" fillId="0" borderId="0" xfId="0" applyFont="1" applyAlignment="1" applyProtection="1">
      <alignment horizontal="left"/>
      <protection locked="0"/>
    </xf>
    <xf numFmtId="10" fontId="35" fillId="0" borderId="0" xfId="0" applyNumberFormat="1" applyFont="1" applyAlignment="1">
      <alignment horizontal="right"/>
    </xf>
    <xf numFmtId="0" fontId="25" fillId="0" borderId="0" xfId="0" applyFont="1" applyAlignment="1">
      <alignment horizontal="left" indent="4"/>
    </xf>
    <xf numFmtId="0" fontId="31" fillId="0" borderId="9" xfId="0" applyFont="1" applyBorder="1" applyAlignment="1">
      <alignment horizontal="center" wrapText="1"/>
    </xf>
    <xf numFmtId="6" fontId="41" fillId="0" borderId="11" xfId="0" applyNumberFormat="1" applyFont="1" applyBorder="1" applyAlignment="1">
      <alignment horizontal="center" vertical="center" wrapText="1"/>
    </xf>
    <xf numFmtId="0" fontId="41" fillId="0" borderId="40" xfId="0" applyFont="1" applyBorder="1" applyAlignment="1">
      <alignment vertical="center"/>
    </xf>
    <xf numFmtId="0" fontId="31" fillId="0" borderId="39" xfId="0" applyFont="1" applyBorder="1"/>
    <xf numFmtId="10" fontId="0" fillId="0" borderId="0" xfId="0" applyNumberFormat="1"/>
    <xf numFmtId="0" fontId="41" fillId="0" borderId="11" xfId="0" applyFont="1" applyBorder="1" applyAlignment="1">
      <alignment vertical="center"/>
    </xf>
    <xf numFmtId="0" fontId="43" fillId="0" borderId="40" xfId="0" applyFont="1" applyBorder="1" applyAlignment="1">
      <alignment horizontal="center" vertical="center"/>
    </xf>
    <xf numFmtId="0" fontId="43" fillId="0" borderId="54" xfId="0" applyFont="1" applyBorder="1" applyAlignment="1">
      <alignment horizontal="center" vertical="center"/>
    </xf>
    <xf numFmtId="0" fontId="43" fillId="0" borderId="38" xfId="0" applyFont="1" applyBorder="1" applyAlignment="1">
      <alignment horizontal="center" vertical="center"/>
    </xf>
    <xf numFmtId="10" fontId="41" fillId="0" borderId="35" xfId="31" applyNumberFormat="1" applyFont="1" applyBorder="1" applyAlignment="1">
      <alignment horizontal="center"/>
    </xf>
    <xf numFmtId="10" fontId="41" fillId="0" borderId="36" xfId="31" applyNumberFormat="1" applyFont="1" applyBorder="1" applyAlignment="1">
      <alignment horizontal="center"/>
    </xf>
    <xf numFmtId="6" fontId="43" fillId="0" borderId="54" xfId="0" applyNumberFormat="1" applyFont="1" applyBorder="1" applyAlignment="1">
      <alignment horizontal="center" vertical="center" wrapText="1"/>
    </xf>
    <xf numFmtId="167" fontId="23" fillId="0" borderId="0" xfId="76" applyAlignment="1">
      <alignment horizontal="center" vertical="center"/>
    </xf>
    <xf numFmtId="0" fontId="26" fillId="25" borderId="0" xfId="53" applyFill="1" applyAlignment="1">
      <alignment horizontal="center" wrapText="1"/>
    </xf>
    <xf numFmtId="0" fontId="26" fillId="25" borderId="0" xfId="53" applyFill="1" applyAlignment="1">
      <alignment horizontal="center" vertical="center" wrapText="1"/>
    </xf>
    <xf numFmtId="37" fontId="24" fillId="25" borderId="0" xfId="35" applyFont="1" applyFill="1" applyBorder="1" applyAlignment="1">
      <alignment horizontal="center" vertical="center"/>
    </xf>
    <xf numFmtId="0" fontId="26" fillId="25" borderId="0" xfId="53" applyFill="1" applyAlignment="1">
      <alignment horizontal="right" vertical="top"/>
    </xf>
    <xf numFmtId="37" fontId="33" fillId="25" borderId="0" xfId="35" applyFont="1" applyFill="1" applyBorder="1" applyAlignment="1">
      <alignment horizontal="center" vertical="center"/>
    </xf>
    <xf numFmtId="9" fontId="26"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6" fillId="25" borderId="0" xfId="53" applyFill="1" applyAlignment="1">
      <alignment horizontal="center" vertical="top"/>
    </xf>
    <xf numFmtId="168"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37" fontId="24" fillId="0" borderId="0" xfId="35" applyFont="1" applyFill="1" applyBorder="1" applyAlignment="1" applyProtection="1">
      <alignment horizontal="center" vertical="center"/>
      <protection locked="0"/>
    </xf>
    <xf numFmtId="0" fontId="24" fillId="0" borderId="0" xfId="77" quotePrefix="1" applyFill="1">
      <alignment horizontal="left"/>
    </xf>
    <xf numFmtId="0" fontId="0" fillId="0" borderId="0" xfId="0" applyAlignment="1">
      <alignment horizontal="center"/>
    </xf>
    <xf numFmtId="0" fontId="61" fillId="34" borderId="0" xfId="0" quotePrefix="1" applyFont="1" applyFill="1" applyAlignment="1">
      <alignment horizontal="left"/>
    </xf>
    <xf numFmtId="0" fontId="62" fillId="34" borderId="0" xfId="0" quotePrefix="1" applyFont="1" applyFill="1" applyAlignment="1">
      <alignment horizontal="left" indent="1"/>
    </xf>
    <xf numFmtId="0" fontId="61" fillId="34" borderId="0" xfId="0" quotePrefix="1" applyFont="1" applyFill="1"/>
    <xf numFmtId="0" fontId="67" fillId="0" borderId="0" xfId="0" applyFont="1"/>
    <xf numFmtId="167" fontId="23" fillId="0" borderId="9" xfId="76" quotePrefix="1" applyBorder="1"/>
    <xf numFmtId="167" fontId="26" fillId="0" borderId="9" xfId="76" quotePrefix="1" applyFont="1" applyBorder="1"/>
    <xf numFmtId="0" fontId="0" fillId="34" borderId="0" xfId="0" applyFill="1" applyAlignment="1">
      <alignment horizontal="center"/>
    </xf>
    <xf numFmtId="0" fontId="24" fillId="34" borderId="0" xfId="77" quotePrefix="1" applyFill="1">
      <alignment horizontal="left"/>
    </xf>
    <xf numFmtId="0" fontId="66" fillId="34" borderId="74" xfId="77" applyFont="1" applyFill="1" applyBorder="1" applyAlignment="1">
      <alignment horizontal="center"/>
    </xf>
    <xf numFmtId="0" fontId="66" fillId="0" borderId="74" xfId="77" applyFont="1" applyFill="1" applyBorder="1" applyAlignment="1">
      <alignment horizontal="center"/>
    </xf>
    <xf numFmtId="0" fontId="70" fillId="34" borderId="74" xfId="77" quotePrefix="1" applyFont="1" applyFill="1" applyBorder="1" applyAlignment="1">
      <alignment horizontal="center"/>
    </xf>
    <xf numFmtId="0" fontId="24" fillId="34" borderId="74" xfId="77" quotePrefix="1" applyFill="1" applyBorder="1" applyAlignment="1">
      <alignment horizontal="center" vertical="center"/>
    </xf>
    <xf numFmtId="0" fontId="69" fillId="34" borderId="74" xfId="77" quotePrefix="1" applyFont="1" applyFill="1" applyBorder="1" applyAlignment="1">
      <alignment horizontal="center"/>
    </xf>
    <xf numFmtId="0" fontId="0" fillId="0" borderId="75" xfId="0" applyBorder="1"/>
    <xf numFmtId="0" fontId="0" fillId="0" borderId="77" xfId="0" applyBorder="1"/>
    <xf numFmtId="0" fontId="69" fillId="0" borderId="74" xfId="77" quotePrefix="1" applyFont="1" applyFill="1" applyBorder="1" applyAlignment="1">
      <alignment horizontal="center"/>
    </xf>
    <xf numFmtId="0" fontId="24" fillId="0" borderId="39" xfId="77" applyFill="1" applyBorder="1" applyAlignment="1" applyProtection="1">
      <alignment horizontal="right"/>
      <protection locked="0"/>
    </xf>
    <xf numFmtId="0" fontId="24" fillId="0" borderId="40" xfId="77" applyFill="1" applyBorder="1" applyAlignment="1" applyProtection="1">
      <alignment horizontal="right"/>
      <protection locked="0"/>
    </xf>
    <xf numFmtId="0" fontId="26" fillId="0" borderId="74" xfId="53" applyFill="1" applyBorder="1" applyAlignment="1" applyProtection="1">
      <alignment horizontal="center"/>
      <protection locked="0"/>
    </xf>
    <xf numFmtId="37" fontId="23" fillId="27" borderId="32" xfId="79" applyBorder="1" applyProtection="1">
      <alignment horizontal="center"/>
      <protection locked="0"/>
    </xf>
    <xf numFmtId="37" fontId="23" fillId="27" borderId="33" xfId="79" applyBorder="1" applyProtection="1">
      <alignment horizontal="center"/>
      <protection locked="0"/>
    </xf>
    <xf numFmtId="37" fontId="26" fillId="28" borderId="7" xfId="68" applyNumberFormat="1" applyAlignment="1" applyProtection="1">
      <alignment horizontal="center"/>
    </xf>
    <xf numFmtId="42" fontId="23" fillId="0" borderId="0" xfId="39" applyFont="1" applyFill="1" applyBorder="1" applyAlignment="1" applyProtection="1">
      <alignment horizontal="left"/>
    </xf>
    <xf numFmtId="37" fontId="23" fillId="0" borderId="0" xfId="35" applyFill="1" applyBorder="1" applyProtection="1">
      <alignment horizontal="center"/>
    </xf>
    <xf numFmtId="166" fontId="23" fillId="27" borderId="4" xfId="59" applyNumberFormat="1">
      <alignment horizontal="left"/>
      <protection locked="0"/>
    </xf>
    <xf numFmtId="0" fontId="23" fillId="25" borderId="37" xfId="0" applyFont="1" applyFill="1" applyBorder="1" applyAlignment="1">
      <alignment horizontal="center" vertical="center" wrapText="1"/>
    </xf>
    <xf numFmtId="0" fontId="23" fillId="25" borderId="10" xfId="0" applyFont="1" applyFill="1" applyBorder="1" applyAlignment="1">
      <alignment horizontal="center" vertical="center" wrapText="1"/>
    </xf>
    <xf numFmtId="0" fontId="23" fillId="25" borderId="9" xfId="0" applyFont="1" applyFill="1" applyBorder="1" applyAlignment="1">
      <alignment horizontal="center" vertical="center" wrapText="1"/>
    </xf>
    <xf numFmtId="0" fontId="23" fillId="25" borderId="56" xfId="0" applyFont="1" applyFill="1" applyBorder="1" applyAlignment="1">
      <alignment horizontal="center" vertical="center" wrapText="1"/>
    </xf>
    <xf numFmtId="0" fontId="6" fillId="25" borderId="50" xfId="0" applyFont="1" applyFill="1" applyBorder="1"/>
    <xf numFmtId="0" fontId="6" fillId="25" borderId="57" xfId="0" applyFont="1" applyFill="1" applyBorder="1"/>
    <xf numFmtId="0" fontId="6" fillId="25" borderId="28" xfId="0" applyFont="1" applyFill="1" applyBorder="1"/>
    <xf numFmtId="0" fontId="6" fillId="25" borderId="72" xfId="0" applyFont="1" applyFill="1" applyBorder="1"/>
    <xf numFmtId="0" fontId="6" fillId="25" borderId="51" xfId="0" applyFont="1" applyFill="1" applyBorder="1"/>
    <xf numFmtId="0" fontId="6" fillId="0" borderId="9" xfId="0" applyFont="1" applyBorder="1"/>
    <xf numFmtId="0" fontId="6" fillId="0" borderId="10" xfId="0" applyFont="1" applyBorder="1"/>
    <xf numFmtId="0" fontId="6" fillId="0" borderId="0" xfId="0" applyFont="1" applyAlignment="1">
      <alignment wrapText="1"/>
    </xf>
    <xf numFmtId="0" fontId="6" fillId="0" borderId="0" xfId="0" applyFont="1"/>
    <xf numFmtId="0" fontId="6" fillId="0" borderId="0" xfId="0" applyFont="1" applyAlignment="1">
      <alignment horizontal="center"/>
    </xf>
    <xf numFmtId="0" fontId="6" fillId="0" borderId="0" xfId="51" applyFont="1">
      <alignment horizontal="left"/>
    </xf>
    <xf numFmtId="0" fontId="6" fillId="0" borderId="13" xfId="0" applyFont="1" applyBorder="1"/>
    <xf numFmtId="0" fontId="23" fillId="0" borderId="75" xfId="0" applyFont="1" applyBorder="1"/>
    <xf numFmtId="0" fontId="23" fillId="0" borderId="77" xfId="0" applyFont="1" applyBorder="1"/>
    <xf numFmtId="42" fontId="23" fillId="22" borderId="74" xfId="39" applyFont="1" applyFill="1" applyBorder="1" applyAlignment="1" applyProtection="1">
      <alignment horizontal="left"/>
      <protection locked="0"/>
    </xf>
    <xf numFmtId="42" fontId="23" fillId="22" borderId="74" xfId="38" applyFont="1" applyFill="1" applyBorder="1" applyAlignment="1" applyProtection="1">
      <alignment horizontal="left"/>
      <protection locked="0"/>
    </xf>
    <xf numFmtId="37" fontId="23" fillId="22" borderId="74" xfId="35" applyFill="1" applyBorder="1" applyProtection="1">
      <alignment horizontal="center"/>
      <protection locked="0"/>
    </xf>
    <xf numFmtId="173" fontId="23" fillId="27" borderId="74" xfId="59" applyNumberFormat="1" applyBorder="1" applyAlignment="1">
      <alignment horizontal="center"/>
      <protection locked="0"/>
    </xf>
    <xf numFmtId="0" fontId="25" fillId="0" borderId="74" xfId="51" applyFill="1" applyBorder="1">
      <alignment horizontal="left"/>
    </xf>
    <xf numFmtId="0" fontId="26" fillId="0" borderId="74" xfId="53" applyFill="1" applyBorder="1" applyAlignment="1">
      <alignment horizontal="left" vertical="top"/>
    </xf>
    <xf numFmtId="0" fontId="26" fillId="0" borderId="74" xfId="53" applyFill="1" applyBorder="1" applyAlignment="1">
      <alignment horizontal="left" vertical="top" wrapText="1"/>
    </xf>
    <xf numFmtId="0" fontId="31" fillId="0" borderId="74" xfId="0" applyFont="1" applyBorder="1"/>
    <xf numFmtId="0" fontId="31" fillId="0" borderId="74" xfId="0" applyFont="1" applyBorder="1" applyAlignment="1">
      <alignment horizontal="center" wrapText="1"/>
    </xf>
    <xf numFmtId="0" fontId="0" fillId="0" borderId="74" xfId="0" applyBorder="1"/>
    <xf numFmtId="42" fontId="0" fillId="0" borderId="74" xfId="0" applyNumberFormat="1" applyBorder="1"/>
    <xf numFmtId="42" fontId="0" fillId="25" borderId="74" xfId="0" applyNumberFormat="1" applyFill="1" applyBorder="1"/>
    <xf numFmtId="37" fontId="0" fillId="0" borderId="74" xfId="0" applyNumberFormat="1" applyBorder="1"/>
    <xf numFmtId="0" fontId="6" fillId="0" borderId="0" xfId="0" quotePrefix="1" applyFont="1" applyAlignment="1">
      <alignment horizontal="center"/>
    </xf>
    <xf numFmtId="169" fontId="0" fillId="0" borderId="74" xfId="0" applyNumberFormat="1" applyBorder="1"/>
    <xf numFmtId="171" fontId="0" fillId="0" borderId="74" xfId="0" applyNumberFormat="1" applyBorder="1"/>
    <xf numFmtId="0" fontId="31" fillId="0" borderId="74" xfId="0" applyFont="1" applyBorder="1" applyAlignment="1">
      <alignment horizontal="center"/>
    </xf>
    <xf numFmtId="0" fontId="0" fillId="0" borderId="74" xfId="0" applyBorder="1" applyAlignment="1">
      <alignment horizontal="center"/>
    </xf>
    <xf numFmtId="42" fontId="0" fillId="0" borderId="74" xfId="0" applyNumberFormat="1" applyBorder="1" applyAlignment="1">
      <alignment horizontal="center"/>
    </xf>
    <xf numFmtId="39" fontId="0" fillId="0" borderId="74" xfId="0" applyNumberFormat="1" applyBorder="1"/>
    <xf numFmtId="0" fontId="6" fillId="0" borderId="74" xfId="0" applyFont="1" applyBorder="1"/>
    <xf numFmtId="0" fontId="6" fillId="0" borderId="77" xfId="0" applyFont="1" applyBorder="1"/>
    <xf numFmtId="42" fontId="0" fillId="0" borderId="75" xfId="0" applyNumberFormat="1" applyBorder="1" applyAlignment="1">
      <alignment horizontal="center"/>
    </xf>
    <xf numFmtId="37" fontId="6" fillId="0" borderId="0" xfId="0" applyNumberFormat="1" applyFont="1"/>
    <xf numFmtId="37" fontId="6" fillId="0" borderId="33" xfId="31" applyNumberFormat="1" applyFont="1" applyBorder="1" applyAlignment="1">
      <alignment horizontal="center" vertical="center"/>
    </xf>
    <xf numFmtId="42" fontId="6" fillId="0" borderId="55" xfId="69" applyNumberFormat="1" applyFont="1" applyBorder="1" applyAlignment="1">
      <alignment horizontal="center" vertical="center"/>
    </xf>
    <xf numFmtId="10" fontId="6" fillId="0" borderId="33" xfId="69" applyNumberFormat="1" applyFont="1" applyBorder="1" applyAlignment="1">
      <alignment horizontal="center" vertical="center"/>
    </xf>
    <xf numFmtId="10" fontId="6" fillId="0" borderId="55" xfId="69" applyNumberFormat="1" applyFont="1" applyBorder="1" applyAlignment="1">
      <alignment horizontal="center" vertical="center"/>
    </xf>
    <xf numFmtId="9" fontId="6" fillId="0" borderId="36" xfId="69" applyFont="1" applyBorder="1" applyAlignment="1">
      <alignment horizontal="center" vertical="center"/>
    </xf>
    <xf numFmtId="0" fontId="6" fillId="25" borderId="30" xfId="0" applyFont="1" applyFill="1" applyBorder="1"/>
    <xf numFmtId="0" fontId="6" fillId="0" borderId="37" xfId="0" applyFont="1" applyBorder="1"/>
    <xf numFmtId="0" fontId="6" fillId="0" borderId="30" xfId="0" applyFont="1" applyBorder="1"/>
    <xf numFmtId="42" fontId="6" fillId="0" borderId="50" xfId="0" applyNumberFormat="1" applyFont="1" applyBorder="1" applyAlignment="1">
      <alignment horizontal="left" indent="2"/>
    </xf>
    <xf numFmtId="0" fontId="6" fillId="25" borderId="41" xfId="0" applyFont="1" applyFill="1" applyBorder="1"/>
    <xf numFmtId="0" fontId="6" fillId="0" borderId="57" xfId="0" applyFont="1" applyBorder="1"/>
    <xf numFmtId="0" fontId="6" fillId="0" borderId="0" xfId="0" applyFont="1" applyAlignment="1">
      <alignment vertical="center"/>
    </xf>
    <xf numFmtId="0" fontId="6" fillId="0" borderId="25" xfId="0" applyFont="1" applyBorder="1" applyAlignment="1">
      <alignment horizontal="center"/>
    </xf>
    <xf numFmtId="172" fontId="41" fillId="0" borderId="77" xfId="69" applyNumberFormat="1" applyFont="1" applyBorder="1" applyAlignment="1">
      <alignment horizontal="center"/>
    </xf>
    <xf numFmtId="41" fontId="41" fillId="0" borderId="77" xfId="31" applyFont="1" applyBorder="1" applyAlignment="1">
      <alignment horizontal="center"/>
    </xf>
    <xf numFmtId="0" fontId="31" fillId="25" borderId="74" xfId="0" applyFont="1" applyFill="1" applyBorder="1" applyAlignment="1">
      <alignment vertical="center"/>
    </xf>
    <xf numFmtId="0" fontId="31" fillId="25" borderId="74" xfId="0" applyFont="1" applyFill="1" applyBorder="1" applyAlignment="1">
      <alignment horizontal="center" wrapText="1"/>
    </xf>
    <xf numFmtId="42" fontId="41" fillId="0" borderId="74" xfId="0" applyNumberFormat="1" applyFont="1" applyBorder="1" applyAlignment="1">
      <alignment vertical="center"/>
    </xf>
    <xf numFmtId="9" fontId="43" fillId="0" borderId="74" xfId="69" applyFont="1" applyBorder="1" applyAlignment="1">
      <alignment horizontal="center" vertical="center"/>
    </xf>
    <xf numFmtId="37" fontId="41" fillId="0" borderId="74" xfId="31" applyNumberFormat="1" applyFont="1" applyBorder="1" applyAlignment="1">
      <alignment horizontal="center" vertical="center"/>
    </xf>
    <xf numFmtId="42" fontId="40" fillId="0" borderId="74" xfId="0" applyNumberFormat="1" applyFont="1" applyBorder="1" applyAlignment="1">
      <alignment vertical="center"/>
    </xf>
    <xf numFmtId="9" fontId="42" fillId="0" borderId="74" xfId="69" applyFont="1" applyBorder="1" applyAlignment="1">
      <alignment horizontal="center" vertical="center"/>
    </xf>
    <xf numFmtId="37" fontId="40" fillId="0" borderId="74" xfId="31" applyNumberFormat="1" applyFont="1" applyBorder="1" applyAlignment="1">
      <alignment horizontal="center" vertical="center"/>
    </xf>
    <xf numFmtId="42" fontId="41" fillId="0" borderId="77" xfId="0" applyNumberFormat="1" applyFont="1" applyBorder="1"/>
    <xf numFmtId="42" fontId="41" fillId="0" borderId="74" xfId="0" applyNumberFormat="1" applyFont="1" applyBorder="1"/>
    <xf numFmtId="0" fontId="41" fillId="0" borderId="74" xfId="0" applyFont="1" applyBorder="1"/>
    <xf numFmtId="169" fontId="41" fillId="0" borderId="74" xfId="31" applyNumberFormat="1" applyFont="1" applyBorder="1" applyAlignment="1">
      <alignment horizontal="center" vertical="center"/>
    </xf>
    <xf numFmtId="171" fontId="41" fillId="0" borderId="74" xfId="0" applyNumberFormat="1" applyFont="1" applyBorder="1"/>
    <xf numFmtId="42" fontId="23" fillId="0" borderId="75" xfId="38" applyFont="1" applyFill="1" applyBorder="1" applyAlignment="1" applyProtection="1">
      <alignment horizontal="left"/>
      <protection locked="0"/>
    </xf>
    <xf numFmtId="37" fontId="23" fillId="0" borderId="75" xfId="35" applyFill="1" applyBorder="1" applyProtection="1">
      <alignment horizontal="center"/>
      <protection locked="0"/>
    </xf>
    <xf numFmtId="42" fontId="23" fillId="0" borderId="74" xfId="38" applyFont="1" applyFill="1" applyBorder="1" applyAlignment="1" applyProtection="1">
      <alignment horizontal="left"/>
      <protection locked="0"/>
    </xf>
    <xf numFmtId="37" fontId="23" fillId="0" borderId="74" xfId="35" applyFill="1" applyBorder="1" applyProtection="1">
      <alignment horizontal="center"/>
      <protection locked="0"/>
    </xf>
    <xf numFmtId="0" fontId="6" fillId="34" borderId="0" xfId="0" applyFont="1" applyFill="1" applyAlignment="1">
      <alignment horizontal="center"/>
    </xf>
    <xf numFmtId="0" fontId="6" fillId="34" borderId="0" xfId="0" applyFont="1" applyFill="1"/>
    <xf numFmtId="0" fontId="6" fillId="0" borderId="0" xfId="0" applyFont="1" applyAlignment="1">
      <alignment horizontal="right"/>
    </xf>
    <xf numFmtId="0" fontId="6" fillId="0" borderId="74" xfId="0" applyFont="1" applyBorder="1" applyAlignment="1">
      <alignment horizontal="center" wrapText="1"/>
    </xf>
    <xf numFmtId="10" fontId="0" fillId="0" borderId="74" xfId="0" applyNumberFormat="1" applyBorder="1" applyAlignment="1">
      <alignment horizontal="center"/>
    </xf>
    <xf numFmtId="0" fontId="6" fillId="0" borderId="74" xfId="0" applyFont="1" applyBorder="1" applyAlignment="1">
      <alignment horizontal="center"/>
    </xf>
    <xf numFmtId="0" fontId="59" fillId="0" borderId="0" xfId="0" applyFont="1"/>
    <xf numFmtId="5" fontId="29" fillId="0" borderId="14" xfId="0" applyNumberFormat="1" applyFont="1" applyBorder="1" applyAlignment="1">
      <alignment horizontal="center"/>
    </xf>
    <xf numFmtId="44" fontId="23" fillId="22" borderId="32" xfId="39" applyNumberFormat="1" applyFont="1" applyFill="1" applyBorder="1" applyAlignment="1" applyProtection="1">
      <alignment horizontal="left"/>
      <protection locked="0"/>
    </xf>
    <xf numFmtId="0" fontId="23" fillId="0" borderId="0" xfId="86" applyNumberFormat="1" applyFont="1" applyAlignment="1">
      <alignment horizontal="right"/>
    </xf>
    <xf numFmtId="44" fontId="23" fillId="0" borderId="0" xfId="0" applyNumberFormat="1" applyFont="1"/>
    <xf numFmtId="44" fontId="23" fillId="22" borderId="53" xfId="38" applyNumberFormat="1" applyFont="1" applyFill="1" applyBorder="1" applyAlignment="1" applyProtection="1">
      <alignment horizontal="left"/>
      <protection locked="0"/>
    </xf>
    <xf numFmtId="44" fontId="23" fillId="22" borderId="32" xfId="4058" applyFont="1" applyFill="1" applyBorder="1" applyAlignment="1" applyProtection="1">
      <alignment horizontal="left"/>
      <protection locked="0"/>
    </xf>
    <xf numFmtId="0" fontId="26" fillId="25" borderId="40" xfId="53" applyFill="1" applyBorder="1" applyAlignment="1">
      <alignment horizontal="center" wrapText="1"/>
    </xf>
    <xf numFmtId="0" fontId="23" fillId="0" borderId="0" xfId="0" applyFont="1" applyAlignment="1" applyProtection="1">
      <alignment horizontal="center" vertical="center" wrapText="1"/>
      <protection locked="0"/>
    </xf>
    <xf numFmtId="0" fontId="23" fillId="0" borderId="0" xfId="0" applyFont="1" applyAlignment="1" applyProtection="1">
      <alignment horizontal="left" vertical="center" wrapText="1"/>
      <protection locked="0"/>
    </xf>
    <xf numFmtId="37" fontId="24" fillId="0" borderId="0" xfId="35" applyFont="1" applyFill="1" applyAlignment="1" applyProtection="1">
      <alignment horizontal="center" vertical="center"/>
      <protection locked="0"/>
    </xf>
    <xf numFmtId="0" fontId="179" fillId="0" borderId="0" xfId="0" applyFont="1"/>
    <xf numFmtId="0" fontId="2" fillId="0" borderId="0" xfId="7109"/>
    <xf numFmtId="0" fontId="2" fillId="0" borderId="0" xfId="7109" applyAlignment="1">
      <alignment wrapText="1"/>
    </xf>
    <xf numFmtId="0" fontId="181" fillId="114" borderId="150" xfId="7109" applyFont="1" applyFill="1" applyBorder="1" applyAlignment="1">
      <alignment horizontal="center" vertical="center" wrapText="1"/>
    </xf>
    <xf numFmtId="0" fontId="180" fillId="114" borderId="150" xfId="7109" applyFont="1" applyFill="1" applyBorder="1" applyAlignment="1">
      <alignment horizontal="center" vertical="center" wrapText="1"/>
    </xf>
    <xf numFmtId="44" fontId="0" fillId="0" borderId="0" xfId="7110" applyFont="1"/>
    <xf numFmtId="0" fontId="182" fillId="0" borderId="149" xfId="7109" applyFont="1" applyBorder="1" applyAlignment="1">
      <alignment horizontal="left" vertical="center" wrapText="1"/>
    </xf>
    <xf numFmtId="3" fontId="182" fillId="0" borderId="150" xfId="7109" applyNumberFormat="1" applyFont="1" applyBorder="1" applyAlignment="1">
      <alignment horizontal="center" vertical="center" wrapText="1"/>
    </xf>
    <xf numFmtId="0" fontId="182" fillId="0" borderId="150" xfId="7109" applyFont="1" applyBorder="1" applyAlignment="1">
      <alignment horizontal="center" vertical="center" wrapText="1"/>
    </xf>
    <xf numFmtId="10" fontId="2" fillId="0" borderId="0" xfId="7109" applyNumberFormat="1"/>
    <xf numFmtId="0" fontId="182" fillId="0" borderId="151" xfId="7109" applyFont="1" applyBorder="1" applyAlignment="1">
      <alignment horizontal="left" vertical="center" wrapText="1"/>
    </xf>
    <xf numFmtId="3" fontId="182" fillId="0" borderId="152" xfId="7109" applyNumberFormat="1" applyFont="1" applyBorder="1" applyAlignment="1">
      <alignment horizontal="center" vertical="center" wrapText="1"/>
    </xf>
    <xf numFmtId="0" fontId="182" fillId="0" borderId="153" xfId="7109" applyFont="1" applyBorder="1" applyAlignment="1">
      <alignment horizontal="left" vertical="center" wrapText="1"/>
    </xf>
    <xf numFmtId="3" fontId="182" fillId="0" borderId="154" xfId="7109" applyNumberFormat="1" applyFont="1" applyBorder="1" applyAlignment="1">
      <alignment horizontal="center" vertical="center" wrapText="1"/>
    </xf>
    <xf numFmtId="0" fontId="182" fillId="0" borderId="155" xfId="7109" applyFont="1" applyBorder="1" applyAlignment="1">
      <alignment horizontal="center" vertical="center" wrapText="1"/>
    </xf>
    <xf numFmtId="0" fontId="2" fillId="0" borderId="12" xfId="7109" applyBorder="1"/>
    <xf numFmtId="0" fontId="2" fillId="0" borderId="40" xfId="7109" applyBorder="1"/>
    <xf numFmtId="0" fontId="182" fillId="0" borderId="40" xfId="7109" applyFont="1" applyBorder="1" applyAlignment="1">
      <alignment horizontal="left" vertical="center" wrapText="1"/>
    </xf>
    <xf numFmtId="8" fontId="2" fillId="0" borderId="74" xfId="7109" applyNumberFormat="1" applyBorder="1"/>
    <xf numFmtId="0" fontId="2" fillId="0" borderId="74" xfId="7109" applyBorder="1"/>
    <xf numFmtId="44" fontId="2" fillId="0" borderId="74" xfId="7109" applyNumberFormat="1" applyBorder="1"/>
    <xf numFmtId="44" fontId="2" fillId="0" borderId="0" xfId="7109" applyNumberFormat="1"/>
    <xf numFmtId="0" fontId="182" fillId="0" borderId="74" xfId="7109" applyFont="1" applyBorder="1" applyAlignment="1">
      <alignment horizontal="left" vertical="center" wrapText="1"/>
    </xf>
    <xf numFmtId="37" fontId="24" fillId="25" borderId="0" xfId="35" applyFont="1" applyFill="1" applyAlignment="1">
      <alignment horizontal="center" vertical="center"/>
    </xf>
    <xf numFmtId="37" fontId="24" fillId="0" borderId="0" xfId="35" applyFont="1" applyAlignment="1" applyProtection="1">
      <alignment horizontal="center" vertical="center"/>
      <protection locked="0"/>
    </xf>
    <xf numFmtId="6" fontId="23" fillId="22" borderId="31" xfId="38" applyNumberFormat="1" applyFont="1" applyFill="1" applyBorder="1" applyAlignment="1" applyProtection="1">
      <alignment horizontal="left"/>
      <protection locked="0"/>
    </xf>
    <xf numFmtId="6" fontId="23" fillId="22" borderId="32" xfId="38" applyNumberFormat="1" applyFont="1" applyFill="1" applyBorder="1" applyAlignment="1" applyProtection="1">
      <alignment horizontal="left"/>
      <protection locked="0"/>
    </xf>
    <xf numFmtId="1" fontId="23" fillId="115" borderId="74" xfId="0" applyNumberFormat="1" applyFont="1" applyFill="1" applyBorder="1" applyAlignment="1">
      <alignment horizontal="center"/>
    </xf>
    <xf numFmtId="6" fontId="23" fillId="22" borderId="52" xfId="38" applyNumberFormat="1" applyFont="1" applyFill="1" applyBorder="1" applyAlignment="1" applyProtection="1">
      <alignment horizontal="left"/>
      <protection locked="0"/>
    </xf>
    <xf numFmtId="6" fontId="23" fillId="22" borderId="35" xfId="38" applyNumberFormat="1" applyFont="1" applyFill="1" applyBorder="1" applyAlignment="1" applyProtection="1">
      <alignment horizontal="left"/>
      <protection locked="0"/>
    </xf>
    <xf numFmtId="3" fontId="23" fillId="115" borderId="74" xfId="0" applyNumberFormat="1" applyFont="1" applyFill="1" applyBorder="1" applyAlignment="1">
      <alignment horizontal="center"/>
    </xf>
    <xf numFmtId="2" fontId="6" fillId="0" borderId="62" xfId="0" applyNumberFormat="1" applyFont="1" applyBorder="1" applyAlignment="1">
      <alignment horizontal="center" vertical="center"/>
    </xf>
    <xf numFmtId="2" fontId="6" fillId="0" borderId="36" xfId="0" applyNumberFormat="1" applyFont="1" applyBorder="1" applyAlignment="1">
      <alignment horizontal="center" vertical="center"/>
    </xf>
    <xf numFmtId="42" fontId="6" fillId="0" borderId="48" xfId="69" applyNumberFormat="1" applyFont="1" applyBorder="1" applyAlignment="1">
      <alignment horizontal="center" vertical="center"/>
    </xf>
    <xf numFmtId="42" fontId="6" fillId="0" borderId="36" xfId="69"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68" fontId="0" fillId="0" borderId="0" xfId="0" applyNumberForma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23" fillId="0" borderId="0" xfId="0" applyFont="1" applyAlignment="1">
      <alignment vertical="center"/>
    </xf>
    <xf numFmtId="37" fontId="23" fillId="0" borderId="0" xfId="35" applyBorder="1" applyAlignment="1">
      <alignment horizontal="center" vertical="center"/>
    </xf>
    <xf numFmtId="182" fontId="26" fillId="0" borderId="0" xfId="0" applyNumberFormat="1" applyFont="1"/>
    <xf numFmtId="182" fontId="23" fillId="0" borderId="0" xfId="0" applyNumberFormat="1" applyFont="1"/>
    <xf numFmtId="182" fontId="26" fillId="28" borderId="7" xfId="67" applyNumberFormat="1"/>
    <xf numFmtId="172" fontId="23" fillId="22" borderId="32" xfId="4058" applyNumberFormat="1" applyFont="1" applyFill="1" applyBorder="1" applyAlignment="1" applyProtection="1">
      <alignment horizontal="left"/>
      <protection locked="0"/>
    </xf>
    <xf numFmtId="172" fontId="23" fillId="22" borderId="53" xfId="38" applyNumberFormat="1" applyFont="1" applyFill="1" applyBorder="1" applyAlignment="1" applyProtection="1">
      <alignment horizontal="left"/>
      <protection locked="0"/>
    </xf>
    <xf numFmtId="42" fontId="23" fillId="27" borderId="35" xfId="2591" applyFont="1" applyFill="1" applyBorder="1" applyAlignment="1" applyProtection="1">
      <alignment horizontal="left"/>
      <protection locked="0"/>
    </xf>
    <xf numFmtId="42" fontId="23" fillId="27" borderId="32" xfId="2591" applyFont="1" applyFill="1" applyBorder="1" applyAlignment="1" applyProtection="1">
      <alignment horizontal="left"/>
      <protection locked="0"/>
    </xf>
    <xf numFmtId="10" fontId="26" fillId="0" borderId="0" xfId="69" applyNumberFormat="1" applyFont="1" applyBorder="1" applyAlignment="1">
      <alignment horizontal="center" vertical="top"/>
    </xf>
    <xf numFmtId="0" fontId="23" fillId="25" borderId="198" xfId="0" applyFont="1" applyFill="1" applyBorder="1" applyAlignment="1">
      <alignment horizontal="center" vertical="center" wrapText="1"/>
    </xf>
    <xf numFmtId="0" fontId="23" fillId="25" borderId="199" xfId="0" applyFont="1" applyFill="1" applyBorder="1" applyAlignment="1">
      <alignment horizontal="center" vertical="center" wrapText="1"/>
    </xf>
    <xf numFmtId="0" fontId="23" fillId="25" borderId="200" xfId="0" applyFont="1" applyFill="1" applyBorder="1" applyAlignment="1">
      <alignment horizontal="center" vertical="center" wrapText="1"/>
    </xf>
    <xf numFmtId="0" fontId="23" fillId="25" borderId="201" xfId="0" applyFont="1" applyFill="1" applyBorder="1" applyAlignment="1">
      <alignment horizontal="center" vertical="center" wrapText="1"/>
    </xf>
    <xf numFmtId="0" fontId="6" fillId="0" borderId="200" xfId="0" applyFont="1" applyBorder="1"/>
    <xf numFmtId="0" fontId="6" fillId="0" borderId="199" xfId="0" applyFont="1" applyBorder="1"/>
    <xf numFmtId="0" fontId="23" fillId="0" borderId="200" xfId="0" applyFont="1" applyBorder="1"/>
    <xf numFmtId="0" fontId="23" fillId="0" borderId="199" xfId="0" applyFont="1" applyBorder="1"/>
    <xf numFmtId="42" fontId="23" fillId="22" borderId="202" xfId="38" applyFont="1" applyFill="1" applyBorder="1" applyAlignment="1" applyProtection="1">
      <alignment horizontal="left"/>
      <protection locked="0"/>
    </xf>
    <xf numFmtId="42" fontId="26" fillId="0" borderId="203" xfId="0" applyNumberFormat="1" applyFont="1" applyBorder="1"/>
    <xf numFmtId="37" fontId="26" fillId="0" borderId="203" xfId="35" applyFont="1" applyBorder="1">
      <alignment horizontal="center"/>
    </xf>
    <xf numFmtId="42" fontId="23" fillId="0" borderId="202" xfId="38" applyFont="1" applyBorder="1"/>
    <xf numFmtId="0" fontId="26" fillId="0" borderId="204" xfId="53" applyBorder="1" applyAlignment="1">
      <alignment horizontal="center" wrapText="1"/>
    </xf>
    <xf numFmtId="0" fontId="26" fillId="0" borderId="202" xfId="53" applyBorder="1" applyAlignment="1">
      <alignment horizontal="center" wrapText="1"/>
    </xf>
    <xf numFmtId="0" fontId="26" fillId="0" borderId="205" xfId="53" applyBorder="1" applyAlignment="1">
      <alignment horizontal="center" wrapText="1"/>
    </xf>
    <xf numFmtId="37" fontId="26" fillId="0" borderId="203" xfId="0" applyNumberFormat="1" applyFont="1" applyBorder="1"/>
    <xf numFmtId="0" fontId="23" fillId="0" borderId="203" xfId="0" applyFont="1" applyBorder="1"/>
    <xf numFmtId="0" fontId="81" fillId="0" borderId="0" xfId="0" applyFont="1"/>
    <xf numFmtId="167" fontId="81" fillId="0" borderId="0" xfId="76" applyFont="1" applyAlignment="1">
      <alignment horizontal="center" vertical="center"/>
    </xf>
    <xf numFmtId="37" fontId="81" fillId="0" borderId="0" xfId="35" applyFont="1" applyBorder="1">
      <alignment horizontal="center"/>
    </xf>
    <xf numFmtId="168" fontId="81" fillId="0" borderId="0" xfId="0" applyNumberFormat="1" applyFont="1" applyAlignment="1" applyProtection="1">
      <alignment horizontal="center" vertical="center"/>
      <protection locked="0"/>
    </xf>
    <xf numFmtId="0" fontId="81" fillId="0" borderId="0" xfId="0" applyFont="1" applyAlignment="1" applyProtection="1">
      <alignment horizontal="center" vertical="center" wrapText="1"/>
      <protection locked="0"/>
    </xf>
    <xf numFmtId="0" fontId="81" fillId="0" borderId="0" xfId="0" applyFont="1" applyAlignment="1" applyProtection="1">
      <alignment horizontal="left" vertical="center" wrapText="1"/>
      <protection locked="0"/>
    </xf>
    <xf numFmtId="0" fontId="81" fillId="0" borderId="0" xfId="0" applyFont="1" applyAlignment="1">
      <alignment horizontal="center"/>
    </xf>
    <xf numFmtId="37" fontId="9" fillId="0" borderId="0" xfId="35" applyFont="1" applyFill="1" applyAlignment="1" applyProtection="1">
      <alignment horizontal="center" vertical="center"/>
      <protection locked="0"/>
    </xf>
    <xf numFmtId="37" fontId="9" fillId="25" borderId="0" xfId="35" applyFont="1" applyFill="1" applyAlignment="1" applyProtection="1">
      <alignment horizontal="center" vertical="center"/>
      <protection locked="0"/>
    </xf>
    <xf numFmtId="0" fontId="183" fillId="0" borderId="0" xfId="0" applyFont="1" applyAlignment="1">
      <alignment vertical="center" wrapText="1"/>
    </xf>
    <xf numFmtId="0" fontId="0" fillId="0" borderId="0" xfId="0" applyAlignment="1">
      <alignment horizontal="left" vertical="center" wrapText="1"/>
    </xf>
    <xf numFmtId="0" fontId="0" fillId="0" borderId="0" xfId="0" applyAlignment="1">
      <alignment vertical="center"/>
    </xf>
    <xf numFmtId="0" fontId="184" fillId="0" borderId="0" xfId="0" applyFont="1" applyAlignment="1" applyProtection="1">
      <alignment horizontal="left" vertical="center" wrapText="1"/>
      <protection locked="0"/>
    </xf>
    <xf numFmtId="0" fontId="30" fillId="0" borderId="0" xfId="0" applyFont="1" applyAlignment="1">
      <alignment horizontal="left"/>
    </xf>
    <xf numFmtId="0" fontId="26" fillId="0" borderId="0" xfId="0" applyFont="1" applyAlignment="1">
      <alignment horizontal="center"/>
    </xf>
    <xf numFmtId="0" fontId="26" fillId="0" borderId="202" xfId="53" applyBorder="1" applyAlignment="1">
      <alignment horizontal="center" vertical="center" wrapText="1"/>
    </xf>
    <xf numFmtId="0" fontId="23" fillId="27" borderId="75" xfId="59" applyBorder="1" applyAlignment="1">
      <alignment horizontal="left" wrapText="1"/>
      <protection locked="0"/>
    </xf>
    <xf numFmtId="0" fontId="23" fillId="27" borderId="77" xfId="59" applyBorder="1" applyAlignment="1">
      <alignment horizontal="left" wrapText="1"/>
      <protection locked="0"/>
    </xf>
    <xf numFmtId="0" fontId="23" fillId="27" borderId="77" xfId="59" applyBorder="1">
      <alignment horizontal="left"/>
      <protection locked="0"/>
    </xf>
    <xf numFmtId="0" fontId="26" fillId="0" borderId="74" xfId="53" applyFill="1" applyBorder="1" applyAlignment="1">
      <alignment horizontal="center"/>
    </xf>
    <xf numFmtId="0" fontId="25" fillId="0" borderId="0" xfId="51" applyAlignment="1">
      <alignment horizontal="center"/>
    </xf>
    <xf numFmtId="0" fontId="52" fillId="0" borderId="0" xfId="51" applyFont="1" applyAlignment="1">
      <alignment horizontal="center"/>
    </xf>
    <xf numFmtId="0" fontId="26" fillId="25" borderId="74" xfId="53" applyFill="1" applyBorder="1" applyAlignment="1">
      <alignment horizontal="center"/>
    </xf>
    <xf numFmtId="0" fontId="0" fillId="0" borderId="206" xfId="0" applyBorder="1"/>
    <xf numFmtId="0" fontId="23" fillId="25" borderId="206" xfId="0" applyFont="1" applyFill="1" applyBorder="1" applyAlignment="1">
      <alignment horizontal="center" vertical="center" wrapText="1"/>
    </xf>
    <xf numFmtId="0" fontId="6" fillId="0" borderId="206" xfId="0" applyFont="1" applyBorder="1"/>
    <xf numFmtId="0" fontId="23" fillId="27" borderId="112" xfId="59" applyBorder="1">
      <alignment horizontal="left"/>
      <protection locked="0"/>
    </xf>
    <xf numFmtId="0" fontId="23" fillId="32" borderId="112" xfId="59" applyFill="1" applyBorder="1">
      <alignment horizontal="left"/>
      <protection locked="0"/>
    </xf>
    <xf numFmtId="0" fontId="23" fillId="0" borderId="208" xfId="0" applyFont="1" applyBorder="1"/>
    <xf numFmtId="0" fontId="23" fillId="0" borderId="182" xfId="0" applyFont="1" applyBorder="1"/>
    <xf numFmtId="0" fontId="23" fillId="0" borderId="207" xfId="0" applyFont="1" applyBorder="1"/>
    <xf numFmtId="0" fontId="23" fillId="0" borderId="206" xfId="0" applyFont="1" applyBorder="1"/>
    <xf numFmtId="0" fontId="23" fillId="27" borderId="112" xfId="59" applyBorder="1" applyAlignment="1">
      <alignment horizontal="left" vertical="center"/>
      <protection locked="0"/>
    </xf>
    <xf numFmtId="0" fontId="71" fillId="27" borderId="112" xfId="85" applyFill="1" applyBorder="1" applyAlignment="1" applyProtection="1">
      <alignment horizontal="left"/>
      <protection locked="0"/>
    </xf>
    <xf numFmtId="0" fontId="58" fillId="27" borderId="208" xfId="59" applyFont="1" applyBorder="1" applyAlignment="1" applyProtection="1">
      <alignment horizontal="left" indent="1"/>
      <protection hidden="1"/>
    </xf>
    <xf numFmtId="0" fontId="23" fillId="27" borderId="207" xfId="59" applyBorder="1">
      <alignment horizontal="left"/>
      <protection locked="0"/>
    </xf>
    <xf numFmtId="0" fontId="23" fillId="0" borderId="112" xfId="0" applyFont="1" applyBorder="1" applyAlignment="1">
      <alignment horizontal="center" textRotation="90"/>
    </xf>
    <xf numFmtId="0" fontId="23" fillId="27" borderId="112" xfId="0" applyFont="1" applyFill="1" applyBorder="1" applyAlignment="1" applyProtection="1">
      <alignment horizontal="center" vertical="center"/>
      <protection locked="0"/>
    </xf>
    <xf numFmtId="42" fontId="23" fillId="22" borderId="112" xfId="39" applyFont="1" applyFill="1" applyBorder="1" applyAlignment="1" applyProtection="1">
      <alignment horizontal="left"/>
      <protection locked="0"/>
    </xf>
    <xf numFmtId="42" fontId="23" fillId="22" borderId="112" xfId="38" applyFont="1" applyFill="1" applyBorder="1" applyAlignment="1" applyProtection="1">
      <alignment horizontal="left"/>
      <protection locked="0"/>
    </xf>
    <xf numFmtId="167" fontId="23" fillId="0" borderId="112" xfId="76" applyBorder="1"/>
    <xf numFmtId="0" fontId="24" fillId="0" borderId="112" xfId="77" applyFill="1" applyBorder="1">
      <alignment horizontal="left"/>
    </xf>
    <xf numFmtId="42" fontId="23" fillId="22" borderId="112" xfId="39" applyFont="1" applyFill="1" applyBorder="1" applyAlignment="1" applyProtection="1">
      <alignment horizontal="left" vertical="center"/>
      <protection locked="0"/>
    </xf>
    <xf numFmtId="42" fontId="23" fillId="0" borderId="112" xfId="0" applyNumberFormat="1" applyFont="1" applyBorder="1" applyAlignment="1">
      <alignment vertical="center"/>
    </xf>
    <xf numFmtId="10" fontId="23" fillId="0" borderId="112" xfId="69" applyNumberFormat="1" applyFont="1" applyBorder="1" applyAlignment="1">
      <alignment horizontal="center" vertical="center"/>
    </xf>
    <xf numFmtId="42" fontId="23" fillId="22" borderId="112" xfId="38" applyFont="1" applyFill="1" applyBorder="1" applyAlignment="1" applyProtection="1">
      <alignment horizontal="left" vertical="center"/>
      <protection locked="0"/>
    </xf>
    <xf numFmtId="0" fontId="24" fillId="0" borderId="112" xfId="77" applyFill="1" applyBorder="1" applyAlignment="1">
      <alignment horizontal="left" indent="1"/>
    </xf>
    <xf numFmtId="0" fontId="34" fillId="27" borderId="112" xfId="59" applyFont="1" applyBorder="1" applyAlignment="1">
      <alignment horizontal="left" vertical="top" wrapText="1"/>
      <protection locked="0"/>
    </xf>
    <xf numFmtId="37" fontId="23" fillId="22" borderId="112" xfId="35" applyFill="1" applyBorder="1" applyProtection="1">
      <alignment horizontal="center"/>
      <protection locked="0"/>
    </xf>
    <xf numFmtId="182" fontId="23" fillId="22" borderId="112" xfId="2591" applyNumberFormat="1" applyFont="1" applyFill="1" applyBorder="1" applyAlignment="1" applyProtection="1">
      <alignment horizontal="left"/>
      <protection locked="0"/>
    </xf>
    <xf numFmtId="171" fontId="23" fillId="22" borderId="112" xfId="2591" applyNumberFormat="1" applyFont="1" applyFill="1" applyBorder="1" applyAlignment="1" applyProtection="1">
      <alignment horizontal="left"/>
      <protection locked="0"/>
    </xf>
    <xf numFmtId="182" fontId="23" fillId="22" borderId="112" xfId="2591" applyNumberFormat="1" applyFont="1" applyFill="1" applyBorder="1" applyAlignment="1" applyProtection="1">
      <alignment horizontal="left"/>
    </xf>
    <xf numFmtId="42" fontId="23" fillId="0" borderId="112" xfId="38" applyFont="1" applyBorder="1"/>
    <xf numFmtId="2" fontId="23" fillId="27" borderId="112" xfId="59" applyNumberFormat="1" applyBorder="1" applyAlignment="1">
      <alignment horizontal="center"/>
      <protection locked="0"/>
    </xf>
    <xf numFmtId="44" fontId="23" fillId="22" borderId="112" xfId="39" applyNumberFormat="1" applyFont="1" applyFill="1" applyBorder="1" applyAlignment="1" applyProtection="1">
      <alignment horizontal="left"/>
      <protection locked="0"/>
    </xf>
    <xf numFmtId="42" fontId="23" fillId="25" borderId="7" xfId="38" applyFont="1" applyFill="1" applyBorder="1"/>
    <xf numFmtId="42" fontId="23" fillId="25" borderId="7" xfId="38" applyFont="1" applyFill="1" applyBorder="1" applyAlignment="1">
      <alignment horizontal="center"/>
    </xf>
    <xf numFmtId="42" fontId="23" fillId="25" borderId="210" xfId="38" applyFont="1" applyFill="1" applyBorder="1"/>
    <xf numFmtId="2" fontId="23" fillId="28" borderId="211" xfId="67" applyNumberFormat="1" applyFont="1" applyBorder="1" applyAlignment="1" applyProtection="1">
      <alignment horizontal="center"/>
      <protection locked="0"/>
    </xf>
    <xf numFmtId="170" fontId="23" fillId="25" borderId="212" xfId="38" applyNumberFormat="1" applyFont="1" applyFill="1" applyBorder="1" applyAlignment="1" applyProtection="1">
      <alignment horizontal="left"/>
      <protection locked="0"/>
    </xf>
    <xf numFmtId="0" fontId="24" fillId="0" borderId="213" xfId="77" applyFill="1" applyBorder="1" applyAlignment="1">
      <alignment horizontal="right"/>
    </xf>
    <xf numFmtId="0" fontId="23" fillId="27" borderId="76" xfId="59" applyBorder="1" applyAlignment="1">
      <alignment horizontal="left" wrapText="1"/>
      <protection locked="0"/>
    </xf>
    <xf numFmtId="0" fontId="23" fillId="27" borderId="213" xfId="59" applyBorder="1">
      <alignment horizontal="left"/>
      <protection locked="0"/>
    </xf>
    <xf numFmtId="0" fontId="23" fillId="27" borderId="76" xfId="59" applyBorder="1">
      <alignment horizontal="left"/>
      <protection locked="0"/>
    </xf>
    <xf numFmtId="0" fontId="0" fillId="0" borderId="214" xfId="0" applyBorder="1"/>
    <xf numFmtId="0" fontId="0" fillId="0" borderId="215" xfId="0" applyBorder="1"/>
    <xf numFmtId="0" fontId="0" fillId="0" borderId="216" xfId="0" applyBorder="1"/>
    <xf numFmtId="42" fontId="26" fillId="0" borderId="216" xfId="0" applyNumberFormat="1" applyFont="1" applyBorder="1"/>
    <xf numFmtId="0" fontId="23" fillId="0" borderId="214" xfId="0" applyFont="1" applyBorder="1"/>
    <xf numFmtId="0" fontId="23" fillId="0" borderId="215" xfId="0" applyFont="1" applyBorder="1"/>
    <xf numFmtId="0" fontId="23" fillId="0" borderId="216" xfId="0" applyFont="1" applyBorder="1"/>
    <xf numFmtId="42" fontId="23" fillId="22" borderId="217" xfId="38" applyFont="1" applyFill="1" applyBorder="1" applyAlignment="1" applyProtection="1">
      <alignment horizontal="left"/>
      <protection locked="0"/>
    </xf>
    <xf numFmtId="2" fontId="23" fillId="27" borderId="212" xfId="59" applyNumberFormat="1" applyBorder="1" applyAlignment="1">
      <alignment horizontal="center"/>
      <protection locked="0"/>
    </xf>
    <xf numFmtId="0" fontId="23" fillId="0" borderId="76" xfId="0" applyFont="1" applyBorder="1"/>
    <xf numFmtId="37" fontId="23" fillId="22" borderId="213" xfId="35" applyFill="1" applyBorder="1" applyProtection="1">
      <alignment horizontal="center"/>
      <protection locked="0"/>
    </xf>
    <xf numFmtId="42" fontId="23" fillId="22" borderId="213" xfId="38" applyFont="1" applyFill="1" applyBorder="1" applyAlignment="1" applyProtection="1">
      <alignment horizontal="left"/>
      <protection locked="0"/>
    </xf>
    <xf numFmtId="0" fontId="26" fillId="25" borderId="217" xfId="53" applyFill="1" applyBorder="1" applyAlignment="1">
      <alignment horizontal="center"/>
    </xf>
    <xf numFmtId="0" fontId="26" fillId="25" borderId="212" xfId="53" applyFill="1" applyBorder="1" applyAlignment="1">
      <alignment horizontal="center"/>
    </xf>
    <xf numFmtId="42" fontId="23" fillId="22" borderId="212" xfId="38" applyFont="1" applyFill="1" applyBorder="1" applyAlignment="1" applyProtection="1">
      <alignment horizontal="left"/>
      <protection locked="0"/>
    </xf>
    <xf numFmtId="0" fontId="31" fillId="0" borderId="219" xfId="0" applyFont="1" applyBorder="1" applyAlignment="1">
      <alignment horizontal="center" wrapText="1"/>
    </xf>
    <xf numFmtId="0" fontId="31" fillId="0" borderId="220" xfId="0" applyFont="1" applyBorder="1" applyAlignment="1">
      <alignment horizontal="center" wrapText="1"/>
    </xf>
    <xf numFmtId="0" fontId="31" fillId="0" borderId="221" xfId="0" applyFont="1" applyBorder="1" applyAlignment="1">
      <alignment horizontal="center" wrapText="1"/>
    </xf>
    <xf numFmtId="0" fontId="31" fillId="0" borderId="222" xfId="0" applyFont="1" applyBorder="1" applyAlignment="1">
      <alignment horizontal="center" wrapText="1"/>
    </xf>
    <xf numFmtId="0" fontId="6" fillId="25" borderId="223" xfId="0" applyFont="1" applyFill="1" applyBorder="1"/>
    <xf numFmtId="0" fontId="40" fillId="25" borderId="224" xfId="0" applyFont="1" applyFill="1" applyBorder="1" applyAlignment="1">
      <alignment horizontal="center"/>
    </xf>
    <xf numFmtId="0" fontId="40" fillId="25" borderId="218" xfId="0" applyFont="1" applyFill="1" applyBorder="1" applyAlignment="1">
      <alignment horizontal="center"/>
    </xf>
    <xf numFmtId="0" fontId="6" fillId="0" borderId="224" xfId="0" applyFont="1" applyBorder="1"/>
    <xf numFmtId="0" fontId="6" fillId="0" borderId="223" xfId="0" applyFont="1" applyBorder="1"/>
    <xf numFmtId="0" fontId="31" fillId="25" borderId="223" xfId="0" applyFont="1" applyFill="1" applyBorder="1" applyAlignment="1">
      <alignment horizontal="center"/>
    </xf>
    <xf numFmtId="0" fontId="42" fillId="25" borderId="223" xfId="0" applyFont="1" applyFill="1" applyBorder="1" applyAlignment="1">
      <alignment horizontal="center"/>
    </xf>
    <xf numFmtId="0" fontId="42" fillId="25" borderId="218" xfId="0" applyFont="1" applyFill="1" applyBorder="1" applyAlignment="1">
      <alignment horizontal="center"/>
    </xf>
    <xf numFmtId="0" fontId="26" fillId="0" borderId="217" xfId="53" applyBorder="1" applyAlignment="1">
      <alignment horizontal="center" wrapText="1"/>
    </xf>
    <xf numFmtId="0" fontId="26" fillId="0" borderId="212" xfId="53" applyBorder="1" applyAlignment="1">
      <alignment horizontal="center" vertical="center" wrapText="1"/>
    </xf>
    <xf numFmtId="0" fontId="26" fillId="0" borderId="216" xfId="53" applyBorder="1" applyAlignment="1">
      <alignment horizontal="center" wrapText="1"/>
    </xf>
    <xf numFmtId="42" fontId="41" fillId="0" borderId="216" xfId="0" applyNumberFormat="1" applyFont="1" applyBorder="1"/>
    <xf numFmtId="42" fontId="41" fillId="0" borderId="213" xfId="0" applyNumberFormat="1" applyFont="1" applyBorder="1"/>
    <xf numFmtId="9" fontId="43" fillId="0" borderId="212" xfId="69" applyFont="1" applyBorder="1" applyAlignment="1">
      <alignment horizontal="center"/>
    </xf>
    <xf numFmtId="37" fontId="41" fillId="0" borderId="217" xfId="31" applyNumberFormat="1" applyFont="1" applyBorder="1" applyAlignment="1">
      <alignment horizontal="center" vertical="center"/>
    </xf>
    <xf numFmtId="37" fontId="41" fillId="0" borderId="213" xfId="31" applyNumberFormat="1" applyFont="1" applyBorder="1" applyAlignment="1">
      <alignment horizontal="center" vertical="center"/>
    </xf>
    <xf numFmtId="39" fontId="41" fillId="0" borderId="226" xfId="0" applyNumberFormat="1" applyFont="1" applyBorder="1" applyAlignment="1">
      <alignment horizontal="center"/>
    </xf>
    <xf numFmtId="0" fontId="31" fillId="0" borderId="217" xfId="0" applyFont="1" applyBorder="1" applyAlignment="1">
      <alignment horizontal="center" wrapText="1"/>
    </xf>
    <xf numFmtId="0" fontId="31" fillId="0" borderId="213" xfId="0" applyFont="1" applyBorder="1" applyAlignment="1">
      <alignment horizontal="center" wrapText="1"/>
    </xf>
    <xf numFmtId="0" fontId="31" fillId="0" borderId="212" xfId="0" applyFont="1" applyBorder="1" applyAlignment="1">
      <alignment horizontal="center" wrapText="1"/>
    </xf>
    <xf numFmtId="42" fontId="41" fillId="0" borderId="217" xfId="0" applyNumberFormat="1" applyFont="1" applyBorder="1"/>
    <xf numFmtId="39" fontId="41" fillId="0" borderId="227" xfId="0" applyNumberFormat="1" applyFont="1" applyBorder="1" applyAlignment="1">
      <alignment horizontal="center"/>
    </xf>
    <xf numFmtId="0" fontId="26" fillId="0" borderId="227" xfId="0" applyFont="1" applyBorder="1" applyAlignment="1">
      <alignment horizontal="center" vertical="center" wrapText="1"/>
    </xf>
    <xf numFmtId="0" fontId="26" fillId="0" borderId="217" xfId="53" applyBorder="1" applyAlignment="1">
      <alignment horizontal="center" vertical="center" wrapText="1"/>
    </xf>
    <xf numFmtId="0" fontId="26" fillId="0" borderId="227" xfId="53" applyBorder="1" applyAlignment="1">
      <alignment horizontal="center" vertical="center" wrapText="1"/>
    </xf>
    <xf numFmtId="0" fontId="26" fillId="0" borderId="225" xfId="53" applyBorder="1" applyAlignment="1">
      <alignment horizontal="center" vertical="center" wrapText="1"/>
    </xf>
    <xf numFmtId="0" fontId="34" fillId="0" borderId="212" xfId="0" applyFont="1" applyBorder="1" applyAlignment="1">
      <alignment horizontal="center" vertical="center" wrapText="1"/>
    </xf>
    <xf numFmtId="0" fontId="26" fillId="0" borderId="216" xfId="53" applyBorder="1" applyAlignment="1">
      <alignment horizontal="center" vertical="center" wrapText="1"/>
    </xf>
    <xf numFmtId="169" fontId="23" fillId="25" borderId="228" xfId="36" applyFill="1" applyBorder="1" applyAlignment="1">
      <alignment horizontal="center"/>
    </xf>
    <xf numFmtId="165" fontId="35" fillId="25" borderId="228" xfId="69" applyNumberFormat="1" applyFont="1" applyFill="1" applyBorder="1" applyAlignment="1">
      <alignment horizontal="center"/>
    </xf>
    <xf numFmtId="42" fontId="23" fillId="25" borderId="229" xfId="38" applyFont="1" applyFill="1" applyBorder="1"/>
    <xf numFmtId="0" fontId="0" fillId="0" borderId="76" xfId="0" applyBorder="1"/>
    <xf numFmtId="0" fontId="25" fillId="25" borderId="195" xfId="0" applyFont="1" applyFill="1" applyBorder="1" applyAlignment="1">
      <alignment horizontal="center"/>
    </xf>
    <xf numFmtId="0" fontId="25" fillId="25" borderId="196" xfId="0" applyFont="1" applyFill="1" applyBorder="1" applyAlignment="1">
      <alignment horizontal="center"/>
    </xf>
    <xf numFmtId="0" fontId="25" fillId="25" borderId="197" xfId="0" applyFont="1" applyFill="1" applyBorder="1" applyAlignment="1">
      <alignment horizontal="center"/>
    </xf>
    <xf numFmtId="0" fontId="23" fillId="25" borderId="208" xfId="0" applyFont="1" applyFill="1" applyBorder="1" applyAlignment="1">
      <alignment horizontal="center" vertical="center" wrapText="1"/>
    </xf>
    <xf numFmtId="0" fontId="23" fillId="25" borderId="182" xfId="0" applyFont="1" applyFill="1" applyBorder="1" applyAlignment="1">
      <alignment horizontal="center" vertical="center" wrapText="1"/>
    </xf>
    <xf numFmtId="0" fontId="23" fillId="25" borderId="209"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45" xfId="0" applyFont="1" applyFill="1" applyBorder="1" applyAlignment="1">
      <alignment horizontal="center" vertical="center" wrapText="1"/>
    </xf>
    <xf numFmtId="0" fontId="23" fillId="25" borderId="207" xfId="0" applyFont="1" applyFill="1" applyBorder="1" applyAlignment="1">
      <alignment horizontal="center" vertical="center" wrapText="1"/>
    </xf>
    <xf numFmtId="0" fontId="30" fillId="0" borderId="0" xfId="0" applyFont="1" applyAlignment="1">
      <alignment horizontal="left" wrapText="1"/>
    </xf>
    <xf numFmtId="0" fontId="20" fillId="31" borderId="0" xfId="12" applyFont="1" applyFill="1" applyBorder="1">
      <alignment horizontal="center" vertical="center"/>
    </xf>
    <xf numFmtId="0" fontId="30" fillId="0" borderId="0" xfId="0" quotePrefix="1" applyFont="1" applyAlignment="1">
      <alignment horizontal="left" vertical="center" wrapText="1"/>
    </xf>
    <xf numFmtId="0" fontId="30" fillId="0" borderId="10" xfId="0" quotePrefix="1" applyFont="1" applyBorder="1" applyAlignment="1">
      <alignment horizontal="left" vertical="center" wrapText="1"/>
    </xf>
    <xf numFmtId="0" fontId="30" fillId="0" borderId="0" xfId="0" applyFont="1" applyAlignment="1">
      <alignment horizontal="left" vertical="top" wrapText="1"/>
    </xf>
    <xf numFmtId="0" fontId="30" fillId="0" borderId="0" xfId="0" applyFont="1" applyAlignment="1">
      <alignment horizontal="left"/>
    </xf>
    <xf numFmtId="0" fontId="51" fillId="29" borderId="73" xfId="12" applyBorder="1">
      <alignment horizontal="center" vertical="center"/>
    </xf>
    <xf numFmtId="0" fontId="51" fillId="29" borderId="0" xfId="12" applyBorder="1">
      <alignment horizontal="center" vertical="center"/>
    </xf>
    <xf numFmtId="0" fontId="6" fillId="0" borderId="0" xfId="0" applyFont="1" applyAlignment="1">
      <alignment vertical="center" wrapText="1"/>
    </xf>
    <xf numFmtId="0" fontId="6" fillId="0" borderId="0" xfId="0" applyFont="1" applyAlignment="1">
      <alignment horizontal="left" vertical="center" wrapText="1"/>
    </xf>
    <xf numFmtId="5" fontId="23" fillId="22" borderId="208" xfId="39" applyNumberFormat="1" applyFont="1" applyFill="1" applyBorder="1" applyAlignment="1" applyProtection="1">
      <alignment horizontal="left"/>
      <protection locked="0"/>
    </xf>
    <xf numFmtId="5" fontId="23" fillId="22" borderId="182" xfId="39" applyNumberFormat="1" applyFont="1" applyFill="1" applyBorder="1" applyAlignment="1" applyProtection="1">
      <alignment horizontal="left"/>
      <protection locked="0"/>
    </xf>
    <xf numFmtId="5" fontId="23" fillId="22" borderId="207" xfId="39" applyNumberFormat="1" applyFont="1" applyFill="1" applyBorder="1" applyAlignment="1" applyProtection="1">
      <alignment horizontal="left"/>
      <protection locked="0"/>
    </xf>
    <xf numFmtId="37" fontId="23" fillId="27" borderId="208" xfId="79" applyBorder="1" applyAlignment="1" applyProtection="1">
      <alignment horizontal="left"/>
      <protection locked="0"/>
    </xf>
    <xf numFmtId="37" fontId="23" fillId="27" borderId="182" xfId="79" applyBorder="1" applyAlignment="1" applyProtection="1">
      <alignment horizontal="left"/>
      <protection locked="0"/>
    </xf>
    <xf numFmtId="37" fontId="23" fillId="27" borderId="207" xfId="79" applyBorder="1" applyAlignment="1" applyProtection="1">
      <alignment horizontal="left"/>
      <protection locked="0"/>
    </xf>
    <xf numFmtId="0" fontId="26" fillId="0" borderId="208" xfId="0" applyFont="1" applyBorder="1" applyAlignment="1">
      <alignment horizontal="center" vertical="center"/>
    </xf>
    <xf numFmtId="0" fontId="26" fillId="0" borderId="182" xfId="0" applyFont="1" applyBorder="1" applyAlignment="1">
      <alignment horizontal="center" vertical="center"/>
    </xf>
    <xf numFmtId="0" fontId="26" fillId="0" borderId="207" xfId="0" applyFont="1" applyBorder="1" applyAlignment="1">
      <alignment horizontal="center" vertical="center"/>
    </xf>
    <xf numFmtId="0" fontId="51" fillId="29" borderId="66" xfId="12">
      <alignment horizontal="center" vertical="center"/>
    </xf>
    <xf numFmtId="0" fontId="26" fillId="0" borderId="0" xfId="0" applyFont="1" applyAlignment="1">
      <alignment horizontal="center"/>
    </xf>
    <xf numFmtId="0" fontId="29" fillId="0" borderId="0" xfId="0" applyFont="1" applyAlignment="1">
      <alignment horizontal="center"/>
    </xf>
    <xf numFmtId="42" fontId="25" fillId="0" borderId="0" xfId="39" applyFont="1" applyFill="1" applyBorder="1" applyAlignment="1" applyProtection="1">
      <alignment horizontal="center"/>
      <protection locked="0"/>
    </xf>
    <xf numFmtId="0" fontId="23" fillId="27" borderId="200" xfId="59" applyBorder="1" applyAlignment="1">
      <alignment horizontal="left" vertical="top"/>
      <protection locked="0"/>
    </xf>
    <xf numFmtId="0" fontId="23" fillId="27" borderId="206" xfId="59" applyBorder="1" applyAlignment="1">
      <alignment horizontal="left" vertical="top"/>
      <protection locked="0"/>
    </xf>
    <xf numFmtId="0" fontId="23" fillId="27" borderId="199" xfId="59" applyBorder="1" applyAlignment="1">
      <alignment horizontal="left" vertical="top"/>
      <protection locked="0"/>
    </xf>
    <xf numFmtId="0" fontId="23" fillId="27" borderId="9" xfId="59" applyBorder="1" applyAlignment="1">
      <alignment horizontal="left" vertical="top"/>
      <protection locked="0"/>
    </xf>
    <xf numFmtId="0" fontId="23" fillId="27" borderId="0" xfId="59" applyBorder="1" applyAlignment="1">
      <alignment horizontal="left" vertical="top"/>
      <protection locked="0"/>
    </xf>
    <xf numFmtId="0" fontId="23" fillId="27" borderId="10" xfId="59" applyBorder="1" applyAlignment="1">
      <alignment horizontal="left" vertical="top"/>
      <protection locked="0"/>
    </xf>
    <xf numFmtId="0" fontId="23" fillId="27" borderId="11" xfId="59" applyBorder="1" applyAlignment="1">
      <alignment horizontal="left" vertical="top"/>
      <protection locked="0"/>
    </xf>
    <xf numFmtId="0" fontId="23" fillId="27" borderId="12" xfId="59" applyBorder="1" applyAlignment="1">
      <alignment horizontal="left" vertical="top"/>
      <protection locked="0"/>
    </xf>
    <xf numFmtId="0" fontId="23" fillId="27" borderId="13" xfId="59" applyBorder="1" applyAlignment="1">
      <alignment horizontal="left" vertical="top"/>
      <protection locked="0"/>
    </xf>
    <xf numFmtId="0" fontId="23" fillId="28" borderId="7" xfId="67" applyFont="1" applyAlignment="1">
      <alignment horizontal="center"/>
    </xf>
    <xf numFmtId="0" fontId="25" fillId="0" borderId="195" xfId="51" applyBorder="1" applyAlignment="1">
      <alignment horizontal="center" vertical="center"/>
    </xf>
    <xf numFmtId="0" fontId="25" fillId="0" borderId="196" xfId="51" applyBorder="1" applyAlignment="1">
      <alignment horizontal="center" vertical="center"/>
    </xf>
    <xf numFmtId="0" fontId="25" fillId="0" borderId="197" xfId="51" applyBorder="1" applyAlignment="1">
      <alignment horizontal="center" vertical="center"/>
    </xf>
    <xf numFmtId="0" fontId="26" fillId="0" borderId="202" xfId="53" applyBorder="1" applyAlignment="1">
      <alignment horizontal="center" vertical="center" wrapText="1"/>
    </xf>
    <xf numFmtId="0" fontId="26" fillId="0" borderId="40" xfId="53" applyBorder="1" applyAlignment="1">
      <alignment horizontal="center" vertical="center" wrapText="1"/>
    </xf>
    <xf numFmtId="0" fontId="23" fillId="27" borderId="75" xfId="59" applyBorder="1" applyAlignment="1">
      <alignment horizontal="left" wrapText="1"/>
      <protection locked="0"/>
    </xf>
    <xf numFmtId="0" fontId="23" fillId="27" borderId="76" xfId="59" applyBorder="1" applyAlignment="1">
      <alignment horizontal="left" wrapText="1"/>
      <protection locked="0"/>
    </xf>
    <xf numFmtId="0" fontId="23" fillId="27" borderId="77" xfId="59" applyBorder="1" applyAlignment="1">
      <alignment horizontal="left" wrapText="1"/>
      <protection locked="0"/>
    </xf>
    <xf numFmtId="0" fontId="23" fillId="27" borderId="75" xfId="59" applyBorder="1">
      <alignment horizontal="left"/>
      <protection locked="0"/>
    </xf>
    <xf numFmtId="0" fontId="23" fillId="27" borderId="76" xfId="59" applyBorder="1">
      <alignment horizontal="left"/>
      <protection locked="0"/>
    </xf>
    <xf numFmtId="0" fontId="23" fillId="27" borderId="77" xfId="59" applyBorder="1">
      <alignment horizontal="left"/>
      <protection locked="0"/>
    </xf>
    <xf numFmtId="3" fontId="23" fillId="27" borderId="75" xfId="59" applyNumberFormat="1" applyBorder="1">
      <alignment horizontal="left"/>
      <protection locked="0"/>
    </xf>
    <xf numFmtId="0" fontId="26" fillId="0" borderId="74" xfId="53" applyFill="1" applyBorder="1" applyAlignment="1">
      <alignment horizontal="center"/>
    </xf>
    <xf numFmtId="0" fontId="51" fillId="29" borderId="78" xfId="12" applyBorder="1">
      <alignment horizontal="center" vertical="center"/>
    </xf>
    <xf numFmtId="0" fontId="51" fillId="29" borderId="79" xfId="12" applyBorder="1">
      <alignment horizontal="center" vertical="center"/>
    </xf>
    <xf numFmtId="0" fontId="51" fillId="29" borderId="80" xfId="12" applyBorder="1">
      <alignment horizontal="center" vertical="center"/>
    </xf>
    <xf numFmtId="10" fontId="23" fillId="33" borderId="75" xfId="0" applyNumberFormat="1" applyFont="1" applyFill="1" applyBorder="1" applyAlignment="1">
      <alignment horizontal="center"/>
    </xf>
    <xf numFmtId="10" fontId="23" fillId="33" borderId="76" xfId="0" applyNumberFormat="1" applyFont="1" applyFill="1" applyBorder="1" applyAlignment="1">
      <alignment horizontal="center"/>
    </xf>
    <xf numFmtId="10" fontId="23" fillId="33" borderId="77" xfId="0" applyNumberFormat="1" applyFont="1" applyFill="1" applyBorder="1" applyAlignment="1">
      <alignment horizontal="center"/>
    </xf>
    <xf numFmtId="10" fontId="23" fillId="27" borderId="75" xfId="59" applyNumberFormat="1" applyBorder="1" applyAlignment="1">
      <alignment horizontal="left" wrapText="1"/>
      <protection locked="0"/>
    </xf>
    <xf numFmtId="0" fontId="26" fillId="0" borderId="74" xfId="54" applyBorder="1" applyAlignment="1">
      <alignment horizontal="center"/>
    </xf>
    <xf numFmtId="10" fontId="23" fillId="27" borderId="75" xfId="60" applyNumberFormat="1" applyBorder="1" applyAlignment="1">
      <alignment horizontal="center"/>
      <protection locked="0"/>
    </xf>
    <xf numFmtId="10" fontId="23" fillId="27" borderId="76" xfId="60" applyNumberFormat="1" applyBorder="1" applyAlignment="1">
      <alignment horizontal="center"/>
      <protection locked="0"/>
    </xf>
    <xf numFmtId="10" fontId="23" fillId="27" borderId="77" xfId="60" applyNumberFormat="1" applyBorder="1" applyAlignment="1">
      <alignment horizontal="center"/>
      <protection locked="0"/>
    </xf>
    <xf numFmtId="0" fontId="51" fillId="29" borderId="67" xfId="12" applyBorder="1">
      <alignment horizontal="center" vertical="center"/>
    </xf>
    <xf numFmtId="0" fontId="26" fillId="0" borderId="31" xfId="53" applyBorder="1" applyAlignment="1">
      <alignment horizontal="center"/>
    </xf>
    <xf numFmtId="0" fontId="26" fillId="0" borderId="52" xfId="53" applyBorder="1" applyAlignment="1">
      <alignment horizontal="center"/>
    </xf>
    <xf numFmtId="0" fontId="26" fillId="0" borderId="77" xfId="53" applyBorder="1" applyAlignment="1">
      <alignment horizontal="center" vertical="center" wrapText="1"/>
    </xf>
    <xf numFmtId="0" fontId="23" fillId="27" borderId="75" xfId="59" applyBorder="1" applyAlignment="1">
      <alignment horizontal="left" vertical="top" wrapText="1"/>
      <protection locked="0"/>
    </xf>
    <xf numFmtId="0" fontId="23" fillId="27" borderId="76" xfId="59" applyBorder="1" applyAlignment="1">
      <alignment horizontal="left" vertical="top" wrapText="1"/>
      <protection locked="0"/>
    </xf>
    <xf numFmtId="0" fontId="23" fillId="27" borderId="77" xfId="59" applyBorder="1" applyAlignment="1">
      <alignment horizontal="left" vertical="top" wrapText="1"/>
      <protection locked="0"/>
    </xf>
    <xf numFmtId="0" fontId="38" fillId="0" borderId="31" xfId="53" applyFont="1" applyBorder="1" applyAlignment="1">
      <alignment horizontal="center" vertical="top" wrapText="1"/>
    </xf>
    <xf numFmtId="0" fontId="38" fillId="0" borderId="52" xfId="53" applyFont="1" applyBorder="1" applyAlignment="1">
      <alignment horizontal="center" vertical="top" wrapText="1"/>
    </xf>
    <xf numFmtId="0" fontId="38" fillId="0" borderId="31" xfId="53" applyFont="1" applyBorder="1" applyAlignment="1">
      <alignment horizontal="center" wrapText="1"/>
    </xf>
    <xf numFmtId="0" fontId="38" fillId="0" borderId="52" xfId="53" applyFont="1" applyBorder="1" applyAlignment="1">
      <alignment horizontal="center"/>
    </xf>
    <xf numFmtId="0" fontId="25" fillId="0" borderId="0" xfId="51" applyAlignment="1">
      <alignment horizontal="center"/>
    </xf>
    <xf numFmtId="0" fontId="57" fillId="0" borderId="0" xfId="51" applyFont="1" applyAlignment="1">
      <alignment horizontal="left" vertical="center"/>
    </xf>
    <xf numFmtId="0" fontId="180" fillId="114" borderId="146" xfId="7109" applyFont="1" applyFill="1" applyBorder="1" applyAlignment="1">
      <alignment horizontal="left" vertical="center" wrapText="1"/>
    </xf>
    <xf numFmtId="0" fontId="180" fillId="114" borderId="149" xfId="7109" applyFont="1" applyFill="1" applyBorder="1" applyAlignment="1">
      <alignment horizontal="left" vertical="center" wrapText="1"/>
    </xf>
    <xf numFmtId="0" fontId="180" fillId="114" borderId="147" xfId="7109" applyFont="1" applyFill="1" applyBorder="1" applyAlignment="1">
      <alignment horizontal="center" vertical="center" wrapText="1"/>
    </xf>
    <xf numFmtId="0" fontId="180" fillId="114" borderId="148" xfId="7109" applyFont="1" applyFill="1" applyBorder="1" applyAlignment="1">
      <alignment horizontal="center" vertical="center" wrapText="1"/>
    </xf>
    <xf numFmtId="0" fontId="180" fillId="114" borderId="146" xfId="7109" applyFont="1" applyFill="1" applyBorder="1" applyAlignment="1">
      <alignment horizontal="center" vertical="center" wrapText="1"/>
    </xf>
    <xf numFmtId="0" fontId="180" fillId="114" borderId="149" xfId="7109" applyFont="1" applyFill="1" applyBorder="1" applyAlignment="1">
      <alignment horizontal="center" vertical="center" wrapText="1"/>
    </xf>
    <xf numFmtId="0" fontId="25" fillId="0" borderId="57" xfId="51" applyBorder="1" applyAlignment="1">
      <alignment horizontal="center"/>
    </xf>
    <xf numFmtId="0" fontId="26" fillId="25" borderId="27" xfId="51" applyFont="1" applyFill="1" applyBorder="1" applyAlignment="1">
      <alignment horizontal="center"/>
    </xf>
    <xf numFmtId="0" fontId="26" fillId="25" borderId="19" xfId="51" applyFont="1" applyFill="1" applyBorder="1" applyAlignment="1">
      <alignment horizontal="center"/>
    </xf>
    <xf numFmtId="0" fontId="23" fillId="0" borderId="75" xfId="51" applyFont="1" applyBorder="1" applyAlignment="1">
      <alignment horizontal="left" vertical="top" wrapText="1"/>
    </xf>
    <xf numFmtId="0" fontId="23" fillId="0" borderId="76" xfId="51" applyFont="1" applyBorder="1" applyAlignment="1">
      <alignment horizontal="left" vertical="top" wrapText="1"/>
    </xf>
    <xf numFmtId="0" fontId="23" fillId="0" borderId="77" xfId="51" applyFont="1" applyBorder="1" applyAlignment="1">
      <alignment horizontal="left" vertical="top" wrapText="1"/>
    </xf>
    <xf numFmtId="0" fontId="52" fillId="0" borderId="0" xfId="51" applyFont="1" applyAlignment="1">
      <alignment horizontal="center"/>
    </xf>
    <xf numFmtId="0" fontId="26" fillId="25" borderId="74" xfId="51" applyFont="1" applyFill="1" applyBorder="1" applyAlignment="1">
      <alignment horizontal="center"/>
    </xf>
    <xf numFmtId="0" fontId="26" fillId="25" borderId="74" xfId="53" applyFill="1" applyBorder="1" applyAlignment="1">
      <alignment horizontal="center"/>
    </xf>
    <xf numFmtId="0" fontId="6" fillId="0" borderId="75" xfId="0" applyFont="1"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68" fillId="35" borderId="0" xfId="77" applyFont="1" applyFill="1" applyAlignment="1">
      <alignment horizontal="center" vertical="center" wrapText="1"/>
    </xf>
    <xf numFmtId="0" fontId="39" fillId="25" borderId="15" xfId="0" applyFont="1" applyFill="1" applyBorder="1" applyAlignment="1">
      <alignment horizontal="center"/>
    </xf>
    <xf numFmtId="0" fontId="39" fillId="25" borderId="17" xfId="0" applyFont="1" applyFill="1" applyBorder="1" applyAlignment="1">
      <alignment horizontal="center"/>
    </xf>
    <xf numFmtId="0" fontId="39" fillId="25" borderId="65" xfId="0" applyFont="1" applyFill="1" applyBorder="1" applyAlignment="1">
      <alignment horizontal="center"/>
    </xf>
    <xf numFmtId="0" fontId="31" fillId="25" borderId="53" xfId="0" applyFont="1" applyFill="1" applyBorder="1" applyAlignment="1">
      <alignment horizontal="center" vertical="center"/>
    </xf>
    <xf numFmtId="0" fontId="31" fillId="25" borderId="18" xfId="0" applyFont="1" applyFill="1" applyBorder="1" applyAlignment="1">
      <alignment horizontal="center" vertical="center"/>
    </xf>
    <xf numFmtId="0" fontId="31" fillId="25" borderId="16" xfId="0" applyFont="1" applyFill="1" applyBorder="1" applyAlignment="1">
      <alignment horizontal="center" vertical="center"/>
    </xf>
    <xf numFmtId="0" fontId="31" fillId="25" borderId="81" xfId="0" applyFont="1" applyFill="1" applyBorder="1" applyAlignment="1">
      <alignment horizontal="center" vertical="center"/>
    </xf>
    <xf numFmtId="0" fontId="31" fillId="25" borderId="17" xfId="0"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203" xfId="0" applyFont="1" applyFill="1" applyBorder="1" applyAlignment="1">
      <alignment horizontal="center" vertical="center"/>
    </xf>
    <xf numFmtId="0" fontId="31" fillId="25" borderId="218" xfId="0" applyFont="1" applyFill="1" applyBorder="1" applyAlignment="1">
      <alignment horizontal="center" vertical="center"/>
    </xf>
    <xf numFmtId="0" fontId="31" fillId="25" borderId="15" xfId="0" applyFont="1" applyFill="1" applyBorder="1" applyAlignment="1">
      <alignment horizontal="center"/>
    </xf>
    <xf numFmtId="0" fontId="31" fillId="25" borderId="65" xfId="0" applyFont="1" applyFill="1" applyBorder="1" applyAlignment="1">
      <alignment horizontal="center"/>
    </xf>
    <xf numFmtId="0" fontId="40" fillId="25" borderId="223" xfId="0" applyFont="1" applyFill="1" applyBorder="1" applyAlignment="1">
      <alignment horizontal="center" vertical="center" wrapText="1"/>
    </xf>
    <xf numFmtId="0" fontId="40" fillId="25" borderId="30" xfId="0" applyFont="1" applyFill="1" applyBorder="1" applyAlignment="1">
      <alignment horizontal="center" vertical="center" wrapText="1"/>
    </xf>
    <xf numFmtId="0" fontId="40" fillId="25" borderId="24" xfId="0" applyFont="1" applyFill="1" applyBorder="1" applyAlignment="1">
      <alignment horizontal="center" vertical="center" wrapText="1"/>
    </xf>
    <xf numFmtId="0" fontId="31" fillId="25" borderId="17" xfId="0" applyFont="1" applyFill="1" applyBorder="1" applyAlignment="1">
      <alignment horizontal="center"/>
    </xf>
    <xf numFmtId="0" fontId="31" fillId="25" borderId="219" xfId="0" applyFont="1" applyFill="1" applyBorder="1" applyAlignment="1">
      <alignment horizontal="center"/>
    </xf>
    <xf numFmtId="0" fontId="31" fillId="25" borderId="220" xfId="0" applyFont="1" applyFill="1" applyBorder="1" applyAlignment="1">
      <alignment horizontal="center"/>
    </xf>
    <xf numFmtId="0" fontId="31" fillId="25" borderId="222" xfId="0" applyFont="1" applyFill="1" applyBorder="1" applyAlignment="1">
      <alignment horizontal="center"/>
    </xf>
    <xf numFmtId="0" fontId="31" fillId="25" borderId="23" xfId="0" applyFont="1" applyFill="1" applyBorder="1" applyAlignment="1">
      <alignment horizontal="center" vertical="center" wrapText="1"/>
    </xf>
    <xf numFmtId="0" fontId="31" fillId="25" borderId="25" xfId="0" applyFont="1" applyFill="1" applyBorder="1" applyAlignment="1">
      <alignment horizontal="center" vertical="center" wrapText="1"/>
    </xf>
    <xf numFmtId="0" fontId="26" fillId="0" borderId="27" xfId="53" applyBorder="1" applyAlignment="1">
      <alignment horizontal="center" wrapText="1"/>
    </xf>
    <xf numFmtId="0" fontId="26" fillId="0" borderId="225" xfId="53" applyBorder="1" applyAlignment="1">
      <alignment horizontal="center" wrapText="1"/>
    </xf>
    <xf numFmtId="0" fontId="40" fillId="0" borderId="31" xfId="0" applyFont="1" applyBorder="1" applyAlignment="1">
      <alignment horizontal="center"/>
    </xf>
    <xf numFmtId="0" fontId="40" fillId="0" borderId="52" xfId="0" applyFont="1" applyBorder="1" applyAlignment="1">
      <alignment horizontal="center"/>
    </xf>
    <xf numFmtId="0" fontId="40" fillId="0" borderId="64" xfId="0" applyFont="1" applyBorder="1" applyAlignment="1">
      <alignment horizontal="center"/>
    </xf>
    <xf numFmtId="0" fontId="23" fillId="27" borderId="15" xfId="59" applyBorder="1">
      <alignment horizontal="left"/>
      <protection locked="0"/>
    </xf>
    <xf numFmtId="0" fontId="23" fillId="27" borderId="17" xfId="59" applyBorder="1">
      <alignment horizontal="left"/>
      <protection locked="0"/>
    </xf>
    <xf numFmtId="0" fontId="23" fillId="27" borderId="65" xfId="59" applyBorder="1">
      <alignment horizontal="left"/>
      <protection locked="0"/>
    </xf>
    <xf numFmtId="0" fontId="31" fillId="25" borderId="74" xfId="0" applyFont="1" applyFill="1" applyBorder="1" applyAlignment="1">
      <alignment horizontal="center" vertical="center"/>
    </xf>
    <xf numFmtId="0" fontId="31" fillId="25" borderId="75" xfId="0" applyFont="1" applyFill="1" applyBorder="1" applyAlignment="1">
      <alignment horizontal="center" vertical="center"/>
    </xf>
    <xf numFmtId="0" fontId="31" fillId="25" borderId="76" xfId="0" applyFont="1" applyFill="1" applyBorder="1" applyAlignment="1">
      <alignment horizontal="center" vertical="center"/>
    </xf>
    <xf numFmtId="0" fontId="31" fillId="25" borderId="77" xfId="0" applyFont="1" applyFill="1" applyBorder="1" applyAlignment="1">
      <alignment horizontal="center" vertical="center"/>
    </xf>
    <xf numFmtId="0" fontId="39" fillId="0" borderId="0" xfId="0" applyFont="1" applyAlignment="1">
      <alignment horizontal="center"/>
    </xf>
    <xf numFmtId="0" fontId="31" fillId="0" borderId="23"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31" xfId="0" applyFont="1" applyBorder="1" applyAlignment="1">
      <alignment horizontal="center" vertical="center"/>
    </xf>
    <xf numFmtId="0" fontId="31" fillId="0" borderId="63" xfId="0" applyFont="1" applyBorder="1" applyAlignment="1">
      <alignment horizontal="center" vertical="center"/>
    </xf>
    <xf numFmtId="0" fontId="31" fillId="0" borderId="52" xfId="0" applyFont="1" applyBorder="1" applyAlignment="1">
      <alignment horizontal="center" vertical="center"/>
    </xf>
    <xf numFmtId="0" fontId="31" fillId="0" borderId="227" xfId="0" applyFont="1" applyBorder="1" applyAlignment="1">
      <alignment horizontal="center" vertical="center" wrapText="1"/>
    </xf>
    <xf numFmtId="0" fontId="29" fillId="0" borderId="15" xfId="0" applyFont="1" applyBorder="1" applyAlignment="1">
      <alignment horizontal="center"/>
    </xf>
    <xf numFmtId="0" fontId="29" fillId="0" borderId="17" xfId="0" applyFont="1" applyBorder="1" applyAlignment="1">
      <alignment horizontal="center"/>
    </xf>
    <xf numFmtId="0" fontId="29" fillId="0" borderId="65" xfId="0" applyFont="1" applyBorder="1" applyAlignment="1">
      <alignment horizontal="center"/>
    </xf>
    <xf numFmtId="0" fontId="26" fillId="0" borderId="53" xfId="0" applyFont="1" applyBorder="1" applyAlignment="1">
      <alignment horizontal="center"/>
    </xf>
    <xf numFmtId="0" fontId="26" fillId="0" borderId="16" xfId="0" applyFont="1" applyBorder="1" applyAlignment="1">
      <alignment horizontal="center"/>
    </xf>
    <xf numFmtId="0" fontId="26" fillId="0" borderId="18" xfId="0" applyFont="1" applyBorder="1" applyAlignment="1">
      <alignment horizontal="center"/>
    </xf>
    <xf numFmtId="0" fontId="51" fillId="29" borderId="69" xfId="12" applyBorder="1">
      <alignment horizontal="center" vertical="center"/>
    </xf>
    <xf numFmtId="0" fontId="51" fillId="29" borderId="70" xfId="12" applyBorder="1">
      <alignment horizontal="center" vertical="center"/>
    </xf>
    <xf numFmtId="0" fontId="51" fillId="29" borderId="71" xfId="12" applyBorder="1">
      <alignment horizontal="center" vertical="center"/>
    </xf>
    <xf numFmtId="0" fontId="39" fillId="0" borderId="214" xfId="0" applyFont="1" applyBorder="1" applyAlignment="1">
      <alignment horizontal="center"/>
    </xf>
    <xf numFmtId="0" fontId="39" fillId="0" borderId="215" xfId="0" applyFont="1" applyBorder="1" applyAlignment="1">
      <alignment horizontal="center"/>
    </xf>
    <xf numFmtId="0" fontId="39" fillId="0" borderId="216" xfId="0" applyFont="1" applyBorder="1" applyAlignment="1">
      <alignment horizontal="center"/>
    </xf>
    <xf numFmtId="0" fontId="31" fillId="0" borderId="74" xfId="0" applyFont="1" applyBorder="1" applyAlignment="1">
      <alignment horizontal="center" vertical="center"/>
    </xf>
  </cellXfs>
  <cellStyles count="14600">
    <cellStyle name="20% - Accent1" xfId="1" builtinId="30" hidden="1" customBuiltin="1"/>
    <cellStyle name="20% - Accent1" xfId="77" builtinId="30"/>
    <cellStyle name="20% - Accent1 10" xfId="407" xr:uid="{E537F87A-7DA9-4E0A-8F84-CDD0175DB301}"/>
    <cellStyle name="20% - Accent1 10 2" xfId="408" xr:uid="{71702623-66D4-4A26-80CB-C4F46702F696}"/>
    <cellStyle name="20% - Accent1 10 2 2" xfId="4215" xr:uid="{52AA59E7-3C4D-45EC-AC3F-5C627C2177B2}"/>
    <cellStyle name="20% - Accent1 10 2 2 2" xfId="9661" xr:uid="{4C3B5D17-ADC2-4A27-8600-89B054ED16EA}"/>
    <cellStyle name="20% - Accent1 10 2 3" xfId="7284" xr:uid="{D44D7E01-B4DF-4D44-8B0D-39FEC6DA0D3F}"/>
    <cellStyle name="20% - Accent1 10 3" xfId="4214" xr:uid="{AB7E6AD5-11F0-4F14-8F0C-184ADC2E27BB}"/>
    <cellStyle name="20% - Accent1 10 3 2" xfId="9660" xr:uid="{7B5EC68E-CB6F-4688-87F2-6AD0AB577A2B}"/>
    <cellStyle name="20% - Accent1 10 4" xfId="7283" xr:uid="{54C33646-8665-42D8-A196-3EAE1801ED18}"/>
    <cellStyle name="20% - Accent1 11" xfId="409" xr:uid="{5A22D9BF-9099-4575-B931-836C989A68E7}"/>
    <cellStyle name="20% - Accent1 11 2" xfId="4216" xr:uid="{A8F3BE63-05DE-48B8-9AED-EE237E72E6E4}"/>
    <cellStyle name="20% - Accent1 11 2 2" xfId="9662" xr:uid="{B8BC1CAB-1C30-4B22-9943-D256D925E6C2}"/>
    <cellStyle name="20% - Accent1 11 3" xfId="7285" xr:uid="{7C35C152-E344-4D92-91BF-31994F7B5DC5}"/>
    <cellStyle name="20% - Accent1 12" xfId="410" xr:uid="{D46FFD41-D49E-4D81-8D8C-437BE1E5927C}"/>
    <cellStyle name="20% - Accent1 12 2" xfId="4217" xr:uid="{7F7D4A67-3519-4A4A-9C3B-8F4E79257A3A}"/>
    <cellStyle name="20% - Accent1 12 2 2" xfId="9663" xr:uid="{8872DDC7-3F4B-49AE-83FC-81FC360F5922}"/>
    <cellStyle name="20% - Accent1 12 3" xfId="7286" xr:uid="{27BDCBF2-2388-4D17-9E2D-7C1BA69404B6}"/>
    <cellStyle name="20% - Accent1 13" xfId="354" xr:uid="{350D3DDB-9076-4EB6-9229-FA0A8865CEA5}"/>
    <cellStyle name="20% - Accent1 13 2" xfId="7251" xr:uid="{5F20D4AE-441E-4644-8F20-69793247578B}"/>
    <cellStyle name="20% - Accent1 14" xfId="4183" xr:uid="{23BA8DB9-F923-44A2-AB3B-36833CA48573}"/>
    <cellStyle name="20% - Accent1 14 2" xfId="9629" xr:uid="{A3069961-8619-43F8-AA0C-522AB0DD0261}"/>
    <cellStyle name="20% - Accent1 2" xfId="411" xr:uid="{B780303B-728F-4BBB-B561-A0CDC8FC2D46}"/>
    <cellStyle name="20% - Accent1 2 10" xfId="4218" xr:uid="{C4F03E41-CB3A-4569-A1C8-1E0A802DDECA}"/>
    <cellStyle name="20% - Accent1 2 10 2" xfId="9664" xr:uid="{872D11B2-9FBE-4BBE-BBC2-C8DF9254DFA5}"/>
    <cellStyle name="20% - Accent1 2 11" xfId="7287" xr:uid="{28B7A627-78E1-422F-8B94-05F6E6582F7C}"/>
    <cellStyle name="20% - Accent1 2 2" xfId="412" xr:uid="{449149E9-DD83-4C66-9BE4-AD9A0A4E778D}"/>
    <cellStyle name="20% - Accent1 2 2 2" xfId="413" xr:uid="{46146EBA-7F62-4977-A77B-E5CAAC1B10E2}"/>
    <cellStyle name="20% - Accent1 2 2 2 2" xfId="414" xr:uid="{0B0B091B-AF2F-4C9E-AB70-BF30E2C42DA0}"/>
    <cellStyle name="20% - Accent1 2 2 2 2 2" xfId="415" xr:uid="{48779718-061A-419F-A87E-639A5CD95DA3}"/>
    <cellStyle name="20% - Accent1 2 2 2 2 2 2" xfId="4222" xr:uid="{F6E19116-1F38-4516-87CD-8A7ABFD55B7C}"/>
    <cellStyle name="20% - Accent1 2 2 2 2 2 2 2" xfId="9668" xr:uid="{8EF68B5A-1270-4CEF-80F0-40D9F82D51A2}"/>
    <cellStyle name="20% - Accent1 2 2 2 2 2 3" xfId="7291" xr:uid="{F22E2E74-8096-4678-AF54-D9D57009C4CF}"/>
    <cellStyle name="20% - Accent1 2 2 2 2 3" xfId="4221" xr:uid="{22D8F9F2-C836-4631-A1E3-35CA875390B4}"/>
    <cellStyle name="20% - Accent1 2 2 2 2 3 2" xfId="9667" xr:uid="{88F0CA47-A283-40F3-97D9-3A3F4909EBD6}"/>
    <cellStyle name="20% - Accent1 2 2 2 2 4" xfId="7290" xr:uid="{1894C1E9-84C3-4A74-80D8-5C01786EFEA4}"/>
    <cellStyle name="20% - Accent1 2 2 2 3" xfId="416" xr:uid="{826B4DF6-4E5B-4481-BB7A-DC8E4771DDCB}"/>
    <cellStyle name="20% - Accent1 2 2 2 3 2" xfId="4223" xr:uid="{26231D64-3B76-49F6-85E4-7829D2D0EC1F}"/>
    <cellStyle name="20% - Accent1 2 2 2 3 2 2" xfId="9669" xr:uid="{AA0B455B-7DE3-401D-9855-0BAEEE2DDBDF}"/>
    <cellStyle name="20% - Accent1 2 2 2 3 3" xfId="7292" xr:uid="{9E85A5F0-21E9-420E-BB5E-42B4A0176FB3}"/>
    <cellStyle name="20% - Accent1 2 2 2 4" xfId="4220" xr:uid="{363D701E-7098-4450-8FE3-07E2FDA47205}"/>
    <cellStyle name="20% - Accent1 2 2 2 4 2" xfId="9666" xr:uid="{F98C0420-CED1-4013-8507-FD2F897CBF24}"/>
    <cellStyle name="20% - Accent1 2 2 2 5" xfId="7289" xr:uid="{6C7C0870-72CD-4461-81AF-6D15F95AFE8E}"/>
    <cellStyle name="20% - Accent1 2 2 3" xfId="417" xr:uid="{15CAFCDF-BC8B-483F-8235-3B793CBEAA20}"/>
    <cellStyle name="20% - Accent1 2 2 3 2" xfId="418" xr:uid="{62F9B0D3-570E-4CC8-BD87-AFEEF0CF06A3}"/>
    <cellStyle name="20% - Accent1 2 2 3 2 2" xfId="4225" xr:uid="{9348CA3E-BCAA-4DB2-8BAA-D57F5AC3F9B7}"/>
    <cellStyle name="20% - Accent1 2 2 3 2 2 2" xfId="9671" xr:uid="{7C6018E7-326C-4829-ADC8-951BCC0A602C}"/>
    <cellStyle name="20% - Accent1 2 2 3 2 3" xfId="7294" xr:uid="{2378B467-15C6-4F25-9B50-BF8B2BEE2B29}"/>
    <cellStyle name="20% - Accent1 2 2 3 3" xfId="4224" xr:uid="{0A7D0B0E-001E-46D2-A350-B7A1DF3C953F}"/>
    <cellStyle name="20% - Accent1 2 2 3 3 2" xfId="9670" xr:uid="{B680AAC1-0DB2-4AEA-BF0D-6DBA910D302F}"/>
    <cellStyle name="20% - Accent1 2 2 3 4" xfId="7293" xr:uid="{D41183B6-863D-4CB5-A842-82EB84050A62}"/>
    <cellStyle name="20% - Accent1 2 2 4" xfId="419" xr:uid="{B6BC1DCE-4F71-4BCB-AAA0-6A969AE62905}"/>
    <cellStyle name="20% - Accent1 2 2 4 2" xfId="4226" xr:uid="{AAD4FBBA-4AAD-4EF3-BA9E-2B6766F59DF6}"/>
    <cellStyle name="20% - Accent1 2 2 4 2 2" xfId="9672" xr:uid="{63118E5C-CCB8-4C0D-B043-D5293623CB05}"/>
    <cellStyle name="20% - Accent1 2 2 4 3" xfId="7295" xr:uid="{BB4DB1FA-BCE1-40BA-9741-AC2E76003FB0}"/>
    <cellStyle name="20% - Accent1 2 2 5" xfId="420" xr:uid="{5FF4CCA5-D6D5-40F3-9370-AEE83FD5B112}"/>
    <cellStyle name="20% - Accent1 2 2 6" xfId="4219" xr:uid="{E79FCCED-0BA0-483C-B78B-A3641F6F4B29}"/>
    <cellStyle name="20% - Accent1 2 2 6 2" xfId="9665" xr:uid="{FA6BB066-093B-4A04-A543-66508A26AFCB}"/>
    <cellStyle name="20% - Accent1 2 2 7" xfId="7288" xr:uid="{44296CE2-5DBC-4CC8-8391-3F2C648EAD63}"/>
    <cellStyle name="20% - Accent1 2 3" xfId="421" xr:uid="{239F41D8-F246-4DA2-A0C9-EE2D1D622BEE}"/>
    <cellStyle name="20% - Accent1 2 3 2" xfId="422" xr:uid="{4B75019C-EAA6-4036-B25D-83D344917292}"/>
    <cellStyle name="20% - Accent1 2 3 2 2" xfId="423" xr:uid="{0B5BF39A-8C33-4B2B-A5C4-8BEF0D540FA3}"/>
    <cellStyle name="20% - Accent1 2 3 2 2 2" xfId="424" xr:uid="{E58DE9B1-04AA-42F9-9FD2-8375EB8BD815}"/>
    <cellStyle name="20% - Accent1 2 3 2 2 2 2" xfId="4230" xr:uid="{2ABBF193-2F16-44C1-AFB1-2E677EA49214}"/>
    <cellStyle name="20% - Accent1 2 3 2 2 2 2 2" xfId="9676" xr:uid="{09F23B11-8E8E-49CD-BF87-9F48C844DFDD}"/>
    <cellStyle name="20% - Accent1 2 3 2 2 2 3" xfId="7299" xr:uid="{E8AB6437-BB75-4DCA-974B-0115E8B5C1A8}"/>
    <cellStyle name="20% - Accent1 2 3 2 2 3" xfId="4229" xr:uid="{060011C1-AD86-4470-AFCE-D19D10CAEC40}"/>
    <cellStyle name="20% - Accent1 2 3 2 2 3 2" xfId="9675" xr:uid="{05C90EC7-D0F9-4F24-863F-41195C263A83}"/>
    <cellStyle name="20% - Accent1 2 3 2 2 4" xfId="7298" xr:uid="{D1C51AA0-2BDB-4E71-9D32-FF8C04395C98}"/>
    <cellStyle name="20% - Accent1 2 3 2 3" xfId="425" xr:uid="{ADEB4E18-6166-4422-83D1-31470E1A7D3A}"/>
    <cellStyle name="20% - Accent1 2 3 2 3 2" xfId="4231" xr:uid="{B1DA300B-166B-4B93-919B-439A3F5B8E60}"/>
    <cellStyle name="20% - Accent1 2 3 2 3 2 2" xfId="9677" xr:uid="{EB3F24A2-9774-40E6-8BE4-32610FFFC29D}"/>
    <cellStyle name="20% - Accent1 2 3 2 3 3" xfId="7300" xr:uid="{9094A147-0EBA-4515-A7B7-041F1B9C98DF}"/>
    <cellStyle name="20% - Accent1 2 3 2 4" xfId="4228" xr:uid="{CCB4B494-7B73-4524-97E4-575980583FA0}"/>
    <cellStyle name="20% - Accent1 2 3 2 4 2" xfId="9674" xr:uid="{D8D58515-550F-4F34-BB63-C66E2FCDA2E7}"/>
    <cellStyle name="20% - Accent1 2 3 2 5" xfId="7297" xr:uid="{8217C1F8-256A-4597-BC62-1BF3883B16F2}"/>
    <cellStyle name="20% - Accent1 2 3 3" xfId="426" xr:uid="{F7F54647-814A-407D-A244-79FD89F82776}"/>
    <cellStyle name="20% - Accent1 2 3 3 2" xfId="427" xr:uid="{24931449-DAAD-42E2-9916-BB1976747E73}"/>
    <cellStyle name="20% - Accent1 2 3 3 2 2" xfId="4233" xr:uid="{F950C14F-A5C7-422A-A407-309395F50A9F}"/>
    <cellStyle name="20% - Accent1 2 3 3 2 2 2" xfId="9679" xr:uid="{4D982EF4-5808-4EC7-BB24-156164D63F1D}"/>
    <cellStyle name="20% - Accent1 2 3 3 2 3" xfId="7302" xr:uid="{07DC527E-0250-4F87-B901-6AFC15CF3309}"/>
    <cellStyle name="20% - Accent1 2 3 3 3" xfId="4232" xr:uid="{A9AD7114-0D04-495E-B09F-F294CC2B5FAC}"/>
    <cellStyle name="20% - Accent1 2 3 3 3 2" xfId="9678" xr:uid="{4FEBC915-4F24-45F3-BD92-A14F93CB0935}"/>
    <cellStyle name="20% - Accent1 2 3 3 4" xfId="7301" xr:uid="{70E21E6A-AFFA-4BD5-BB57-75233F51FE2E}"/>
    <cellStyle name="20% - Accent1 2 3 4" xfId="428" xr:uid="{DB3BF5E7-3FBB-4E8D-A305-3B3114D292B1}"/>
    <cellStyle name="20% - Accent1 2 3 4 2" xfId="4234" xr:uid="{4174BFF5-FF7F-4BEA-9DB6-D19E996C52D0}"/>
    <cellStyle name="20% - Accent1 2 3 4 2 2" xfId="9680" xr:uid="{78B38554-762D-44BC-B5E9-E8B54AB2A8AF}"/>
    <cellStyle name="20% - Accent1 2 3 4 3" xfId="7303" xr:uid="{B87D71A1-FC28-412E-965B-DCAB0303E4B9}"/>
    <cellStyle name="20% - Accent1 2 3 5" xfId="429" xr:uid="{DF1ADBEE-E6DF-48C4-9881-F8B4E1AF73A8}"/>
    <cellStyle name="20% - Accent1 2 3 6" xfId="3359" xr:uid="{C82758DF-13C1-400E-B11B-15F77C71BE91}"/>
    <cellStyle name="20% - Accent1 2 3 6 2" xfId="5849" xr:uid="{8329AA5E-D891-4020-844F-ABFDF73AC301}"/>
    <cellStyle name="20% - Accent1 2 3 6 2 2" xfId="11291" xr:uid="{A4E50021-4B99-4E29-83AA-09D7E5F46996}"/>
    <cellStyle name="20% - Accent1 2 3 6 3" xfId="8907" xr:uid="{3A9CC681-5CC0-4000-85E1-130EEF031A00}"/>
    <cellStyle name="20% - Accent1 2 3 7" xfId="2058" xr:uid="{5A36273D-C053-45E2-B3B5-A2A295316780}"/>
    <cellStyle name="20% - Accent1 2 3 8" xfId="4227" xr:uid="{DF53C204-357F-4FB6-B422-69C79600E994}"/>
    <cellStyle name="20% - Accent1 2 3 8 2" xfId="9673" xr:uid="{A6CC50F1-EC2F-4DD5-AB99-1A27715950A5}"/>
    <cellStyle name="20% - Accent1 2 3 9" xfId="7296" xr:uid="{1D6EE4A3-7A22-4C7F-B888-978F2D7FA7C7}"/>
    <cellStyle name="20% - Accent1 2 4" xfId="430" xr:uid="{1FC81A79-1F92-4D50-A1D4-BB7253666FD0}"/>
    <cellStyle name="20% - Accent1 2 4 2" xfId="431" xr:uid="{2E939EA2-F884-471C-9563-178177C1783C}"/>
    <cellStyle name="20% - Accent1 2 4 2 2" xfId="432" xr:uid="{C96F79CD-9E56-46D5-A477-C5AB7557B1D0}"/>
    <cellStyle name="20% - Accent1 2 4 2 2 2" xfId="4237" xr:uid="{153B14A8-C1ED-41DA-9BB3-3B7B33396034}"/>
    <cellStyle name="20% - Accent1 2 4 2 2 2 2" xfId="9683" xr:uid="{8DFC0D9C-64B6-4628-9779-841C4C0F2826}"/>
    <cellStyle name="20% - Accent1 2 4 2 2 3" xfId="7306" xr:uid="{2AFF09E9-2B48-4A3C-825B-254973F7701D}"/>
    <cellStyle name="20% - Accent1 2 4 2 3" xfId="4236" xr:uid="{710C28E9-3947-4591-A7E0-7A6DEC5567E8}"/>
    <cellStyle name="20% - Accent1 2 4 2 3 2" xfId="9682" xr:uid="{D9A85ED7-6668-43A7-A7CD-C0597840AE37}"/>
    <cellStyle name="20% - Accent1 2 4 2 4" xfId="7305" xr:uid="{73B0F716-4E24-4783-8392-49A3475C21D0}"/>
    <cellStyle name="20% - Accent1 2 4 3" xfId="433" xr:uid="{2E1EAB8A-8F32-4F47-B8F5-A94524A52AE9}"/>
    <cellStyle name="20% - Accent1 2 4 3 2" xfId="4238" xr:uid="{5D43DAE2-EADF-4D0E-925C-44854ADDCBCF}"/>
    <cellStyle name="20% - Accent1 2 4 3 2 2" xfId="9684" xr:uid="{EACE9368-3EEA-4171-83B5-9FB3F82A28EC}"/>
    <cellStyle name="20% - Accent1 2 4 3 3" xfId="7307" xr:uid="{78351FAA-B312-414A-A94C-0BA8E71340C1}"/>
    <cellStyle name="20% - Accent1 2 4 4" xfId="434" xr:uid="{1259C7D0-7879-4F64-8B61-18DD51C4081E}"/>
    <cellStyle name="20% - Accent1 2 4 5" xfId="3360" xr:uid="{CEFBDF22-E352-4B42-A95A-50C5FC43EB29}"/>
    <cellStyle name="20% - Accent1 2 4 5 2" xfId="5850" xr:uid="{E3F15AFF-F1FD-4386-A122-2667471C707A}"/>
    <cellStyle name="20% - Accent1 2 4 5 2 2" xfId="11292" xr:uid="{EAD13CEB-C081-45A5-A16E-528532008F27}"/>
    <cellStyle name="20% - Accent1 2 4 5 3" xfId="8908" xr:uid="{230768FD-9C47-4B91-AD29-98C4BE88BFDB}"/>
    <cellStyle name="20% - Accent1 2 4 6" xfId="2056" xr:uid="{9B395825-2509-4D36-96A2-6455CEB70415}"/>
    <cellStyle name="20% - Accent1 2 4 7" xfId="4235" xr:uid="{D2AB0E06-0458-4C8B-97AD-75ECE2874C5B}"/>
    <cellStyle name="20% - Accent1 2 4 7 2" xfId="9681" xr:uid="{01424051-3FC7-4A62-ACC3-9629858AB48F}"/>
    <cellStyle name="20% - Accent1 2 4 8" xfId="7304" xr:uid="{22B65FFE-2045-48C9-8654-912AEB971B96}"/>
    <cellStyle name="20% - Accent1 2 5" xfId="435" xr:uid="{5887D6AC-B5BF-4912-9390-3A0281BF96EA}"/>
    <cellStyle name="20% - Accent1 2 5 2" xfId="436" xr:uid="{EA2DB5BD-308D-4746-BD03-7FB6D41F6A55}"/>
    <cellStyle name="20% - Accent1 2 5 2 2" xfId="4240" xr:uid="{3E623B84-068C-4E68-90AD-EEFA97F6C922}"/>
    <cellStyle name="20% - Accent1 2 5 2 2 2" xfId="9686" xr:uid="{E679759A-BC8C-4CD0-BFF7-DC03DD452990}"/>
    <cellStyle name="20% - Accent1 2 5 2 3" xfId="7309" xr:uid="{9B2DF008-8AC4-4BE6-810B-24EF8880A232}"/>
    <cellStyle name="20% - Accent1 2 5 3" xfId="437" xr:uid="{BC32A973-7441-4E39-B400-D04164F730B1}"/>
    <cellStyle name="20% - Accent1 2 5 4" xfId="3361" xr:uid="{CC79919A-5C5C-4A95-9890-688362619808}"/>
    <cellStyle name="20% - Accent1 2 5 4 2" xfId="5851" xr:uid="{BBB9FCD7-CEB1-4726-A02D-EE0362235F53}"/>
    <cellStyle name="20% - Accent1 2 5 4 2 2" xfId="11293" xr:uid="{5E561A6D-4734-4F2D-91FE-5BD7A50CF259}"/>
    <cellStyle name="20% - Accent1 2 5 4 3" xfId="8909" xr:uid="{5BF6CE9F-8135-4EC5-8CE3-069266A7F5AD}"/>
    <cellStyle name="20% - Accent1 2 5 5" xfId="2052" xr:uid="{A6669EE3-9509-4970-958E-3347720F5365}"/>
    <cellStyle name="20% - Accent1 2 5 6" xfId="4239" xr:uid="{3AF6DB4F-CFA6-42EC-BFAB-EE1BFF6AC160}"/>
    <cellStyle name="20% - Accent1 2 5 6 2" xfId="9685" xr:uid="{47D3454E-AA2E-414F-A600-6B65E7B6BC80}"/>
    <cellStyle name="20% - Accent1 2 5 7" xfId="7308" xr:uid="{1F878A1C-01A0-4A7D-8003-D6E82417A70C}"/>
    <cellStyle name="20% - Accent1 2 6" xfId="438" xr:uid="{D9020E6F-78E8-47A4-AADE-7A1F0D385D35}"/>
    <cellStyle name="20% - Accent1 2 6 2" xfId="439" xr:uid="{B97FCA3A-A939-45C7-91A7-04D25DD2BD89}"/>
    <cellStyle name="20% - Accent1 2 6 3" xfId="3362" xr:uid="{0F80C829-C73A-427F-9D2F-48B29F776C52}"/>
    <cellStyle name="20% - Accent1 2 6 3 2" xfId="5852" xr:uid="{1D937FB8-4370-4B1F-99BA-EAFF6CBC40CB}"/>
    <cellStyle name="20% - Accent1 2 6 3 2 2" xfId="11294" xr:uid="{D706AC54-F157-460E-8B9C-7979E81032DF}"/>
    <cellStyle name="20% - Accent1 2 6 3 3" xfId="8910" xr:uid="{6D5A54B4-6439-4A7C-A7E6-A5983479C262}"/>
    <cellStyle name="20% - Accent1 2 6 4" xfId="2055" xr:uid="{B18B6C61-4573-4B21-BA42-B458C76FE784}"/>
    <cellStyle name="20% - Accent1 2 6 5" xfId="4241" xr:uid="{7D4EF723-C239-40C7-8B04-4ECBDC5BCC5A}"/>
    <cellStyle name="20% - Accent1 2 6 5 2" xfId="9687" xr:uid="{DA8A1ADB-3526-4B59-ADCA-E1EB1F602807}"/>
    <cellStyle name="20% - Accent1 2 6 6" xfId="7310" xr:uid="{F411C360-C0A4-4650-AC32-16939FAFAE98}"/>
    <cellStyle name="20% - Accent1 2 7" xfId="440" xr:uid="{1E03E42A-CB12-44FB-B6EE-077C51EEEDEB}"/>
    <cellStyle name="20% - Accent1 2 7 2" xfId="3363" xr:uid="{FA5DC013-F754-4F90-90E7-7F2B24A82ADC}"/>
    <cellStyle name="20% - Accent1 2 7 3" xfId="2051" xr:uid="{0B47A351-B01C-4BBA-A8CA-0A8677E7E1DA}"/>
    <cellStyle name="20% - Accent1 2 8" xfId="441" xr:uid="{92E015F3-0DB6-4AA9-ADEC-B532607AF65D}"/>
    <cellStyle name="20% - Accent1 2 9" xfId="393" xr:uid="{7CDCEA26-7518-46F0-B051-A33C37AFF3B6}"/>
    <cellStyle name="20% - Accent1 3" xfId="442" xr:uid="{A2F50056-0C35-4B7B-9993-EFB0E517ADEA}"/>
    <cellStyle name="20% - Accent1 3 2" xfId="443" xr:uid="{874D820A-2FD8-448E-B6B1-7B39F7E8442D}"/>
    <cellStyle name="20% - Accent1 3 2 2" xfId="444" xr:uid="{F0C3CEF5-1372-44D1-A7A7-C31BE3F3A1E2}"/>
    <cellStyle name="20% - Accent1 3 2 2 2" xfId="445" xr:uid="{C79ACD42-690E-4E8B-8CC7-DCFE2D5E4AAF}"/>
    <cellStyle name="20% - Accent1 3 2 2 2 2" xfId="446" xr:uid="{5ED81FE7-4FA9-425D-8083-5BCF273A4AF6}"/>
    <cellStyle name="20% - Accent1 3 2 2 2 2 2" xfId="4246" xr:uid="{455B69E0-E2E9-4B27-B924-E5620D0CCC72}"/>
    <cellStyle name="20% - Accent1 3 2 2 2 2 2 2" xfId="9692" xr:uid="{EE4D084D-9635-48B4-B9F8-AB33193C8406}"/>
    <cellStyle name="20% - Accent1 3 2 2 2 2 3" xfId="7315" xr:uid="{8159FA28-5490-401B-8B24-20E4A5DDE08E}"/>
    <cellStyle name="20% - Accent1 3 2 2 2 3" xfId="4245" xr:uid="{28DF2720-1D3B-48D5-9E02-B0069681A64C}"/>
    <cellStyle name="20% - Accent1 3 2 2 2 3 2" xfId="9691" xr:uid="{F0AF422A-5642-45F3-946E-D2F71CFBE555}"/>
    <cellStyle name="20% - Accent1 3 2 2 2 4" xfId="7314" xr:uid="{DB6C8835-9C7B-49E7-9E14-F4C97DA9C181}"/>
    <cellStyle name="20% - Accent1 3 2 2 3" xfId="447" xr:uid="{C37A5FF1-72E7-4F95-8A15-191CF3B4F5FB}"/>
    <cellStyle name="20% - Accent1 3 2 2 3 2" xfId="4247" xr:uid="{F0D3F411-D0E4-4FA5-9236-05B410890AC2}"/>
    <cellStyle name="20% - Accent1 3 2 2 3 2 2" xfId="9693" xr:uid="{E0507C6C-C1BF-4D11-87A9-98C5C6D6B614}"/>
    <cellStyle name="20% - Accent1 3 2 2 3 3" xfId="7316" xr:uid="{475B4863-A0AC-4D44-A6BD-33260BB9170B}"/>
    <cellStyle name="20% - Accent1 3 2 2 4" xfId="4244" xr:uid="{103631E1-C783-44E8-BC04-E73396D4A6A8}"/>
    <cellStyle name="20% - Accent1 3 2 2 4 2" xfId="9690" xr:uid="{738F5BCD-1336-4E00-B5F7-1C0A51198FE1}"/>
    <cellStyle name="20% - Accent1 3 2 2 5" xfId="7313" xr:uid="{8EB57FF3-90F5-4317-BA96-916246CA5662}"/>
    <cellStyle name="20% - Accent1 3 2 3" xfId="448" xr:uid="{C150E20D-8240-4E02-8DB0-49F3D7D62C9A}"/>
    <cellStyle name="20% - Accent1 3 2 3 2" xfId="449" xr:uid="{D7985FE8-24C2-47CA-95BF-1AE9ADD49730}"/>
    <cellStyle name="20% - Accent1 3 2 3 2 2" xfId="4249" xr:uid="{9B8907DE-3624-4DA9-AA00-D93B9FDA9D7B}"/>
    <cellStyle name="20% - Accent1 3 2 3 2 2 2" xfId="9695" xr:uid="{EE564E9B-2088-49A8-BBA1-6AACFEFA5759}"/>
    <cellStyle name="20% - Accent1 3 2 3 2 3" xfId="7318" xr:uid="{8B48D70A-5479-477F-81FA-5A868BDF7767}"/>
    <cellStyle name="20% - Accent1 3 2 3 3" xfId="4248" xr:uid="{645920F1-F47D-4D4A-AE64-02E53E54ECCF}"/>
    <cellStyle name="20% - Accent1 3 2 3 3 2" xfId="9694" xr:uid="{815779E4-C01C-451E-B25F-53AAD63452D9}"/>
    <cellStyle name="20% - Accent1 3 2 3 4" xfId="7317" xr:uid="{389ADBE4-4116-4226-8725-3ED0BE22219A}"/>
    <cellStyle name="20% - Accent1 3 2 4" xfId="450" xr:uid="{3D8CFCB1-C2CE-4ACC-B0A2-C4FCEE82BA2A}"/>
    <cellStyle name="20% - Accent1 3 2 4 2" xfId="4250" xr:uid="{4EF49CD7-5C22-449D-85B9-C4AA311FB0C3}"/>
    <cellStyle name="20% - Accent1 3 2 4 2 2" xfId="9696" xr:uid="{AC482933-694B-42EA-9F3F-F872BCD535F6}"/>
    <cellStyle name="20% - Accent1 3 2 4 3" xfId="7319" xr:uid="{B0FCB0D9-FDBE-42DF-BC00-C84CA004A761}"/>
    <cellStyle name="20% - Accent1 3 2 5" xfId="4243" xr:uid="{C24E3D25-A29D-45C6-95BF-5FED686BE666}"/>
    <cellStyle name="20% - Accent1 3 2 5 2" xfId="9689" xr:uid="{6ED7340F-0334-4D34-9CD1-6DB3A2F8AD52}"/>
    <cellStyle name="20% - Accent1 3 2 6" xfId="7312" xr:uid="{B6A91A57-18F5-4AB7-90FC-B4D14C6234CE}"/>
    <cellStyle name="20% - Accent1 3 3" xfId="451" xr:uid="{E34DC8E6-C69C-41C9-92B3-0E28EB624519}"/>
    <cellStyle name="20% - Accent1 3 3 2" xfId="452" xr:uid="{427C73A9-D559-40B2-9F9B-0D2593D0F68F}"/>
    <cellStyle name="20% - Accent1 3 3 2 2" xfId="453" xr:uid="{8F6E4E59-6195-4F7C-B74B-B1CCDFFBEDC7}"/>
    <cellStyle name="20% - Accent1 3 3 2 2 2" xfId="454" xr:uid="{62BB67F9-851E-41E9-B155-63365700F195}"/>
    <cellStyle name="20% - Accent1 3 3 2 2 2 2" xfId="4254" xr:uid="{BECAFAFA-858B-4018-B73C-F52C8827B3A4}"/>
    <cellStyle name="20% - Accent1 3 3 2 2 2 2 2" xfId="9700" xr:uid="{5DF2540D-6A44-4293-B1DC-7CC7C8893A91}"/>
    <cellStyle name="20% - Accent1 3 3 2 2 2 3" xfId="7323" xr:uid="{7C49F886-75BD-46B8-B0A0-487CAF744D69}"/>
    <cellStyle name="20% - Accent1 3 3 2 2 3" xfId="4253" xr:uid="{C2668F2C-E935-418F-9FC8-850910813E4F}"/>
    <cellStyle name="20% - Accent1 3 3 2 2 3 2" xfId="9699" xr:uid="{DE149DB2-E66B-4534-870E-D91A1056D9B3}"/>
    <cellStyle name="20% - Accent1 3 3 2 2 4" xfId="7322" xr:uid="{825DD937-4527-40CD-B492-F6102662F653}"/>
    <cellStyle name="20% - Accent1 3 3 2 3" xfId="455" xr:uid="{C049269F-ABBC-4679-B1CB-D85018A2D030}"/>
    <cellStyle name="20% - Accent1 3 3 2 3 2" xfId="4255" xr:uid="{4EFBD6B7-8D0F-46D7-AD7D-B65B8B133E34}"/>
    <cellStyle name="20% - Accent1 3 3 2 3 2 2" xfId="9701" xr:uid="{DCA73856-FE84-428D-8A18-E737D1836ED0}"/>
    <cellStyle name="20% - Accent1 3 3 2 3 3" xfId="7324" xr:uid="{D2B93A27-9F3D-42A8-A526-B1F67D371B6C}"/>
    <cellStyle name="20% - Accent1 3 3 2 4" xfId="4252" xr:uid="{62C4AF00-F571-40DE-8F59-1689F9927614}"/>
    <cellStyle name="20% - Accent1 3 3 2 4 2" xfId="9698" xr:uid="{4D3F9001-472D-43E8-B45E-36AE5ED41B2B}"/>
    <cellStyle name="20% - Accent1 3 3 2 5" xfId="7321" xr:uid="{F50390DD-8BB5-426A-B76F-B108619FBFBA}"/>
    <cellStyle name="20% - Accent1 3 3 3" xfId="456" xr:uid="{48BCF464-A8D7-444E-97E9-CFD62B8C3338}"/>
    <cellStyle name="20% - Accent1 3 3 3 2" xfId="457" xr:uid="{1415AE24-8384-4002-81A3-704F303D802C}"/>
    <cellStyle name="20% - Accent1 3 3 3 2 2" xfId="4257" xr:uid="{F9347306-66B4-4D83-9D0F-39BD4A4C1A9B}"/>
    <cellStyle name="20% - Accent1 3 3 3 2 2 2" xfId="9703" xr:uid="{FB04C5E9-6391-485A-894A-3B3B3E7EB92C}"/>
    <cellStyle name="20% - Accent1 3 3 3 2 3" xfId="7326" xr:uid="{42E8EB54-04AB-4536-8343-01608E886848}"/>
    <cellStyle name="20% - Accent1 3 3 3 3" xfId="4256" xr:uid="{A0A6A1D3-14E8-444E-9F09-D67DC70094DA}"/>
    <cellStyle name="20% - Accent1 3 3 3 3 2" xfId="9702" xr:uid="{A64D945E-29B2-4F2B-B913-0185E8A31709}"/>
    <cellStyle name="20% - Accent1 3 3 3 4" xfId="7325" xr:uid="{24FE66C3-B7A6-4697-A0A1-0055D7C21172}"/>
    <cellStyle name="20% - Accent1 3 3 4" xfId="458" xr:uid="{F5BB27E0-A11B-4EF5-B0B6-D08C834946C2}"/>
    <cellStyle name="20% - Accent1 3 3 4 2" xfId="4258" xr:uid="{2755F7B0-BF8A-4334-8C7A-3507030E0C52}"/>
    <cellStyle name="20% - Accent1 3 3 4 2 2" xfId="9704" xr:uid="{0B02750C-8C31-47B0-BD65-1D3995D3E639}"/>
    <cellStyle name="20% - Accent1 3 3 4 3" xfId="7327" xr:uid="{2164746F-1935-4673-86AE-5C703326C4FA}"/>
    <cellStyle name="20% - Accent1 3 3 5" xfId="3364" xr:uid="{5369638F-032A-416C-AA5B-E0004342261E}"/>
    <cellStyle name="20% - Accent1 3 3 5 2" xfId="5853" xr:uid="{C2C51B22-4334-4116-B9EF-358DEB35F29F}"/>
    <cellStyle name="20% - Accent1 3 3 5 2 2" xfId="11295" xr:uid="{D1F33650-6249-4661-B3EA-093A6D224CD1}"/>
    <cellStyle name="20% - Accent1 3 3 5 3" xfId="8911" xr:uid="{1F664670-E01C-42E7-BF0C-583C28D564B9}"/>
    <cellStyle name="20% - Accent1 3 3 6" xfId="2060" xr:uid="{909E924D-D945-4177-9E96-CEC9AC06633A}"/>
    <cellStyle name="20% - Accent1 3 3 7" xfId="4251" xr:uid="{FFE8978F-A110-4743-8138-ED3007CF0EB4}"/>
    <cellStyle name="20% - Accent1 3 3 7 2" xfId="9697" xr:uid="{F1DD94B1-6E57-4600-AAE7-D0C94CBB4F68}"/>
    <cellStyle name="20% - Accent1 3 3 8" xfId="7320" xr:uid="{DF3AE9C0-3F1D-4DD0-80AB-EE4965BF7C01}"/>
    <cellStyle name="20% - Accent1 3 4" xfId="459" xr:uid="{E4CE8FD9-A827-40F7-B07D-5B55BE33AFC6}"/>
    <cellStyle name="20% - Accent1 3 4 2" xfId="460" xr:uid="{30BD002B-EFC4-4933-BD1C-00F7B7639516}"/>
    <cellStyle name="20% - Accent1 3 4 2 2" xfId="461" xr:uid="{83FAD5A9-31F2-4E0B-BFE4-1DC773797CAA}"/>
    <cellStyle name="20% - Accent1 3 4 2 2 2" xfId="4261" xr:uid="{65B86D96-FD06-4414-A2B6-8713C810A0E1}"/>
    <cellStyle name="20% - Accent1 3 4 2 2 2 2" xfId="9707" xr:uid="{E40419D2-C282-4BE1-8C92-41F75DCEC187}"/>
    <cellStyle name="20% - Accent1 3 4 2 2 3" xfId="7330" xr:uid="{97ECE600-2DC0-4321-81C9-7E3E10E1BFBE}"/>
    <cellStyle name="20% - Accent1 3 4 2 3" xfId="4260" xr:uid="{6FD2EE59-B84F-4B17-A541-4F5BF4D9682A}"/>
    <cellStyle name="20% - Accent1 3 4 2 3 2" xfId="9706" xr:uid="{B1A06B0A-4FA5-4637-8F12-15D4FF6019CC}"/>
    <cellStyle name="20% - Accent1 3 4 2 4" xfId="7329" xr:uid="{1A5C51D4-5E5E-4D1C-8607-9C8F7A745C83}"/>
    <cellStyle name="20% - Accent1 3 4 3" xfId="462" xr:uid="{F9BCEABE-E95C-4681-9E1B-512303790DC1}"/>
    <cellStyle name="20% - Accent1 3 4 3 2" xfId="4262" xr:uid="{50CD0CFC-CC8C-4AF8-BE0D-D84700DB535C}"/>
    <cellStyle name="20% - Accent1 3 4 3 2 2" xfId="9708" xr:uid="{28AADCA6-BBBF-44B4-8BAD-E8D4F787D9D6}"/>
    <cellStyle name="20% - Accent1 3 4 3 3" xfId="7331" xr:uid="{75A8932B-3750-40B7-BC25-68765ED79227}"/>
    <cellStyle name="20% - Accent1 3 4 4" xfId="4259" xr:uid="{ECA3C6BB-38E8-4193-8506-A20E1920603B}"/>
    <cellStyle name="20% - Accent1 3 4 4 2" xfId="9705" xr:uid="{3C4DE5D6-5C41-48DC-AC5A-01780F82A036}"/>
    <cellStyle name="20% - Accent1 3 4 5" xfId="7328" xr:uid="{A7A61E55-9D97-498D-80CB-A88944946EC1}"/>
    <cellStyle name="20% - Accent1 3 5" xfId="463" xr:uid="{037076E5-D41C-48BB-8F02-D74C4C318948}"/>
    <cellStyle name="20% - Accent1 3 5 2" xfId="464" xr:uid="{A1CB24F9-1B53-4446-988E-0C25A1749FB0}"/>
    <cellStyle name="20% - Accent1 3 5 2 2" xfId="4264" xr:uid="{18A577DA-CE64-42BA-A4C4-FE5AED6D9040}"/>
    <cellStyle name="20% - Accent1 3 5 2 2 2" xfId="9710" xr:uid="{DD58092E-E942-4355-AF0E-D8A8B18FEEA5}"/>
    <cellStyle name="20% - Accent1 3 5 2 3" xfId="7333" xr:uid="{C2E577D3-CB6B-4662-BAB1-15CFAB8E95D7}"/>
    <cellStyle name="20% - Accent1 3 5 3" xfId="4263" xr:uid="{DD9804F7-48B4-437C-9008-933EF6A9CBAD}"/>
    <cellStyle name="20% - Accent1 3 5 3 2" xfId="9709" xr:uid="{15C1B54B-6CCC-41B9-A917-3A8DAE5FC478}"/>
    <cellStyle name="20% - Accent1 3 5 4" xfId="7332" xr:uid="{EC491662-A742-42DE-97ED-3AF66A6F7227}"/>
    <cellStyle name="20% - Accent1 3 6" xfId="465" xr:uid="{B08DBC0E-8971-4BDD-AC21-40AA0BAF22B1}"/>
    <cellStyle name="20% - Accent1 3 6 2" xfId="4265" xr:uid="{205422F2-3B9F-4A9A-B53A-95249D19BD8E}"/>
    <cellStyle name="20% - Accent1 3 6 2 2" xfId="9711" xr:uid="{5C4AF67C-775D-44AB-A4D2-F3F22F17F50D}"/>
    <cellStyle name="20% - Accent1 3 6 3" xfId="7334" xr:uid="{2C0608C2-C9AE-4358-89F6-1CF68E2BC5F2}"/>
    <cellStyle name="20% - Accent1 3 7" xfId="4242" xr:uid="{F6F7D79E-A427-46FE-A569-868CA9DE2D6D}"/>
    <cellStyle name="20% - Accent1 3 7 2" xfId="9688" xr:uid="{C9E04D83-5EF5-4723-B743-005BCFC23599}"/>
    <cellStyle name="20% - Accent1 3 8" xfId="7311" xr:uid="{D5B47441-F32A-4A8C-97D9-7429C6581A27}"/>
    <cellStyle name="20% - Accent1 4" xfId="466" xr:uid="{F2E4F3E4-36B6-482A-95DF-A1E167700342}"/>
    <cellStyle name="20% - Accent1 4 2" xfId="467" xr:uid="{4DF1154F-8C8F-457D-AAC0-FD3151B2404A}"/>
    <cellStyle name="20% - Accent1 4 2 2" xfId="468" xr:uid="{D7FFCBFF-D8CA-404F-A19D-507267DF6876}"/>
    <cellStyle name="20% - Accent1 4 2 2 2" xfId="469" xr:uid="{27C51074-7547-4C5E-8970-ACF8A6D13F77}"/>
    <cellStyle name="20% - Accent1 4 2 2 2 2" xfId="470" xr:uid="{CDDB7BAF-B9B6-4337-A3AB-94D482A53727}"/>
    <cellStyle name="20% - Accent1 4 2 2 2 2 2" xfId="4270" xr:uid="{D7B174FA-2437-4D8D-A0D2-A9559E8D9D15}"/>
    <cellStyle name="20% - Accent1 4 2 2 2 2 2 2" xfId="9716" xr:uid="{4D0601E1-F149-405C-939B-022EDB997005}"/>
    <cellStyle name="20% - Accent1 4 2 2 2 2 3" xfId="7339" xr:uid="{C1BCFA55-FB1F-45D9-AB9B-1C9814A75602}"/>
    <cellStyle name="20% - Accent1 4 2 2 2 3" xfId="4269" xr:uid="{80123D6F-4E73-42AC-BD46-5DF52CC27898}"/>
    <cellStyle name="20% - Accent1 4 2 2 2 3 2" xfId="9715" xr:uid="{872402EA-249F-445D-8A53-D2B62D6F6285}"/>
    <cellStyle name="20% - Accent1 4 2 2 2 4" xfId="7338" xr:uid="{F3448E8D-60D2-4C70-ADEF-5E0D4D60F57B}"/>
    <cellStyle name="20% - Accent1 4 2 2 3" xfId="471" xr:uid="{624B9F3F-B96D-42B8-AAFE-51ECA3C08859}"/>
    <cellStyle name="20% - Accent1 4 2 2 3 2" xfId="4271" xr:uid="{D07A138B-10E1-4334-AFFF-A1B33E4F0CCC}"/>
    <cellStyle name="20% - Accent1 4 2 2 3 2 2" xfId="9717" xr:uid="{8C923D2B-E9BE-463A-8DB1-7D54FC0F4062}"/>
    <cellStyle name="20% - Accent1 4 2 2 3 3" xfId="7340" xr:uid="{63085FF8-B471-4F92-8408-62392618D7A8}"/>
    <cellStyle name="20% - Accent1 4 2 2 4" xfId="4268" xr:uid="{FCF1DF21-F46D-4CBB-8B9A-23A3232B4341}"/>
    <cellStyle name="20% - Accent1 4 2 2 4 2" xfId="9714" xr:uid="{E37BCEE8-2C0E-4C7B-8B1D-62675671878F}"/>
    <cellStyle name="20% - Accent1 4 2 2 5" xfId="7337" xr:uid="{410AF34F-4E2A-4A61-8B88-E12502359BB8}"/>
    <cellStyle name="20% - Accent1 4 2 3" xfId="472" xr:uid="{CDE2A71B-C4CC-4B0C-8AE9-0000FDBBA4CA}"/>
    <cellStyle name="20% - Accent1 4 2 3 2" xfId="473" xr:uid="{C6C910D2-0C61-4557-B64F-623E4916E6FF}"/>
    <cellStyle name="20% - Accent1 4 2 3 2 2" xfId="4273" xr:uid="{EEB9F76B-2847-453B-86E1-645B4DB3800B}"/>
    <cellStyle name="20% - Accent1 4 2 3 2 2 2" xfId="9719" xr:uid="{547B6D94-7E68-4523-98D4-9E713E6B0FFD}"/>
    <cellStyle name="20% - Accent1 4 2 3 2 3" xfId="7342" xr:uid="{9169A231-0A3D-4467-ACD1-E960EC2C33C6}"/>
    <cellStyle name="20% - Accent1 4 2 3 3" xfId="4272" xr:uid="{2FCF65C0-BA35-4651-8F1A-1A126C02D87B}"/>
    <cellStyle name="20% - Accent1 4 2 3 3 2" xfId="9718" xr:uid="{3E6856F0-D02D-426C-A3F2-C29A473C3A4B}"/>
    <cellStyle name="20% - Accent1 4 2 3 4" xfId="7341" xr:uid="{FC98A896-49FC-4559-9019-7C9C32FD3BF0}"/>
    <cellStyle name="20% - Accent1 4 2 4" xfId="474" xr:uid="{CA877BC1-C098-4214-8D45-75D71C4CCCA2}"/>
    <cellStyle name="20% - Accent1 4 2 4 2" xfId="4274" xr:uid="{8AC6F47C-EE6B-4BBB-9377-E043E12761AB}"/>
    <cellStyle name="20% - Accent1 4 2 4 2 2" xfId="9720" xr:uid="{F7947DBC-9FE6-4F23-A7C8-37D7602CA5B2}"/>
    <cellStyle name="20% - Accent1 4 2 4 3" xfId="7343" xr:uid="{F4DF62BE-E1AC-40EF-BFB1-65A1719FCE78}"/>
    <cellStyle name="20% - Accent1 4 2 5" xfId="4267" xr:uid="{E7D7B5AE-7E3F-4A35-9780-AAE5CAB03A5D}"/>
    <cellStyle name="20% - Accent1 4 2 5 2" xfId="9713" xr:uid="{CF194A5B-FE4E-48B6-9ADF-BDAB079164E0}"/>
    <cellStyle name="20% - Accent1 4 2 6" xfId="7336" xr:uid="{7DF3B02D-3649-4197-8ACD-EC5383C36D57}"/>
    <cellStyle name="20% - Accent1 4 3" xfId="475" xr:uid="{5AA6CEDF-C081-4F3E-A392-0AC6CE706A9B}"/>
    <cellStyle name="20% - Accent1 4 3 2" xfId="476" xr:uid="{C42C417F-9800-4237-B016-2C9A71DC61BE}"/>
    <cellStyle name="20% - Accent1 4 3 2 2" xfId="477" xr:uid="{B21C0AA5-5FB5-421F-B82C-0919FED7AEDB}"/>
    <cellStyle name="20% - Accent1 4 3 2 2 2" xfId="478" xr:uid="{6178B595-BBFE-47F6-B41B-FCEFE7353A99}"/>
    <cellStyle name="20% - Accent1 4 3 2 2 2 2" xfId="4278" xr:uid="{895EF4C5-0091-46B8-8F0D-8FE4414511E5}"/>
    <cellStyle name="20% - Accent1 4 3 2 2 2 2 2" xfId="9724" xr:uid="{2EE53290-A98D-4064-83BC-52B5C34B0D9D}"/>
    <cellStyle name="20% - Accent1 4 3 2 2 2 3" xfId="7347" xr:uid="{C83A76D2-503C-4D76-82E3-D2A465D952BD}"/>
    <cellStyle name="20% - Accent1 4 3 2 2 3" xfId="4277" xr:uid="{B35FB0B9-DBE9-470F-9100-5461C499E59A}"/>
    <cellStyle name="20% - Accent1 4 3 2 2 3 2" xfId="9723" xr:uid="{991FDB2B-E981-43A8-AE37-3830AEC07EFA}"/>
    <cellStyle name="20% - Accent1 4 3 2 2 4" xfId="7346" xr:uid="{8E4F4326-8EFE-4509-9254-778D618972D5}"/>
    <cellStyle name="20% - Accent1 4 3 2 3" xfId="479" xr:uid="{04CE77C5-CF8B-426D-95E8-2A33990584AA}"/>
    <cellStyle name="20% - Accent1 4 3 2 3 2" xfId="4279" xr:uid="{28BD0782-54EB-4C98-BA07-D1E75DAF15D7}"/>
    <cellStyle name="20% - Accent1 4 3 2 3 2 2" xfId="9725" xr:uid="{0A611AF8-D1DC-4992-B4B1-D86D43EBEC91}"/>
    <cellStyle name="20% - Accent1 4 3 2 3 3" xfId="7348" xr:uid="{03BD6B08-3CE3-4EAD-A85A-0BAE74139D45}"/>
    <cellStyle name="20% - Accent1 4 3 2 4" xfId="4276" xr:uid="{44210115-3C40-4D93-AE17-335A788FF3F0}"/>
    <cellStyle name="20% - Accent1 4 3 2 4 2" xfId="9722" xr:uid="{61E17DEE-EE74-434C-9CC1-B76F4D7F086C}"/>
    <cellStyle name="20% - Accent1 4 3 2 5" xfId="7345" xr:uid="{FC5BF306-D375-4044-8452-01813D4B2ABA}"/>
    <cellStyle name="20% - Accent1 4 3 3" xfId="480" xr:uid="{40E87A48-99BD-4095-9386-8730461D3A32}"/>
    <cellStyle name="20% - Accent1 4 3 3 2" xfId="481" xr:uid="{71947D28-3042-4351-9CB5-4EEBFC2C156C}"/>
    <cellStyle name="20% - Accent1 4 3 3 2 2" xfId="4281" xr:uid="{E97BC11A-2A07-42B9-991A-A6D70026421D}"/>
    <cellStyle name="20% - Accent1 4 3 3 2 2 2" xfId="9727" xr:uid="{3932CF5C-580C-4346-80A2-EF26AF9CFEC8}"/>
    <cellStyle name="20% - Accent1 4 3 3 2 3" xfId="7350" xr:uid="{F8BE90CB-0385-4F93-9B8C-FDD1C252A858}"/>
    <cellStyle name="20% - Accent1 4 3 3 3" xfId="4280" xr:uid="{DD6FC49B-529D-482D-B29C-D858991CB9AF}"/>
    <cellStyle name="20% - Accent1 4 3 3 3 2" xfId="9726" xr:uid="{19A36DC9-12A6-443A-B897-B3C90AD97A62}"/>
    <cellStyle name="20% - Accent1 4 3 3 4" xfId="7349" xr:uid="{B358449E-8D22-4FF9-94EB-621910999086}"/>
    <cellStyle name="20% - Accent1 4 3 4" xfId="482" xr:uid="{107ED8B4-C5BE-4B29-A65B-B1D8FA45DEFC}"/>
    <cellStyle name="20% - Accent1 4 3 4 2" xfId="4282" xr:uid="{E7C7A84E-88BB-4196-9E90-B4E6C5A29AFD}"/>
    <cellStyle name="20% - Accent1 4 3 4 2 2" xfId="9728" xr:uid="{D380844E-72D0-4CF3-A3B4-9D97630E80E0}"/>
    <cellStyle name="20% - Accent1 4 3 4 3" xfId="7351" xr:uid="{A957A5D8-A93C-4991-8198-84CE091E72BB}"/>
    <cellStyle name="20% - Accent1 4 3 5" xfId="4275" xr:uid="{8670F6AF-8025-481F-BB17-45DDBE11456A}"/>
    <cellStyle name="20% - Accent1 4 3 5 2" xfId="9721" xr:uid="{C2DC709D-0734-43D6-B44A-617308F11A8C}"/>
    <cellStyle name="20% - Accent1 4 3 6" xfId="7344" xr:uid="{2E6117AC-88BC-40EB-9E97-F0A54E717F76}"/>
    <cellStyle name="20% - Accent1 4 4" xfId="483" xr:uid="{6B9D6EA1-A809-4EF2-A99B-DA471AEF081D}"/>
    <cellStyle name="20% - Accent1 4 4 2" xfId="484" xr:uid="{60E79CB4-F361-4B56-8BA5-B6CABB8621C2}"/>
    <cellStyle name="20% - Accent1 4 4 2 2" xfId="485" xr:uid="{241EB7AD-1542-4B38-868F-BCAF50628FCA}"/>
    <cellStyle name="20% - Accent1 4 4 2 2 2" xfId="4285" xr:uid="{9AD6F2D0-755D-47B7-AC66-C0F72D30492B}"/>
    <cellStyle name="20% - Accent1 4 4 2 2 2 2" xfId="9731" xr:uid="{EE004907-DBFC-4915-A28D-E05BD06922E1}"/>
    <cellStyle name="20% - Accent1 4 4 2 2 3" xfId="7354" xr:uid="{4B9806AD-A2E0-4BAE-8ABF-38D2E14C9490}"/>
    <cellStyle name="20% - Accent1 4 4 2 3" xfId="4284" xr:uid="{70858AC0-B6DB-42C3-89AF-8D134E87843E}"/>
    <cellStyle name="20% - Accent1 4 4 2 3 2" xfId="9730" xr:uid="{1F61018A-F830-4D28-A816-ACBE02CA2057}"/>
    <cellStyle name="20% - Accent1 4 4 2 4" xfId="7353" xr:uid="{B999FC3A-2EA2-4740-9227-12E863155955}"/>
    <cellStyle name="20% - Accent1 4 4 3" xfId="486" xr:uid="{90EADCBB-D18C-4CF9-BE97-3F3F95B5F223}"/>
    <cellStyle name="20% - Accent1 4 4 3 2" xfId="4286" xr:uid="{3AE982A1-DEA1-412D-B24B-50FAC7BCC9EC}"/>
    <cellStyle name="20% - Accent1 4 4 3 2 2" xfId="9732" xr:uid="{8BEE41B6-0565-4532-9317-11A707B5EB03}"/>
    <cellStyle name="20% - Accent1 4 4 3 3" xfId="7355" xr:uid="{18B9049F-2D6B-4E22-80F7-10667AFF95AA}"/>
    <cellStyle name="20% - Accent1 4 4 4" xfId="4283" xr:uid="{836E913A-1563-4150-8D07-FAF3920CBE7D}"/>
    <cellStyle name="20% - Accent1 4 4 4 2" xfId="9729" xr:uid="{4E1A8AD2-825D-41A4-94EB-BC8D6EB6C390}"/>
    <cellStyle name="20% - Accent1 4 4 5" xfId="7352" xr:uid="{0E424E7E-8FC6-489C-9E0A-99A674596AE3}"/>
    <cellStyle name="20% - Accent1 4 5" xfId="487" xr:uid="{3DB08842-01F2-4299-B8E5-3E9F0592E97A}"/>
    <cellStyle name="20% - Accent1 4 5 2" xfId="488" xr:uid="{3FE776F6-F99F-44D2-AFEE-9C79F02E33E4}"/>
    <cellStyle name="20% - Accent1 4 5 2 2" xfId="4288" xr:uid="{0ED9141F-FFD4-452C-B3A4-EF396E40E772}"/>
    <cellStyle name="20% - Accent1 4 5 2 2 2" xfId="9734" xr:uid="{3E8D4F9B-5300-4424-8668-C1A26000862C}"/>
    <cellStyle name="20% - Accent1 4 5 2 3" xfId="7357" xr:uid="{F4ED01B0-3F7D-4B0A-B87C-F7F4157582B4}"/>
    <cellStyle name="20% - Accent1 4 5 3" xfId="4287" xr:uid="{AD194CA1-D4E6-4909-8287-911009A93F7C}"/>
    <cellStyle name="20% - Accent1 4 5 3 2" xfId="9733" xr:uid="{AD5970E2-2B10-48A0-A7D8-1D797984BC4C}"/>
    <cellStyle name="20% - Accent1 4 5 4" xfId="7356" xr:uid="{C887379C-FBDC-456B-A813-5F812A9F60A0}"/>
    <cellStyle name="20% - Accent1 4 6" xfId="489" xr:uid="{6BCF578A-B3D3-4378-9D26-AAE2633AE728}"/>
    <cellStyle name="20% - Accent1 4 6 2" xfId="4289" xr:uid="{F1284AED-9485-46CE-A2A5-DCE0C679F3B6}"/>
    <cellStyle name="20% - Accent1 4 6 2 2" xfId="9735" xr:uid="{2E2E3D0D-64B5-4147-BFDB-912AA543279D}"/>
    <cellStyle name="20% - Accent1 4 6 3" xfId="7358" xr:uid="{ABA79C5C-76A6-455D-880A-F8BA239A5E8A}"/>
    <cellStyle name="20% - Accent1 4 7" xfId="4266" xr:uid="{7D749D47-7F4D-4D3C-844A-D95A4E2763FB}"/>
    <cellStyle name="20% - Accent1 4 7 2" xfId="9712" xr:uid="{A8DD7711-DC01-4EE5-B120-C565991F29B9}"/>
    <cellStyle name="20% - Accent1 4 8" xfId="7335" xr:uid="{2CADDA5E-FA41-474A-ACFD-4237B6325FA7}"/>
    <cellStyle name="20% - Accent1 5" xfId="490" xr:uid="{6B31816F-F9FB-4E1D-B16A-35BF08726A21}"/>
    <cellStyle name="20% - Accent1 5 2" xfId="491" xr:uid="{DECBD209-A77C-4283-8613-9B320CF7FD56}"/>
    <cellStyle name="20% - Accent1 5 2 2" xfId="492" xr:uid="{93559ED7-FA2D-4D9F-BE74-D811538AB5AC}"/>
    <cellStyle name="20% - Accent1 5 2 2 2" xfId="493" xr:uid="{8916A617-AC3A-4C10-A51B-A7BC3F42D9C2}"/>
    <cellStyle name="20% - Accent1 5 2 2 2 2" xfId="4293" xr:uid="{55818D26-BD3F-49DF-B7BE-E56E1BD4979F}"/>
    <cellStyle name="20% - Accent1 5 2 2 2 2 2" xfId="9739" xr:uid="{CF1D0341-90ED-4745-B00D-8EE4F367F110}"/>
    <cellStyle name="20% - Accent1 5 2 2 2 3" xfId="7362" xr:uid="{AD4E67AB-D83A-4421-832E-F494BACDD388}"/>
    <cellStyle name="20% - Accent1 5 2 2 3" xfId="4292" xr:uid="{ED860B03-4112-47C2-9D75-6E4EE6864BA7}"/>
    <cellStyle name="20% - Accent1 5 2 2 3 2" xfId="9738" xr:uid="{EDDCFF0C-A2E6-4E71-9A42-F933B7FB3A50}"/>
    <cellStyle name="20% - Accent1 5 2 2 4" xfId="7361" xr:uid="{52C90709-5926-41A2-B5A1-D11B6CB7BEB7}"/>
    <cellStyle name="20% - Accent1 5 2 3" xfId="494" xr:uid="{20FF7DD5-162F-4818-8FC7-8C55EEDB2BDA}"/>
    <cellStyle name="20% - Accent1 5 2 3 2" xfId="4294" xr:uid="{0D184DB0-4D39-45B1-9001-013DB1850DCB}"/>
    <cellStyle name="20% - Accent1 5 2 3 2 2" xfId="9740" xr:uid="{F6C3DF64-6038-4CB3-AB63-B60D14E0DA70}"/>
    <cellStyle name="20% - Accent1 5 2 3 3" xfId="7363" xr:uid="{A12B3AC8-CAA5-463B-96AA-3C87702BC2C5}"/>
    <cellStyle name="20% - Accent1 5 2 4" xfId="4291" xr:uid="{BB6AAF6E-E4A1-49A4-B5C7-171036086FD5}"/>
    <cellStyle name="20% - Accent1 5 2 4 2" xfId="9737" xr:uid="{ECCA4DD9-B665-4619-A1F0-8A11FD53BBE4}"/>
    <cellStyle name="20% - Accent1 5 2 5" xfId="7360" xr:uid="{4C56632B-973B-4F2F-83CD-739252C35F44}"/>
    <cellStyle name="20% - Accent1 5 3" xfId="495" xr:uid="{0F030811-0D7F-468F-BAFC-42F70021CF96}"/>
    <cellStyle name="20% - Accent1 5 3 2" xfId="496" xr:uid="{A5D09839-EE48-402B-B2E4-7822052A2B4A}"/>
    <cellStyle name="20% - Accent1 5 3 2 2" xfId="4296" xr:uid="{86BA24AC-83B1-46A5-9A86-120629EAD972}"/>
    <cellStyle name="20% - Accent1 5 3 2 2 2" xfId="9742" xr:uid="{B608F2B8-3884-47CC-AAD3-CD77A2D2B77F}"/>
    <cellStyle name="20% - Accent1 5 3 2 3" xfId="7365" xr:uid="{4575D840-E0B1-4119-B1A8-CDDB1CD0D5A6}"/>
    <cellStyle name="20% - Accent1 5 3 3" xfId="4295" xr:uid="{B4B19DC5-75DE-4B36-9714-CAAE11D4DAFA}"/>
    <cellStyle name="20% - Accent1 5 3 3 2" xfId="9741" xr:uid="{612712C6-EEF4-47FD-8D63-F4FD2048D41A}"/>
    <cellStyle name="20% - Accent1 5 3 4" xfId="7364" xr:uid="{7FFADA8B-7E71-4CE3-9277-9D82CBB91BEB}"/>
    <cellStyle name="20% - Accent1 5 4" xfId="497" xr:uid="{4BF57030-4C0A-40D6-A900-F651F8BEBE2E}"/>
    <cellStyle name="20% - Accent1 5 4 2" xfId="4297" xr:uid="{FF254BFB-8DF4-4392-9983-6652B4FE4BFF}"/>
    <cellStyle name="20% - Accent1 5 4 2 2" xfId="9743" xr:uid="{40C1E20A-D804-410F-9584-5036A52DD6C5}"/>
    <cellStyle name="20% - Accent1 5 4 3" xfId="7366" xr:uid="{4E654017-1966-49A3-B597-F9EA56D1382F}"/>
    <cellStyle name="20% - Accent1 5 5" xfId="3365" xr:uid="{9C2FD0F8-0A7A-4211-863D-B34167589C64}"/>
    <cellStyle name="20% - Accent1 5 5 2" xfId="5854" xr:uid="{06CD7028-92AF-4576-8397-AA89800C8511}"/>
    <cellStyle name="20% - Accent1 5 5 2 2" xfId="11296" xr:uid="{C0F8AD3C-B033-43F9-9E0A-794969D228EB}"/>
    <cellStyle name="20% - Accent1 5 5 3" xfId="8912" xr:uid="{1F6B9A71-0A05-4541-96EE-EB04CD707B05}"/>
    <cellStyle name="20% - Accent1 5 6" xfId="2059" xr:uid="{CC808A9B-1876-4587-AC26-23DA388548FD}"/>
    <cellStyle name="20% - Accent1 5 7" xfId="4290" xr:uid="{92BC86A0-0667-4759-BFA6-2969C504A4F2}"/>
    <cellStyle name="20% - Accent1 5 7 2" xfId="9736" xr:uid="{8572D1FC-06E1-47BB-A6DF-474FD54F5139}"/>
    <cellStyle name="20% - Accent1 5 8" xfId="7359" xr:uid="{B2C7C92D-7CF7-41E2-9450-3AEB2771C28E}"/>
    <cellStyle name="20% - Accent1 6" xfId="498" xr:uid="{366258CD-BAD3-4F52-BC7E-56F1B90390F1}"/>
    <cellStyle name="20% - Accent1 6 2" xfId="499" xr:uid="{D5E52D36-1273-4815-8EB1-EE808D5D6135}"/>
    <cellStyle name="20% - Accent1 6 2 2" xfId="500" xr:uid="{3C589662-F543-4FA6-B467-1BB0522262EE}"/>
    <cellStyle name="20% - Accent1 6 2 2 2" xfId="501" xr:uid="{B25BBA5E-803E-43A9-8C0D-FC48FEE50852}"/>
    <cellStyle name="20% - Accent1 6 2 2 2 2" xfId="4301" xr:uid="{D35F01CD-7826-4526-8EA0-2719E9563A4F}"/>
    <cellStyle name="20% - Accent1 6 2 2 2 2 2" xfId="9747" xr:uid="{E3558BB5-B5DF-4B73-A1E7-B049372CD8DE}"/>
    <cellStyle name="20% - Accent1 6 2 2 2 3" xfId="7370" xr:uid="{84C2A603-3F50-4824-A37C-F8710F42FC59}"/>
    <cellStyle name="20% - Accent1 6 2 2 3" xfId="4300" xr:uid="{76015F26-A24E-4D6D-AF6B-90F00ED4CE3D}"/>
    <cellStyle name="20% - Accent1 6 2 2 3 2" xfId="9746" xr:uid="{BF2C769E-F072-4170-B020-2997436B192B}"/>
    <cellStyle name="20% - Accent1 6 2 2 4" xfId="7369" xr:uid="{02124A20-2AC1-48D5-8CD1-F13CB606143D}"/>
    <cellStyle name="20% - Accent1 6 2 3" xfId="502" xr:uid="{3B5A5885-0857-490C-AD9E-C2977546454B}"/>
    <cellStyle name="20% - Accent1 6 2 3 2" xfId="4302" xr:uid="{2B00D2C5-84DF-4F50-B974-A2CF437790C0}"/>
    <cellStyle name="20% - Accent1 6 2 3 2 2" xfId="9748" xr:uid="{DA6F7AEE-57DE-44DC-B05E-9F4CF1509C20}"/>
    <cellStyle name="20% - Accent1 6 2 3 3" xfId="7371" xr:uid="{A87113D5-93F7-4873-8935-4A30D5663CCB}"/>
    <cellStyle name="20% - Accent1 6 2 4" xfId="4299" xr:uid="{006C850C-04FA-4C46-BB64-AE72204571FC}"/>
    <cellStyle name="20% - Accent1 6 2 4 2" xfId="9745" xr:uid="{A6DDFEBD-7E75-4A90-AA6E-E8C6671778F4}"/>
    <cellStyle name="20% - Accent1 6 2 5" xfId="7368" xr:uid="{6957563C-1AAB-424D-AB95-6F0DC786EF29}"/>
    <cellStyle name="20% - Accent1 6 3" xfId="503" xr:uid="{29A6CC70-D92E-4051-893B-CAC30C5D7981}"/>
    <cellStyle name="20% - Accent1 6 3 2" xfId="504" xr:uid="{14EA9E78-CF87-40BB-82F2-09F392A33702}"/>
    <cellStyle name="20% - Accent1 6 3 2 2" xfId="4304" xr:uid="{6C00D87C-AC1A-419A-9DE4-27EF36A210DE}"/>
    <cellStyle name="20% - Accent1 6 3 2 2 2" xfId="9750" xr:uid="{97CA8A57-12F4-4F2F-95CB-11F596E02B33}"/>
    <cellStyle name="20% - Accent1 6 3 2 3" xfId="7373" xr:uid="{F83DE0F6-04CA-40B5-9DBB-3FFD6A1003D9}"/>
    <cellStyle name="20% - Accent1 6 3 3" xfId="4303" xr:uid="{0C75715A-DD23-4967-9F5F-CA8D6100B8DD}"/>
    <cellStyle name="20% - Accent1 6 3 3 2" xfId="9749" xr:uid="{71E0EBBF-A299-435A-9D5F-7290D316174F}"/>
    <cellStyle name="20% - Accent1 6 3 4" xfId="7372" xr:uid="{075825F7-81ED-409E-A256-70ADEB6CD546}"/>
    <cellStyle name="20% - Accent1 6 4" xfId="505" xr:uid="{11A1E79C-E76C-4E78-B67A-AE2023268093}"/>
    <cellStyle name="20% - Accent1 6 4 2" xfId="4305" xr:uid="{14FF0710-D7E7-4C1D-B489-1340D1906C37}"/>
    <cellStyle name="20% - Accent1 6 4 2 2" xfId="9751" xr:uid="{5614D7E9-E196-461C-AB3B-41025632B26C}"/>
    <cellStyle name="20% - Accent1 6 4 3" xfId="7374" xr:uid="{5E437AEE-B484-4117-9860-5D388AC6717E}"/>
    <cellStyle name="20% - Accent1 6 5" xfId="3366" xr:uid="{48FA7569-13C7-417B-B64B-843BF0614938}"/>
    <cellStyle name="20% - Accent1 6 5 2" xfId="5855" xr:uid="{2FC5AB0F-B19D-45DD-A031-B0E099338F0C}"/>
    <cellStyle name="20% - Accent1 6 5 2 2" xfId="11297" xr:uid="{CF0D2981-B145-4CA7-9E28-175F547E85DD}"/>
    <cellStyle name="20% - Accent1 6 5 3" xfId="8913" xr:uid="{EE439346-8D76-4F89-A17D-01A4CDDD51FF}"/>
    <cellStyle name="20% - Accent1 6 6" xfId="2057" xr:uid="{AF91C743-9EE4-4990-A157-58BC4DCAE2E6}"/>
    <cellStyle name="20% - Accent1 6 7" xfId="4298" xr:uid="{61093A50-63FF-4C9B-9D6C-4F7D1C671CA5}"/>
    <cellStyle name="20% - Accent1 6 7 2" xfId="9744" xr:uid="{AB1692F6-B49A-4E03-8D4E-AD98E267547C}"/>
    <cellStyle name="20% - Accent1 6 8" xfId="7367" xr:uid="{4B242359-7546-4CAD-AA93-9F2D86AA1AF5}"/>
    <cellStyle name="20% - Accent1 7" xfId="506" xr:uid="{489802C7-EA1B-4AD3-9851-92E6498D2AD6}"/>
    <cellStyle name="20% - Accent1 7 2" xfId="507" xr:uid="{67DE4C59-4AB2-48B9-BD9B-3B28FABB0BE0}"/>
    <cellStyle name="20% - Accent1 7 2 2" xfId="508" xr:uid="{44755323-9EE6-4B14-9A7B-C9AE17D64E4C}"/>
    <cellStyle name="20% - Accent1 7 2 2 2" xfId="4308" xr:uid="{F02A8089-3130-41EB-A9A8-6EF9ECD0EDCA}"/>
    <cellStyle name="20% - Accent1 7 2 2 2 2" xfId="9754" xr:uid="{E448F6FD-D530-41EF-9E40-E62B74CCDF38}"/>
    <cellStyle name="20% - Accent1 7 2 2 3" xfId="7377" xr:uid="{13C06F52-70CB-4DDC-89D2-9C8FDE427FB5}"/>
    <cellStyle name="20% - Accent1 7 2 3" xfId="4307" xr:uid="{486A6229-5379-4BAC-8D6E-6B99FC6166C7}"/>
    <cellStyle name="20% - Accent1 7 2 3 2" xfId="9753" xr:uid="{A8B18578-D797-413E-813B-2DD76F34409D}"/>
    <cellStyle name="20% - Accent1 7 2 4" xfId="7376" xr:uid="{49AAF1E5-94A1-454F-BD39-54037810AF44}"/>
    <cellStyle name="20% - Accent1 7 3" xfId="509" xr:uid="{ABEEC7A3-1F81-4450-B482-147797E45E2E}"/>
    <cellStyle name="20% - Accent1 7 3 2" xfId="4309" xr:uid="{F00E1BCD-4E12-4887-ABAF-F886C4A0AFA9}"/>
    <cellStyle name="20% - Accent1 7 3 2 2" xfId="9755" xr:uid="{8A7DD3B2-2C3F-4D7B-A725-0D0F7F5A0B9D}"/>
    <cellStyle name="20% - Accent1 7 3 3" xfId="7378" xr:uid="{1E41B0BF-CF5A-4AF0-BA58-1CF6454474C9}"/>
    <cellStyle name="20% - Accent1 7 4" xfId="3367" xr:uid="{35BABB9A-C62E-4070-ABE7-10C7CE62F5CF}"/>
    <cellStyle name="20% - Accent1 7 4 2" xfId="5856" xr:uid="{12FD9487-F1D8-4F05-BFA7-02D9E8B18067}"/>
    <cellStyle name="20% - Accent1 7 4 2 2" xfId="11298" xr:uid="{6A0D9B10-0467-44EA-8D1A-A878203588BF}"/>
    <cellStyle name="20% - Accent1 7 4 3" xfId="8914" xr:uid="{B9D0E003-E5E1-4726-989C-FA013A07B080}"/>
    <cellStyle name="20% - Accent1 7 5" xfId="2066" xr:uid="{9B5B5BF7-2254-4848-A38E-CEBFEB6C10A7}"/>
    <cellStyle name="20% - Accent1 7 6" xfId="4306" xr:uid="{CBF39546-1FF0-451B-BA9E-2172F06C2486}"/>
    <cellStyle name="20% - Accent1 7 6 2" xfId="9752" xr:uid="{4D4C07CA-08B9-470C-B09B-E8BB7D51729B}"/>
    <cellStyle name="20% - Accent1 7 7" xfId="7375" xr:uid="{FEFCD4AC-699D-4CD1-B759-84F8040A117A}"/>
    <cellStyle name="20% - Accent1 8" xfId="510" xr:uid="{4C8472F9-0351-43AD-9CA6-4DE625160DD1}"/>
    <cellStyle name="20% - Accent1 8 2" xfId="511" xr:uid="{4FE79770-3CC5-4F34-9997-66B054DC3978}"/>
    <cellStyle name="20% - Accent1 8 2 2" xfId="512" xr:uid="{2A1701B8-DA55-4790-A045-32CA4A975ABA}"/>
    <cellStyle name="20% - Accent1 8 2 2 2" xfId="4312" xr:uid="{805F9918-A0DA-458C-A669-6EAF17A58816}"/>
    <cellStyle name="20% - Accent1 8 2 2 2 2" xfId="9758" xr:uid="{CB2A5762-B0A4-49B5-9620-0D50CEA55A15}"/>
    <cellStyle name="20% - Accent1 8 2 2 3" xfId="7381" xr:uid="{25E8A062-8002-448E-9326-83E47854439D}"/>
    <cellStyle name="20% - Accent1 8 2 3" xfId="4311" xr:uid="{0041051C-3311-4DC3-9066-13075EEA31E9}"/>
    <cellStyle name="20% - Accent1 8 2 3 2" xfId="9757" xr:uid="{D1154054-E2D6-483F-B3DA-0D89FB2E7714}"/>
    <cellStyle name="20% - Accent1 8 2 4" xfId="7380" xr:uid="{2998993E-2A2B-4198-98E3-F945547F8BFE}"/>
    <cellStyle name="20% - Accent1 8 3" xfId="513" xr:uid="{A7CA50AB-E371-4CF0-BEB0-366DF9AA5DDB}"/>
    <cellStyle name="20% - Accent1 8 3 2" xfId="4313" xr:uid="{BC105EF5-CDA5-413F-80BC-CDE2FCDA9504}"/>
    <cellStyle name="20% - Accent1 8 3 2 2" xfId="9759" xr:uid="{81C7D87D-8DAA-4740-A6E4-0266A83AFF38}"/>
    <cellStyle name="20% - Accent1 8 3 3" xfId="7382" xr:uid="{B98B17F6-9FA8-4BA1-8FE3-A574DADCC728}"/>
    <cellStyle name="20% - Accent1 8 4" xfId="4310" xr:uid="{93FFCB97-D206-4AF1-9CE3-CB4CB6448811}"/>
    <cellStyle name="20% - Accent1 8 4 2" xfId="9756" xr:uid="{385D53BD-6062-461E-B639-804F559E811E}"/>
    <cellStyle name="20% - Accent1 8 5" xfId="7379" xr:uid="{8DF35BBE-7C75-4BFD-BF19-82FA8083968C}"/>
    <cellStyle name="20% - Accent1 9" xfId="514" xr:uid="{3CBB9126-78EE-4454-9A96-C31A3EF6F3D9}"/>
    <cellStyle name="20% - Accent1 9 2" xfId="515" xr:uid="{1AD9E454-55EB-40DE-A04C-95FBAF99F325}"/>
    <cellStyle name="20% - Accent1 9 2 2" xfId="4315" xr:uid="{69537606-48CF-4DA7-88E5-AACC72BF7FB0}"/>
    <cellStyle name="20% - Accent1 9 2 2 2" xfId="9761" xr:uid="{E00E9209-3C32-4839-98E5-2AB1AD770C51}"/>
    <cellStyle name="20% - Accent1 9 2 3" xfId="7384" xr:uid="{4E6DAD21-1603-46AF-936B-B4804983946C}"/>
    <cellStyle name="20% - Accent1 9 3" xfId="4314" xr:uid="{BE0980A7-0705-4BB5-A5BC-128F6DCC31C0}"/>
    <cellStyle name="20% - Accent1 9 3 2" xfId="9760" xr:uid="{481A2823-BAE5-4A12-AEF5-74B10DDEB412}"/>
    <cellStyle name="20% - Accent1 9 4" xfId="7383" xr:uid="{3EA80472-10FB-4564-8968-A7D78C06A58D}"/>
    <cellStyle name="20% - Accent2" xfId="2" builtinId="34" hidden="1" customBuiltin="1"/>
    <cellStyle name="20% - Accent2" xfId="358" builtinId="34" customBuiltin="1"/>
    <cellStyle name="20% - Accent2 10" xfId="516" xr:uid="{92738FB8-431C-4D02-9B03-1C275BFC959F}"/>
    <cellStyle name="20% - Accent2 10 2" xfId="517" xr:uid="{0F48B7F7-888D-4936-88C2-B55D96F9DDDA}"/>
    <cellStyle name="20% - Accent2 10 2 2" xfId="4317" xr:uid="{16CA7C9F-665F-4FBA-AF59-0769015EAD1E}"/>
    <cellStyle name="20% - Accent2 10 2 2 2" xfId="9763" xr:uid="{2AEC1C34-67FC-46B4-8BB1-D1FFAB8B6EF4}"/>
    <cellStyle name="20% - Accent2 10 2 3" xfId="7386" xr:uid="{23D13237-FB9F-4525-B1C2-DEEAA3D3183B}"/>
    <cellStyle name="20% - Accent2 10 3" xfId="4316" xr:uid="{B054A106-2F93-4AD2-81EA-7EE54986C907}"/>
    <cellStyle name="20% - Accent2 10 3 2" xfId="9762" xr:uid="{4A53AD5F-CD34-4BC5-8AB0-B7DB744AAAFC}"/>
    <cellStyle name="20% - Accent2 10 4" xfId="7385" xr:uid="{C13CD709-4C00-4635-A7B5-9F300F0AC72E}"/>
    <cellStyle name="20% - Accent2 11" xfId="518" xr:uid="{45EAE8C0-9125-46C2-A139-0B523C732D5B}"/>
    <cellStyle name="20% - Accent2 11 2" xfId="4318" xr:uid="{3F915F73-C90B-4188-A453-76E86ACE03A0}"/>
    <cellStyle name="20% - Accent2 11 2 2" xfId="9764" xr:uid="{014D58E2-78C1-433C-A1E1-0EF2E05EBAC6}"/>
    <cellStyle name="20% - Accent2 11 3" xfId="7387" xr:uid="{87AB820F-14B7-4D13-B580-BAF4206D22E6}"/>
    <cellStyle name="20% - Accent2 12" xfId="519" xr:uid="{6FE3B165-D13C-41BA-8595-BD7976CCA33B}"/>
    <cellStyle name="20% - Accent2 12 2" xfId="4319" xr:uid="{970D648F-59C6-4AD9-AAF9-309DA89BE507}"/>
    <cellStyle name="20% - Accent2 12 2 2" xfId="9765" xr:uid="{822E9AF0-B5E6-465A-97F9-8B55D0C21842}"/>
    <cellStyle name="20% - Accent2 12 3" xfId="7388" xr:uid="{25C91803-C42E-4170-B26C-FC12AA43484D}"/>
    <cellStyle name="20% - Accent2 13" xfId="4186" xr:uid="{48304765-5883-4952-BF4C-4FD4D51B62D8}"/>
    <cellStyle name="20% - Accent2 13 2" xfId="9632" xr:uid="{50BBF6F7-1AF0-4921-963A-74D8A7D1B58C}"/>
    <cellStyle name="20% - Accent2 14" xfId="7254" xr:uid="{449A8688-A98D-473B-8DD5-B633E26F02E2}"/>
    <cellStyle name="20% - Accent2 2" xfId="520" xr:uid="{A823374F-004F-490A-A7F9-936E925B765E}"/>
    <cellStyle name="20% - Accent2 2 2" xfId="521" xr:uid="{8A5B38EB-DC57-4FF9-A5A2-6BBC0E5A058C}"/>
    <cellStyle name="20% - Accent2 2 2 2" xfId="522" xr:uid="{AB9B2680-6645-4B8D-9078-BD7ED78E7959}"/>
    <cellStyle name="20% - Accent2 2 2 2 2" xfId="523" xr:uid="{74B11AF2-9020-4846-8DEE-42C0D710143F}"/>
    <cellStyle name="20% - Accent2 2 2 2 2 2" xfId="524" xr:uid="{DE67EE65-2E51-4408-9318-10620B5AD5C4}"/>
    <cellStyle name="20% - Accent2 2 2 2 2 2 2" xfId="4324" xr:uid="{57153805-82B3-4594-BC29-D74510B40C71}"/>
    <cellStyle name="20% - Accent2 2 2 2 2 2 2 2" xfId="9770" xr:uid="{EA81893E-DA35-4A9D-A9E9-F37C0A89D2D4}"/>
    <cellStyle name="20% - Accent2 2 2 2 2 2 3" xfId="7393" xr:uid="{DDFEEA62-D934-4E17-848A-0A1EC5DE6AF2}"/>
    <cellStyle name="20% - Accent2 2 2 2 2 3" xfId="4323" xr:uid="{BDBFE72D-02AF-4DA8-8404-E66B823E66E5}"/>
    <cellStyle name="20% - Accent2 2 2 2 2 3 2" xfId="9769" xr:uid="{2BEDFDEB-25C4-4F96-BB56-DBACFEF727CD}"/>
    <cellStyle name="20% - Accent2 2 2 2 2 4" xfId="7392" xr:uid="{F66AABB6-2E4F-42EA-8830-8457CBA45259}"/>
    <cellStyle name="20% - Accent2 2 2 2 3" xfId="525" xr:uid="{E517F57A-6BB4-457C-9BEB-CBD6C8A9D62F}"/>
    <cellStyle name="20% - Accent2 2 2 2 3 2" xfId="4325" xr:uid="{57932FDF-9CB4-41C6-B83C-FCD94EDECEB8}"/>
    <cellStyle name="20% - Accent2 2 2 2 3 2 2" xfId="9771" xr:uid="{25FE2672-A00A-42A5-AF24-D69343782A34}"/>
    <cellStyle name="20% - Accent2 2 2 2 3 3" xfId="7394" xr:uid="{7FC9EBB0-E7C2-40E5-969F-5C31473FDA4C}"/>
    <cellStyle name="20% - Accent2 2 2 2 4" xfId="4322" xr:uid="{69FEB0A2-E962-432E-8AC8-9DB7F562EDDF}"/>
    <cellStyle name="20% - Accent2 2 2 2 4 2" xfId="9768" xr:uid="{D2D39F98-1001-408A-8AE8-1C8AEE851CCD}"/>
    <cellStyle name="20% - Accent2 2 2 2 5" xfId="7391" xr:uid="{60BCDEFB-5976-48D0-9FD6-AC266EA42BCF}"/>
    <cellStyle name="20% - Accent2 2 2 3" xfId="526" xr:uid="{D2739B75-C202-474E-9ABA-39577F4FCC31}"/>
    <cellStyle name="20% - Accent2 2 2 3 2" xfId="527" xr:uid="{7DA8BEB9-5D1E-41D4-84A3-6D6F93933AD5}"/>
    <cellStyle name="20% - Accent2 2 2 3 2 2" xfId="4327" xr:uid="{1C0608D0-A33C-44B0-9EF0-527305569EEA}"/>
    <cellStyle name="20% - Accent2 2 2 3 2 2 2" xfId="9773" xr:uid="{751FCE54-088A-434E-B517-EC29A4E3D037}"/>
    <cellStyle name="20% - Accent2 2 2 3 2 3" xfId="7396" xr:uid="{7CAE8F66-F0AD-43E9-B476-2C856B406DAF}"/>
    <cellStyle name="20% - Accent2 2 2 3 3" xfId="4326" xr:uid="{6297FB7F-2990-4CA3-A056-9032ACE56DA3}"/>
    <cellStyle name="20% - Accent2 2 2 3 3 2" xfId="9772" xr:uid="{0E31856C-59C1-468D-A356-2DCB6197BA8D}"/>
    <cellStyle name="20% - Accent2 2 2 3 4" xfId="7395" xr:uid="{3AAF5149-912B-4908-B023-0F93D3BD6083}"/>
    <cellStyle name="20% - Accent2 2 2 4" xfId="528" xr:uid="{BFD488D2-CD78-4D20-BBB7-268B40B36A7D}"/>
    <cellStyle name="20% - Accent2 2 2 4 2" xfId="4328" xr:uid="{BDCDFFE5-C75A-4CEC-A46E-FB8367441F97}"/>
    <cellStyle name="20% - Accent2 2 2 4 2 2" xfId="9774" xr:uid="{C90AE269-92DE-48FA-9F5A-275F21CDF19A}"/>
    <cellStyle name="20% - Accent2 2 2 4 3" xfId="7397" xr:uid="{47437F62-EE00-498F-AFCB-2888EB504250}"/>
    <cellStyle name="20% - Accent2 2 2 5" xfId="4321" xr:uid="{A1A11C39-9147-4CB9-8D53-4C18CC5628CD}"/>
    <cellStyle name="20% - Accent2 2 2 5 2" xfId="9767" xr:uid="{E9C1A9FD-C26F-4E7A-8D98-43A0BA8CF45C}"/>
    <cellStyle name="20% - Accent2 2 2 6" xfId="7390" xr:uid="{BFFA8CC4-83C7-4560-B1A2-EACD5C187A8E}"/>
    <cellStyle name="20% - Accent2 2 3" xfId="529" xr:uid="{DD389038-70E7-472E-ABAB-68833059C8CA}"/>
    <cellStyle name="20% - Accent2 2 3 2" xfId="530" xr:uid="{1A202194-F79C-4D5F-9712-2CB666F14A3A}"/>
    <cellStyle name="20% - Accent2 2 3 2 2" xfId="531" xr:uid="{0BFABE9C-AE6F-416F-BBE3-322AD657CC18}"/>
    <cellStyle name="20% - Accent2 2 3 2 2 2" xfId="532" xr:uid="{3EBC205E-CF77-41F2-9EB3-966FBE268878}"/>
    <cellStyle name="20% - Accent2 2 3 2 2 2 2" xfId="4332" xr:uid="{53D94246-3B93-4433-B25E-B99665BE67F0}"/>
    <cellStyle name="20% - Accent2 2 3 2 2 2 2 2" xfId="9778" xr:uid="{AFE7DD64-5ED7-4E02-9F3A-E1ACBCE7FE1A}"/>
    <cellStyle name="20% - Accent2 2 3 2 2 2 3" xfId="7401" xr:uid="{3493B482-CFAD-455E-A980-9D41F3144E56}"/>
    <cellStyle name="20% - Accent2 2 3 2 2 3" xfId="4331" xr:uid="{AA587D47-721F-4F03-95FC-AB6912AEB890}"/>
    <cellStyle name="20% - Accent2 2 3 2 2 3 2" xfId="9777" xr:uid="{92BBE3F0-BB8B-4377-9ABA-39DCF5148305}"/>
    <cellStyle name="20% - Accent2 2 3 2 2 4" xfId="7400" xr:uid="{E2985EDF-8490-422F-BE4B-0D68601A69B3}"/>
    <cellStyle name="20% - Accent2 2 3 2 3" xfId="533" xr:uid="{279826E9-7F95-415A-8D28-2925C4E582AC}"/>
    <cellStyle name="20% - Accent2 2 3 2 3 2" xfId="4333" xr:uid="{E56FEE16-35BB-4F78-AD7C-CB4C156DB558}"/>
    <cellStyle name="20% - Accent2 2 3 2 3 2 2" xfId="9779" xr:uid="{0C7FECA0-543B-470B-AEAC-33E58478BC98}"/>
    <cellStyle name="20% - Accent2 2 3 2 3 3" xfId="7402" xr:uid="{439B623A-90EC-402A-8471-4E793DB31D62}"/>
    <cellStyle name="20% - Accent2 2 3 2 4" xfId="4330" xr:uid="{395DB7F8-9822-4699-AAC2-85BEE43815A6}"/>
    <cellStyle name="20% - Accent2 2 3 2 4 2" xfId="9776" xr:uid="{35C36766-967A-423D-89E6-2178C6CFC65E}"/>
    <cellStyle name="20% - Accent2 2 3 2 5" xfId="7399" xr:uid="{66DA65F4-E2B7-473D-8F9F-B40F3C145FE8}"/>
    <cellStyle name="20% - Accent2 2 3 3" xfId="534" xr:uid="{67F012C2-2A58-4192-87D3-B5043E67E433}"/>
    <cellStyle name="20% - Accent2 2 3 3 2" xfId="535" xr:uid="{E24DE626-C4A2-401F-801C-FA9C45DEA2F2}"/>
    <cellStyle name="20% - Accent2 2 3 3 2 2" xfId="4335" xr:uid="{1BB52A12-9140-4212-9E4E-2B5B1B3156A9}"/>
    <cellStyle name="20% - Accent2 2 3 3 2 2 2" xfId="9781" xr:uid="{4092853F-2030-43B8-9FA5-BB36C4D04366}"/>
    <cellStyle name="20% - Accent2 2 3 3 2 3" xfId="7404" xr:uid="{F769ED05-CD4C-4AA9-9624-3251A13F3BE0}"/>
    <cellStyle name="20% - Accent2 2 3 3 3" xfId="4334" xr:uid="{DEF23EE9-5B18-4BF0-A5E4-5BA61BF2802D}"/>
    <cellStyle name="20% - Accent2 2 3 3 3 2" xfId="9780" xr:uid="{7900B5F4-247A-4B8B-8F05-285A66E20D25}"/>
    <cellStyle name="20% - Accent2 2 3 3 4" xfId="7403" xr:uid="{07577547-0CB9-4D0C-9368-DC10A561391A}"/>
    <cellStyle name="20% - Accent2 2 3 4" xfId="536" xr:uid="{BFF733FD-EF2A-4576-96AE-8DDCE21C1864}"/>
    <cellStyle name="20% - Accent2 2 3 4 2" xfId="4336" xr:uid="{F6BE87B4-FBC3-44B5-B524-EA899BDE2E86}"/>
    <cellStyle name="20% - Accent2 2 3 4 2 2" xfId="9782" xr:uid="{1E372237-2331-4208-89D6-17B778C43324}"/>
    <cellStyle name="20% - Accent2 2 3 4 3" xfId="7405" xr:uid="{9028CBD2-F97A-4D7E-8ABA-9D629BEBB2BB}"/>
    <cellStyle name="20% - Accent2 2 3 5" xfId="3368" xr:uid="{3AE5E512-ECFA-4340-89A5-977E9DE2FEA2}"/>
    <cellStyle name="20% - Accent2 2 3 5 2" xfId="5857" xr:uid="{D0EDD693-DFC5-4A7D-B7F7-33DE83F98E06}"/>
    <cellStyle name="20% - Accent2 2 3 5 2 2" xfId="11299" xr:uid="{65CF87D6-1208-431A-90A4-61936B0286BB}"/>
    <cellStyle name="20% - Accent2 2 3 5 3" xfId="8915" xr:uid="{CC79AA92-89AC-4A72-A524-3D5BEAD90EC9}"/>
    <cellStyle name="20% - Accent2 2 3 6" xfId="2064" xr:uid="{BDF1ED5C-5640-4125-B1A8-09A928CDDD2F}"/>
    <cellStyle name="20% - Accent2 2 3 7" xfId="4329" xr:uid="{AF177062-E758-4FA1-8528-F6109BB7DACF}"/>
    <cellStyle name="20% - Accent2 2 3 7 2" xfId="9775" xr:uid="{AC80B8F0-89CE-4269-B43A-7BA120BFE6AF}"/>
    <cellStyle name="20% - Accent2 2 3 8" xfId="7398" xr:uid="{DBAE9BE5-65DF-4C2D-B2EC-DA0456B69E1E}"/>
    <cellStyle name="20% - Accent2 2 4" xfId="537" xr:uid="{A17F0334-31E5-4588-A5F0-9EF720917A65}"/>
    <cellStyle name="20% - Accent2 2 4 2" xfId="538" xr:uid="{7A05B50E-F81D-48BB-AC67-9BC45812F506}"/>
    <cellStyle name="20% - Accent2 2 4 2 2" xfId="539" xr:uid="{01679635-552B-458D-9E51-663F860EC571}"/>
    <cellStyle name="20% - Accent2 2 4 2 2 2" xfId="4339" xr:uid="{E7A603B6-6CD3-42F6-9A54-908BEF0226DC}"/>
    <cellStyle name="20% - Accent2 2 4 2 2 2 2" xfId="9785" xr:uid="{9476E621-EE98-4DBB-AD3B-0BCE65B70F2E}"/>
    <cellStyle name="20% - Accent2 2 4 2 2 3" xfId="7408" xr:uid="{25092570-B253-4C79-B250-6152EABDBC21}"/>
    <cellStyle name="20% - Accent2 2 4 2 3" xfId="4338" xr:uid="{B05B2765-BB11-474C-835B-1A70B8C6786C}"/>
    <cellStyle name="20% - Accent2 2 4 2 3 2" xfId="9784" xr:uid="{82339614-61AF-49B2-A8CE-90F442F28163}"/>
    <cellStyle name="20% - Accent2 2 4 2 4" xfId="7407" xr:uid="{EE829BAF-2E7A-4CC6-BE43-8B081219AC2A}"/>
    <cellStyle name="20% - Accent2 2 4 3" xfId="540" xr:uid="{3627AEAE-5305-4735-AF36-2210188F029F}"/>
    <cellStyle name="20% - Accent2 2 4 3 2" xfId="4340" xr:uid="{7F7927F6-883D-45DA-8885-010927C63389}"/>
    <cellStyle name="20% - Accent2 2 4 3 2 2" xfId="9786" xr:uid="{F15664E1-9969-4450-A4E1-B15F984D62E9}"/>
    <cellStyle name="20% - Accent2 2 4 3 3" xfId="7409" xr:uid="{C24334DF-064E-47F0-AA87-99091DA35EE6}"/>
    <cellStyle name="20% - Accent2 2 4 4" xfId="3369" xr:uid="{EC36CD5F-2A35-42B7-B17E-2904DFA56244}"/>
    <cellStyle name="20% - Accent2 2 4 4 2" xfId="5858" xr:uid="{1FCCA48B-6CB0-4828-AB39-F022163ACC2E}"/>
    <cellStyle name="20% - Accent2 2 4 4 2 2" xfId="11300" xr:uid="{056CAFBE-399D-494B-9E77-1C4F8D7596CB}"/>
    <cellStyle name="20% - Accent2 2 4 4 3" xfId="8916" xr:uid="{4FC7F5AC-B8A6-4F31-993D-B08ECD304B2C}"/>
    <cellStyle name="20% - Accent2 2 4 5" xfId="2065" xr:uid="{527ABAFD-C1D4-46E4-9198-983B30D81C4D}"/>
    <cellStyle name="20% - Accent2 2 4 6" xfId="4337" xr:uid="{5A38E78B-51F1-4317-B37F-C3A1BE0A1682}"/>
    <cellStyle name="20% - Accent2 2 4 6 2" xfId="9783" xr:uid="{83F2D399-3B4A-4434-9108-58789477D1D5}"/>
    <cellStyle name="20% - Accent2 2 4 7" xfId="7406" xr:uid="{F13EB1A6-175D-46E5-AA42-34AC98DA0535}"/>
    <cellStyle name="20% - Accent2 2 5" xfId="541" xr:uid="{DE6BEDFD-A263-4798-B91F-1F9535986F2C}"/>
    <cellStyle name="20% - Accent2 2 5 2" xfId="542" xr:uid="{532E1507-7178-4123-A966-4EE9527B2B6B}"/>
    <cellStyle name="20% - Accent2 2 5 2 2" xfId="4342" xr:uid="{D76DD796-175D-48D9-8018-90FE3DAF8F64}"/>
    <cellStyle name="20% - Accent2 2 5 2 2 2" xfId="9788" xr:uid="{305400CB-91E8-42AA-AB74-E59DF454BA90}"/>
    <cellStyle name="20% - Accent2 2 5 2 3" xfId="7411" xr:uid="{F23E0B21-5452-422E-BF32-78E545426E67}"/>
    <cellStyle name="20% - Accent2 2 5 3" xfId="4341" xr:uid="{E1C2F654-77AD-4486-9B5D-EAD9361BF705}"/>
    <cellStyle name="20% - Accent2 2 5 3 2" xfId="9787" xr:uid="{3E6464C0-534C-4E21-BDB4-775160525941}"/>
    <cellStyle name="20% - Accent2 2 5 4" xfId="7410" xr:uid="{28495238-0507-4BEF-841F-F6032368DFB7}"/>
    <cellStyle name="20% - Accent2 2 6" xfId="543" xr:uid="{D1825262-C63C-41C5-8CF8-AAA99B985EE6}"/>
    <cellStyle name="20% - Accent2 2 6 2" xfId="4343" xr:uid="{73AE4D57-6D3E-4B22-B437-28EF84719D44}"/>
    <cellStyle name="20% - Accent2 2 6 2 2" xfId="9789" xr:uid="{32451077-05A0-4E77-97D2-4958BEB31E40}"/>
    <cellStyle name="20% - Accent2 2 6 3" xfId="7412" xr:uid="{0C0D5346-0D04-4337-B733-06602BF764C0}"/>
    <cellStyle name="20% - Accent2 2 7" xfId="544" xr:uid="{39834BE6-B7F8-4057-B141-469414CB44C1}"/>
    <cellStyle name="20% - Accent2 2 8" xfId="4320" xr:uid="{179E0CE4-CC9D-4B30-8A91-41EDD515CD44}"/>
    <cellStyle name="20% - Accent2 2 8 2" xfId="9766" xr:uid="{6ED099D4-F579-4EB2-9D1F-A30DBA57D947}"/>
    <cellStyle name="20% - Accent2 2 9" xfId="7389" xr:uid="{36A285A3-735F-40F1-BA73-E0C8A4A2EDF3}"/>
    <cellStyle name="20% - Accent2 3" xfId="545" xr:uid="{D6BA55B7-BFB0-4332-9355-C7AAF0675744}"/>
    <cellStyle name="20% - Accent2 3 2" xfId="546" xr:uid="{DA45EF67-22FF-4CF1-9143-0D411C727B1A}"/>
    <cellStyle name="20% - Accent2 3 2 2" xfId="547" xr:uid="{FF8BDC17-9E0D-42CA-844C-FEFE10060474}"/>
    <cellStyle name="20% - Accent2 3 2 2 2" xfId="548" xr:uid="{6EC69FF4-B828-418B-84FC-D4C76BA13C1F}"/>
    <cellStyle name="20% - Accent2 3 2 2 2 2" xfId="549" xr:uid="{58E8B591-41D5-41B3-95B5-996770685539}"/>
    <cellStyle name="20% - Accent2 3 2 2 2 2 2" xfId="4348" xr:uid="{3461049D-7A1D-4EC5-A65E-79BEFE021A03}"/>
    <cellStyle name="20% - Accent2 3 2 2 2 2 2 2" xfId="9794" xr:uid="{CD4CB03F-8E69-47D6-BD71-25827668BF15}"/>
    <cellStyle name="20% - Accent2 3 2 2 2 2 3" xfId="7417" xr:uid="{1F324787-7C63-4718-ACA9-CE92A99E2E58}"/>
    <cellStyle name="20% - Accent2 3 2 2 2 3" xfId="4347" xr:uid="{CB4A931A-06A5-4806-BDC0-3021B5893221}"/>
    <cellStyle name="20% - Accent2 3 2 2 2 3 2" xfId="9793" xr:uid="{1D8327EF-5CD5-4DE2-A046-F28D257A6ED8}"/>
    <cellStyle name="20% - Accent2 3 2 2 2 4" xfId="7416" xr:uid="{111BCDE4-BB40-409E-8EBE-EFE58ECBF6B4}"/>
    <cellStyle name="20% - Accent2 3 2 2 3" xfId="550" xr:uid="{FCAB90C6-899B-4A37-A1A1-D6160C01B308}"/>
    <cellStyle name="20% - Accent2 3 2 2 3 2" xfId="4349" xr:uid="{AC4C93D4-1B57-4E6C-8858-7FFDE45E35FE}"/>
    <cellStyle name="20% - Accent2 3 2 2 3 2 2" xfId="9795" xr:uid="{A1FABB6A-AB28-419C-9A1F-5A69461512F0}"/>
    <cellStyle name="20% - Accent2 3 2 2 3 3" xfId="7418" xr:uid="{17C0FCC9-3215-4B0E-B239-576C9D203984}"/>
    <cellStyle name="20% - Accent2 3 2 2 4" xfId="4346" xr:uid="{A488745A-371B-4710-8720-0802EAD6883B}"/>
    <cellStyle name="20% - Accent2 3 2 2 4 2" xfId="9792" xr:uid="{662984F8-E287-4754-BFCE-CF5107BCED53}"/>
    <cellStyle name="20% - Accent2 3 2 2 5" xfId="7415" xr:uid="{8563735E-3314-4150-B58A-827B65A5EA4A}"/>
    <cellStyle name="20% - Accent2 3 2 3" xfId="551" xr:uid="{8E03D26D-E831-43AE-A4C9-BB20C83BB90C}"/>
    <cellStyle name="20% - Accent2 3 2 3 2" xfId="552" xr:uid="{709576A7-E409-44F8-95FC-320F7A2A48E3}"/>
    <cellStyle name="20% - Accent2 3 2 3 2 2" xfId="4351" xr:uid="{95FB416A-E22E-4105-AB20-F2D9D945985C}"/>
    <cellStyle name="20% - Accent2 3 2 3 2 2 2" xfId="9797" xr:uid="{9482034E-4A26-472F-AF0D-F8828826FD90}"/>
    <cellStyle name="20% - Accent2 3 2 3 2 3" xfId="7420" xr:uid="{89BDB108-4F80-4DAD-9466-71903FF574CA}"/>
    <cellStyle name="20% - Accent2 3 2 3 3" xfId="4350" xr:uid="{D5992620-7F6E-4247-820F-E71D263CBC15}"/>
    <cellStyle name="20% - Accent2 3 2 3 3 2" xfId="9796" xr:uid="{5D0A2A5B-9FDC-431C-BD83-A8C8441C906A}"/>
    <cellStyle name="20% - Accent2 3 2 3 4" xfId="7419" xr:uid="{C7470FC4-166A-4040-8E76-A37D8FB57E71}"/>
    <cellStyle name="20% - Accent2 3 2 4" xfId="553" xr:uid="{C2CFAF04-EC06-465C-9C9F-E870DB12CBEF}"/>
    <cellStyle name="20% - Accent2 3 2 4 2" xfId="4352" xr:uid="{2BE1DE70-98E6-464C-BB61-1F2C88E0885A}"/>
    <cellStyle name="20% - Accent2 3 2 4 2 2" xfId="9798" xr:uid="{325922CE-FD8C-486C-A742-2FFECF647998}"/>
    <cellStyle name="20% - Accent2 3 2 4 3" xfId="7421" xr:uid="{14094173-4582-4EF9-B1FB-8B4A25105CCD}"/>
    <cellStyle name="20% - Accent2 3 2 5" xfId="3370" xr:uid="{86A9E918-5FA2-4847-8C78-BFEC5EB6CC6A}"/>
    <cellStyle name="20% - Accent2 3 2 5 2" xfId="5859" xr:uid="{E5F3CAE3-6886-4CE2-AF50-899D8B2F11A6}"/>
    <cellStyle name="20% - Accent2 3 2 5 2 2" xfId="11301" xr:uid="{3C64836A-E711-4E5A-AC2A-1330E6327F28}"/>
    <cellStyle name="20% - Accent2 3 2 5 3" xfId="8917" xr:uid="{5BA97135-65AE-4466-A526-E095F3D0A80A}"/>
    <cellStyle name="20% - Accent2 3 2 6" xfId="2061" xr:uid="{DC0BC27E-1D48-4DE8-9D0B-3EEC47D74180}"/>
    <cellStyle name="20% - Accent2 3 2 7" xfId="4345" xr:uid="{9658EF0B-856F-4C18-AA71-503E74F0E9CB}"/>
    <cellStyle name="20% - Accent2 3 2 7 2" xfId="9791" xr:uid="{BF3775A7-3342-468D-8E45-14AD5B06050E}"/>
    <cellStyle name="20% - Accent2 3 2 8" xfId="7414" xr:uid="{25646D3C-EA67-4CD8-BB07-D8E0179A1986}"/>
    <cellStyle name="20% - Accent2 3 3" xfId="554" xr:uid="{A832D691-1319-4E27-942C-358B4352003F}"/>
    <cellStyle name="20% - Accent2 3 3 2" xfId="555" xr:uid="{2D114D4D-33F9-48DD-AEC1-1B7E70512BF0}"/>
    <cellStyle name="20% - Accent2 3 3 2 2" xfId="556" xr:uid="{6D4D9299-489C-4B00-86A6-F3BFB72F0A72}"/>
    <cellStyle name="20% - Accent2 3 3 2 2 2" xfId="557" xr:uid="{E34F7BDF-D84C-43FD-8549-81BF0543E7A1}"/>
    <cellStyle name="20% - Accent2 3 3 2 2 2 2" xfId="4356" xr:uid="{4666849A-6794-4A10-B26B-9D720F59E7C9}"/>
    <cellStyle name="20% - Accent2 3 3 2 2 2 2 2" xfId="9802" xr:uid="{FE79FD74-9285-4F21-B614-90BDB4C80943}"/>
    <cellStyle name="20% - Accent2 3 3 2 2 2 3" xfId="7425" xr:uid="{662EF2E6-EDE0-47EC-9372-270F4C1D7120}"/>
    <cellStyle name="20% - Accent2 3 3 2 2 3" xfId="4355" xr:uid="{C372DB9D-D97B-46E4-BDED-8B78193A8369}"/>
    <cellStyle name="20% - Accent2 3 3 2 2 3 2" xfId="9801" xr:uid="{D48B36B4-7D97-40B7-B4F6-7998720D68C9}"/>
    <cellStyle name="20% - Accent2 3 3 2 2 4" xfId="7424" xr:uid="{132EF70F-5C65-4DB3-BA8A-E3E722657D8F}"/>
    <cellStyle name="20% - Accent2 3 3 2 3" xfId="558" xr:uid="{7653DF23-F6CE-4152-96CC-98257362F7C8}"/>
    <cellStyle name="20% - Accent2 3 3 2 3 2" xfId="4357" xr:uid="{691A4DFF-CE2C-4A3C-9C92-E9FB8EE94374}"/>
    <cellStyle name="20% - Accent2 3 3 2 3 2 2" xfId="9803" xr:uid="{6426922A-7AFD-4D73-B6B6-4693EBD31027}"/>
    <cellStyle name="20% - Accent2 3 3 2 3 3" xfId="7426" xr:uid="{1749DA31-5FFB-402D-927E-F9B2925DEC27}"/>
    <cellStyle name="20% - Accent2 3 3 2 4" xfId="4354" xr:uid="{DB0C39EB-E935-4C9B-B528-24E0F592B905}"/>
    <cellStyle name="20% - Accent2 3 3 2 4 2" xfId="9800" xr:uid="{0D347788-9926-46DF-B850-DB801ED66214}"/>
    <cellStyle name="20% - Accent2 3 3 2 5" xfId="7423" xr:uid="{8204B8EF-CFCB-4D28-AE8E-687B69225DF2}"/>
    <cellStyle name="20% - Accent2 3 3 3" xfId="559" xr:uid="{162CD5A5-8650-422F-A4F2-E4E4F7CD26ED}"/>
    <cellStyle name="20% - Accent2 3 3 3 2" xfId="560" xr:uid="{FFFB873B-08BA-4CE4-BBA0-29E7A4AA5D38}"/>
    <cellStyle name="20% - Accent2 3 3 3 2 2" xfId="4359" xr:uid="{4B300E1A-7FB2-45EE-8CC3-F4B970810FDC}"/>
    <cellStyle name="20% - Accent2 3 3 3 2 2 2" xfId="9805" xr:uid="{37C9F2AC-4A9B-414D-9893-22B4779C236B}"/>
    <cellStyle name="20% - Accent2 3 3 3 2 3" xfId="7428" xr:uid="{02715089-5AD2-481D-967E-D20EAB603B69}"/>
    <cellStyle name="20% - Accent2 3 3 3 3" xfId="4358" xr:uid="{B032C930-17F2-43DE-8A48-B6FEC391FEF9}"/>
    <cellStyle name="20% - Accent2 3 3 3 3 2" xfId="9804" xr:uid="{524EE7B4-FBCF-448C-AAEB-8B866457C311}"/>
    <cellStyle name="20% - Accent2 3 3 3 4" xfId="7427" xr:uid="{F2162D9A-7EBE-4B71-A080-C62FD1EFD302}"/>
    <cellStyle name="20% - Accent2 3 3 4" xfId="561" xr:uid="{2F415532-EEF6-4166-9BEA-E3AD4DA06A3F}"/>
    <cellStyle name="20% - Accent2 3 3 4 2" xfId="4360" xr:uid="{000EC2BF-96AE-45D3-A275-C99F08B91751}"/>
    <cellStyle name="20% - Accent2 3 3 4 2 2" xfId="9806" xr:uid="{B15D9779-BA69-4099-A4A2-AA20A7EE11BB}"/>
    <cellStyle name="20% - Accent2 3 3 4 3" xfId="7429" xr:uid="{B30A5B09-E101-4B20-B38F-6271B710C13C}"/>
    <cellStyle name="20% - Accent2 3 3 5" xfId="4353" xr:uid="{275C4FAF-FA85-4A4A-AFA5-48FDD7677EC3}"/>
    <cellStyle name="20% - Accent2 3 3 5 2" xfId="9799" xr:uid="{4D363477-BA8D-4A88-ADA3-E23C3073FCAF}"/>
    <cellStyle name="20% - Accent2 3 3 6" xfId="7422" xr:uid="{DB6E8CD3-0D48-48ED-AF94-86634564AEBF}"/>
    <cellStyle name="20% - Accent2 3 4" xfId="562" xr:uid="{5145EC82-EB02-4FD2-B333-1A194DD6755A}"/>
    <cellStyle name="20% - Accent2 3 4 2" xfId="563" xr:uid="{A300B845-B973-4FBE-BA99-29D7A13EF9FE}"/>
    <cellStyle name="20% - Accent2 3 4 2 2" xfId="564" xr:uid="{D8F5C7AA-78CC-46EA-A35D-194C15479299}"/>
    <cellStyle name="20% - Accent2 3 4 2 2 2" xfId="4363" xr:uid="{5F1C6C28-EC6D-42C9-972F-F9C7DF003097}"/>
    <cellStyle name="20% - Accent2 3 4 2 2 2 2" xfId="9809" xr:uid="{32518D7C-4DA7-46F6-BA7C-2776F2FB6688}"/>
    <cellStyle name="20% - Accent2 3 4 2 2 3" xfId="7432" xr:uid="{CA33EB67-7DD9-4419-A6F3-1D8BCA6F3ED8}"/>
    <cellStyle name="20% - Accent2 3 4 2 3" xfId="4362" xr:uid="{C88F4B62-B47A-4D61-8943-B8A41DCA5A09}"/>
    <cellStyle name="20% - Accent2 3 4 2 3 2" xfId="9808" xr:uid="{01793553-635F-46AB-AA78-5EBD404E19A6}"/>
    <cellStyle name="20% - Accent2 3 4 2 4" xfId="7431" xr:uid="{6480888F-19F1-4BB0-9B89-59E41F82A7D1}"/>
    <cellStyle name="20% - Accent2 3 4 3" xfId="565" xr:uid="{314A1600-C749-495C-AF70-497DD9441E15}"/>
    <cellStyle name="20% - Accent2 3 4 3 2" xfId="4364" xr:uid="{6231F896-1438-424E-AC33-FDA3D4437E90}"/>
    <cellStyle name="20% - Accent2 3 4 3 2 2" xfId="9810" xr:uid="{489A24B4-196D-447F-82E7-DF58ECB8840C}"/>
    <cellStyle name="20% - Accent2 3 4 3 3" xfId="7433" xr:uid="{C5D2C02D-7552-4C44-9408-3C4ABFECEA31}"/>
    <cellStyle name="20% - Accent2 3 4 4" xfId="4361" xr:uid="{3CE89279-A18C-4832-A64C-6756C3C7CC24}"/>
    <cellStyle name="20% - Accent2 3 4 4 2" xfId="9807" xr:uid="{1F7C56CA-3313-4A3D-88C7-CAA584D48FAF}"/>
    <cellStyle name="20% - Accent2 3 4 5" xfId="7430" xr:uid="{9D57E81F-DF10-4486-AB66-5D7EFBF4EDC4}"/>
    <cellStyle name="20% - Accent2 3 5" xfId="566" xr:uid="{B5EDA13D-B0DE-4821-AC82-894DEFBC3D74}"/>
    <cellStyle name="20% - Accent2 3 5 2" xfId="567" xr:uid="{99E67EC7-6E1D-46D4-88D0-3DC4D61A4BAF}"/>
    <cellStyle name="20% - Accent2 3 5 2 2" xfId="4366" xr:uid="{471E304B-6A28-458C-B51A-F1ED8B3D8C14}"/>
    <cellStyle name="20% - Accent2 3 5 2 2 2" xfId="9812" xr:uid="{D9977731-8D02-4604-B0A0-4247C86AFCD3}"/>
    <cellStyle name="20% - Accent2 3 5 2 3" xfId="7435" xr:uid="{90422D73-FA29-42ED-B286-B603C3196E14}"/>
    <cellStyle name="20% - Accent2 3 5 3" xfId="4365" xr:uid="{F55E3D3A-F8D3-4E64-988F-BEABE2555034}"/>
    <cellStyle name="20% - Accent2 3 5 3 2" xfId="9811" xr:uid="{70D3EAAC-21F2-4E31-9EE6-A6CD8F6FBDE0}"/>
    <cellStyle name="20% - Accent2 3 5 4" xfId="7434" xr:uid="{4879D768-0B42-4501-AC6D-6E299BA5AAA2}"/>
    <cellStyle name="20% - Accent2 3 6" xfId="568" xr:uid="{BA685454-6D4B-45D3-9A53-F47971A6BF02}"/>
    <cellStyle name="20% - Accent2 3 6 2" xfId="4367" xr:uid="{264935E0-0B45-4DCE-BB3B-0DB4B7FB035C}"/>
    <cellStyle name="20% - Accent2 3 6 2 2" xfId="9813" xr:uid="{E7CDC12A-EB9E-4549-A8A1-E2FBA1A9AC0E}"/>
    <cellStyle name="20% - Accent2 3 6 3" xfId="7436" xr:uid="{4AF49862-6D99-47A2-8982-71DBE61B45A8}"/>
    <cellStyle name="20% - Accent2 3 7" xfId="4344" xr:uid="{B01EB13F-E04A-4734-AFDE-E8F08626A8ED}"/>
    <cellStyle name="20% - Accent2 3 7 2" xfId="9790" xr:uid="{1EAC7EAE-1994-4AF3-A662-84515E8A1392}"/>
    <cellStyle name="20% - Accent2 3 8" xfId="7413" xr:uid="{41C73077-9FFC-4FED-A4AF-CF6DB7A65F71}"/>
    <cellStyle name="20% - Accent2 4" xfId="569" xr:uid="{BC7A02B6-F765-43A9-9064-541952F72814}"/>
    <cellStyle name="20% - Accent2 4 2" xfId="570" xr:uid="{4C41C9D6-16F2-456E-9993-FBD0CBAE32AE}"/>
    <cellStyle name="20% - Accent2 4 2 2" xfId="571" xr:uid="{8FE29BE6-4FDD-46B6-B622-F63DD00EA3C3}"/>
    <cellStyle name="20% - Accent2 4 2 2 2" xfId="572" xr:uid="{AF709FA7-23FF-4E1B-9081-A361D0C04E5C}"/>
    <cellStyle name="20% - Accent2 4 2 2 2 2" xfId="573" xr:uid="{EEB4ACC6-2350-46B8-9A13-FBC7FC89C8C1}"/>
    <cellStyle name="20% - Accent2 4 2 2 2 2 2" xfId="4372" xr:uid="{760C54B3-49AB-4CE3-8382-E9D837D046A0}"/>
    <cellStyle name="20% - Accent2 4 2 2 2 2 2 2" xfId="9818" xr:uid="{E783B75D-B0E0-48F0-8857-1F31BD80FD3E}"/>
    <cellStyle name="20% - Accent2 4 2 2 2 2 3" xfId="7441" xr:uid="{8A4BCF41-34F2-47B0-BD7B-289A1E239062}"/>
    <cellStyle name="20% - Accent2 4 2 2 2 3" xfId="4371" xr:uid="{3089A96D-02DE-42D2-BDF8-23D6B00C77F6}"/>
    <cellStyle name="20% - Accent2 4 2 2 2 3 2" xfId="9817" xr:uid="{7D697B9B-9A8A-4645-9F83-3DCF2ADE2F40}"/>
    <cellStyle name="20% - Accent2 4 2 2 2 4" xfId="7440" xr:uid="{39E1F524-F6C9-434E-9D5C-2CD8D803E660}"/>
    <cellStyle name="20% - Accent2 4 2 2 3" xfId="574" xr:uid="{BF2507A8-64AD-47C0-A14D-7CAD672E60AF}"/>
    <cellStyle name="20% - Accent2 4 2 2 3 2" xfId="4373" xr:uid="{301ED1E7-E7A8-409D-9488-6C2CCDAB982B}"/>
    <cellStyle name="20% - Accent2 4 2 2 3 2 2" xfId="9819" xr:uid="{7F2EED27-221C-4E61-A52F-92E6ECEA9CF7}"/>
    <cellStyle name="20% - Accent2 4 2 2 3 3" xfId="7442" xr:uid="{F7E8FF9A-DC99-40E0-9D4B-DC8B09A5A2F0}"/>
    <cellStyle name="20% - Accent2 4 2 2 4" xfId="4370" xr:uid="{8A8BF52C-4140-4172-BDF7-985A54A758E2}"/>
    <cellStyle name="20% - Accent2 4 2 2 4 2" xfId="9816" xr:uid="{693F020B-6993-4214-9026-F15145267D73}"/>
    <cellStyle name="20% - Accent2 4 2 2 5" xfId="7439" xr:uid="{B0D6D782-926E-4696-9795-E24AB5A1B5DB}"/>
    <cellStyle name="20% - Accent2 4 2 3" xfId="575" xr:uid="{526D22FB-882D-4C86-9349-39DB196A9532}"/>
    <cellStyle name="20% - Accent2 4 2 3 2" xfId="576" xr:uid="{934620E0-5BA7-4A1F-9E7B-E58F8D394B3D}"/>
    <cellStyle name="20% - Accent2 4 2 3 2 2" xfId="4375" xr:uid="{88C4AB44-C8C5-4190-BE64-6854BBB28E4E}"/>
    <cellStyle name="20% - Accent2 4 2 3 2 2 2" xfId="9821" xr:uid="{C78D23A4-9395-447E-BD73-28BBEB2272FD}"/>
    <cellStyle name="20% - Accent2 4 2 3 2 3" xfId="7444" xr:uid="{BF976F7C-834B-4161-A241-063BC3ED3F03}"/>
    <cellStyle name="20% - Accent2 4 2 3 3" xfId="4374" xr:uid="{CFB53091-E972-41DE-A8CF-AD4D69BAA1F0}"/>
    <cellStyle name="20% - Accent2 4 2 3 3 2" xfId="9820" xr:uid="{14809C23-F2D0-416B-83E0-991B4C7042F9}"/>
    <cellStyle name="20% - Accent2 4 2 3 4" xfId="7443" xr:uid="{BBD671CA-685B-4F05-BA1C-C77A1EF20A58}"/>
    <cellStyle name="20% - Accent2 4 2 4" xfId="577" xr:uid="{2AFA81DC-7920-4E8D-BC9A-F6A96D48BE75}"/>
    <cellStyle name="20% - Accent2 4 2 4 2" xfId="4376" xr:uid="{5E00A9EC-4E78-4F56-9AD1-D4DCDA124E45}"/>
    <cellStyle name="20% - Accent2 4 2 4 2 2" xfId="9822" xr:uid="{E3D5F69E-904E-4FA9-B737-7BD4A5887D16}"/>
    <cellStyle name="20% - Accent2 4 2 4 3" xfId="7445" xr:uid="{6201DB15-7816-47E9-A521-7FE6F65ABB25}"/>
    <cellStyle name="20% - Accent2 4 2 5" xfId="4369" xr:uid="{D9CB5329-5BDC-44D5-BA3B-A1D786309722}"/>
    <cellStyle name="20% - Accent2 4 2 5 2" xfId="9815" xr:uid="{87F5E889-1475-4ABB-A432-0409B2A601F6}"/>
    <cellStyle name="20% - Accent2 4 2 6" xfId="7438" xr:uid="{BE45AB76-A074-4202-9512-8A57A8557F23}"/>
    <cellStyle name="20% - Accent2 4 3" xfId="578" xr:uid="{698C6C3A-105A-42EC-AD85-86251661FCEC}"/>
    <cellStyle name="20% - Accent2 4 3 2" xfId="579" xr:uid="{6CE5A7C0-08BE-434B-8A4D-91DEF1344F88}"/>
    <cellStyle name="20% - Accent2 4 3 2 2" xfId="580" xr:uid="{34B1D3F1-10FA-4896-B266-E49823EC68E0}"/>
    <cellStyle name="20% - Accent2 4 3 2 2 2" xfId="581" xr:uid="{2CA7F76E-3076-4955-A251-90EEE4BC0A53}"/>
    <cellStyle name="20% - Accent2 4 3 2 2 2 2" xfId="4380" xr:uid="{53C7006E-3369-4BD1-9D45-0E4D28ED3238}"/>
    <cellStyle name="20% - Accent2 4 3 2 2 2 2 2" xfId="9826" xr:uid="{436FA0EF-0C64-4888-BDB0-D9FBE48C3316}"/>
    <cellStyle name="20% - Accent2 4 3 2 2 2 3" xfId="7449" xr:uid="{2B0EFEF8-8316-46C7-B623-2E1A1ED2248F}"/>
    <cellStyle name="20% - Accent2 4 3 2 2 3" xfId="4379" xr:uid="{DBC63EFE-3214-4408-9DEE-E5AC9812F580}"/>
    <cellStyle name="20% - Accent2 4 3 2 2 3 2" xfId="9825" xr:uid="{25828242-A0DD-4F58-BED1-E2AAF9549B67}"/>
    <cellStyle name="20% - Accent2 4 3 2 2 4" xfId="7448" xr:uid="{56C5D1D9-6C08-4894-9BFF-FBF552C14CE4}"/>
    <cellStyle name="20% - Accent2 4 3 2 3" xfId="582" xr:uid="{FB9EE886-DDBC-4E1C-BE4E-6CDF144B2DB1}"/>
    <cellStyle name="20% - Accent2 4 3 2 3 2" xfId="4381" xr:uid="{1E950037-0814-485F-B9CB-801D31416237}"/>
    <cellStyle name="20% - Accent2 4 3 2 3 2 2" xfId="9827" xr:uid="{11FB52BC-411A-4B01-8322-29E4DFEF03E5}"/>
    <cellStyle name="20% - Accent2 4 3 2 3 3" xfId="7450" xr:uid="{94A08C18-BFB4-4E1C-A943-225D0B1CD3C8}"/>
    <cellStyle name="20% - Accent2 4 3 2 4" xfId="4378" xr:uid="{6CC96DD7-04B0-4BE8-84CC-9B061AF33FBB}"/>
    <cellStyle name="20% - Accent2 4 3 2 4 2" xfId="9824" xr:uid="{B4E52236-55D0-4BE9-B28A-B23C38D5630A}"/>
    <cellStyle name="20% - Accent2 4 3 2 5" xfId="7447" xr:uid="{9F8A4398-E7DB-4D35-BA91-196710FB68EE}"/>
    <cellStyle name="20% - Accent2 4 3 3" xfId="583" xr:uid="{33A412A8-7243-47CD-9DDD-70E6723C27B8}"/>
    <cellStyle name="20% - Accent2 4 3 3 2" xfId="584" xr:uid="{A8D478D9-6626-463F-A9FC-E1A896142D55}"/>
    <cellStyle name="20% - Accent2 4 3 3 2 2" xfId="4383" xr:uid="{C89FAAAD-B154-4279-9250-63D24DBDEAC3}"/>
    <cellStyle name="20% - Accent2 4 3 3 2 2 2" xfId="9829" xr:uid="{CC99E5B7-526C-4809-A77A-0B525DFB8795}"/>
    <cellStyle name="20% - Accent2 4 3 3 2 3" xfId="7452" xr:uid="{04015AEC-B758-4258-8356-7955721FE53B}"/>
    <cellStyle name="20% - Accent2 4 3 3 3" xfId="4382" xr:uid="{46E36634-0D91-4FD2-9EAF-BC88866E6EFC}"/>
    <cellStyle name="20% - Accent2 4 3 3 3 2" xfId="9828" xr:uid="{8B1F11B5-B8CC-4AF0-8CD4-C19415DF3063}"/>
    <cellStyle name="20% - Accent2 4 3 3 4" xfId="7451" xr:uid="{FA6166BA-5BDC-4840-AEDE-692723323625}"/>
    <cellStyle name="20% - Accent2 4 3 4" xfId="585" xr:uid="{96F83FB7-F73F-456A-9683-EF403ACB8E26}"/>
    <cellStyle name="20% - Accent2 4 3 4 2" xfId="4384" xr:uid="{0AD0E55E-35E6-478E-957B-542B86EC5D5A}"/>
    <cellStyle name="20% - Accent2 4 3 4 2 2" xfId="9830" xr:uid="{C137675D-7016-457F-91BD-E50483E5A710}"/>
    <cellStyle name="20% - Accent2 4 3 4 3" xfId="7453" xr:uid="{7227AE07-02CC-4ECB-9E19-F59F22FFF8E6}"/>
    <cellStyle name="20% - Accent2 4 3 5" xfId="4377" xr:uid="{4C53DFC6-F497-426F-97C6-B93C8882FD2D}"/>
    <cellStyle name="20% - Accent2 4 3 5 2" xfId="9823" xr:uid="{70BC8811-179B-40B0-98D7-6E217C282D1A}"/>
    <cellStyle name="20% - Accent2 4 3 6" xfId="7446" xr:uid="{1A1EFB51-EC23-4AEA-A168-93F6950D75D4}"/>
    <cellStyle name="20% - Accent2 4 4" xfId="586" xr:uid="{01AE3E75-9ACB-43F7-B49B-DB198CAFF51C}"/>
    <cellStyle name="20% - Accent2 4 4 2" xfId="587" xr:uid="{7035ABAE-B016-46FE-8355-70D17C3DFC4C}"/>
    <cellStyle name="20% - Accent2 4 4 2 2" xfId="588" xr:uid="{9855DE83-1FFD-4F06-9275-B722FE9AB537}"/>
    <cellStyle name="20% - Accent2 4 4 2 2 2" xfId="4387" xr:uid="{A8032B2C-C9CB-4112-9847-0F7DE0A04B15}"/>
    <cellStyle name="20% - Accent2 4 4 2 2 2 2" xfId="9833" xr:uid="{7C4FDDE0-04B7-430B-8E32-01C54026E40A}"/>
    <cellStyle name="20% - Accent2 4 4 2 2 3" xfId="7456" xr:uid="{8B0FFAFD-EAFA-4911-85A0-4C0C353C8EBA}"/>
    <cellStyle name="20% - Accent2 4 4 2 3" xfId="4386" xr:uid="{D0F1CF93-539D-469D-BD0D-E28160165C53}"/>
    <cellStyle name="20% - Accent2 4 4 2 3 2" xfId="9832" xr:uid="{C77475A6-6443-463C-8ACE-9B21ABF6ACF1}"/>
    <cellStyle name="20% - Accent2 4 4 2 4" xfId="7455" xr:uid="{57818D63-3617-46D1-A753-C006673123EF}"/>
    <cellStyle name="20% - Accent2 4 4 3" xfId="589" xr:uid="{D47C434D-69D0-4B23-90CE-BC48F32C6663}"/>
    <cellStyle name="20% - Accent2 4 4 3 2" xfId="4388" xr:uid="{1DE09F92-9888-4279-8B3B-C6AA6B5CF33E}"/>
    <cellStyle name="20% - Accent2 4 4 3 2 2" xfId="9834" xr:uid="{A943B605-EE07-459C-B011-03B3B1AC0BC9}"/>
    <cellStyle name="20% - Accent2 4 4 3 3" xfId="7457" xr:uid="{B307E156-E9E1-4D55-881A-F0257C781711}"/>
    <cellStyle name="20% - Accent2 4 4 4" xfId="4385" xr:uid="{8BE2302F-0B73-4830-97F1-C4F79D691784}"/>
    <cellStyle name="20% - Accent2 4 4 4 2" xfId="9831" xr:uid="{B4A72013-0EDA-410F-9F2A-6C0CA8BFC344}"/>
    <cellStyle name="20% - Accent2 4 4 5" xfId="7454" xr:uid="{09BB1C55-7661-4A86-AD8F-BB3DF7AA4332}"/>
    <cellStyle name="20% - Accent2 4 5" xfId="590" xr:uid="{6623F7D8-3D65-4BD9-9C56-71E3B1407175}"/>
    <cellStyle name="20% - Accent2 4 5 2" xfId="591" xr:uid="{5E1D8FF6-9984-4100-9BEF-9FF64D3B09EE}"/>
    <cellStyle name="20% - Accent2 4 5 2 2" xfId="4390" xr:uid="{B4BE0D82-8E0D-4D54-B979-0DD5676B5B75}"/>
    <cellStyle name="20% - Accent2 4 5 2 2 2" xfId="9836" xr:uid="{C3C7CCBE-5DDA-4599-B549-E8A3A78B9E7D}"/>
    <cellStyle name="20% - Accent2 4 5 2 3" xfId="7459" xr:uid="{9143C9FD-9191-4C5B-ACBE-10DA97727BEF}"/>
    <cellStyle name="20% - Accent2 4 5 3" xfId="4389" xr:uid="{6BD96B3E-05EB-400A-8BD0-E3CE834508B7}"/>
    <cellStyle name="20% - Accent2 4 5 3 2" xfId="9835" xr:uid="{5F4E4F61-41E9-4BEA-8EB7-91C6750D9B17}"/>
    <cellStyle name="20% - Accent2 4 5 4" xfId="7458" xr:uid="{02DADC83-76C1-41F0-86BE-05A1204DCCF1}"/>
    <cellStyle name="20% - Accent2 4 6" xfId="592" xr:uid="{3D8811BF-B21F-4C90-9656-5C9570D958A9}"/>
    <cellStyle name="20% - Accent2 4 6 2" xfId="4391" xr:uid="{4742D0A6-D8B6-443F-B658-17CAAF4B8989}"/>
    <cellStyle name="20% - Accent2 4 6 2 2" xfId="9837" xr:uid="{0A4DEBEE-1CE6-46C4-B99E-A747B19632BD}"/>
    <cellStyle name="20% - Accent2 4 6 3" xfId="7460" xr:uid="{CF1DE7FB-A75F-4ACA-824F-32C516C32141}"/>
    <cellStyle name="20% - Accent2 4 7" xfId="4368" xr:uid="{F048C8D4-F0CB-4A75-85C8-9045F2E0D138}"/>
    <cellStyle name="20% - Accent2 4 7 2" xfId="9814" xr:uid="{A0D8D3C2-8262-4731-AE53-1325B1937E7A}"/>
    <cellStyle name="20% - Accent2 4 8" xfId="7437" xr:uid="{34FA27C5-268A-485A-95A6-4DE94651CED4}"/>
    <cellStyle name="20% - Accent2 5" xfId="593" xr:uid="{966041DA-14EA-42D0-A0A5-21E23B489EC2}"/>
    <cellStyle name="20% - Accent2 5 2" xfId="594" xr:uid="{F6F6A3F1-38B5-48CE-9845-5932ADD597AD}"/>
    <cellStyle name="20% - Accent2 5 2 2" xfId="595" xr:uid="{4BAD3620-6C4C-41CB-AFCE-557662720ED9}"/>
    <cellStyle name="20% - Accent2 5 2 2 2" xfId="596" xr:uid="{7380F714-41C5-4E19-8B93-F8BBC74BFC76}"/>
    <cellStyle name="20% - Accent2 5 2 2 2 2" xfId="4395" xr:uid="{4AB23651-D699-417F-998C-49B53A7B30F6}"/>
    <cellStyle name="20% - Accent2 5 2 2 2 2 2" xfId="9841" xr:uid="{76ACDAB7-DF19-4BCA-A501-C17C986A1428}"/>
    <cellStyle name="20% - Accent2 5 2 2 2 3" xfId="7464" xr:uid="{27117222-7B7C-42DC-88A3-694EFDEEAF81}"/>
    <cellStyle name="20% - Accent2 5 2 2 3" xfId="4394" xr:uid="{E27CC9B0-1A54-416E-A4CA-4D2769B441E2}"/>
    <cellStyle name="20% - Accent2 5 2 2 3 2" xfId="9840" xr:uid="{C45631BA-458C-43F0-AC16-6643E67E6919}"/>
    <cellStyle name="20% - Accent2 5 2 2 4" xfId="7463" xr:uid="{55CB371B-B40B-4984-B8AA-890B5696C22B}"/>
    <cellStyle name="20% - Accent2 5 2 3" xfId="597" xr:uid="{E701C5C1-BB99-43EA-A112-C25CFF004DE8}"/>
    <cellStyle name="20% - Accent2 5 2 3 2" xfId="4396" xr:uid="{0EC34591-745F-434D-9FAD-318CA4F39B4A}"/>
    <cellStyle name="20% - Accent2 5 2 3 2 2" xfId="9842" xr:uid="{B8996FCA-C531-469D-B10D-7348E327094F}"/>
    <cellStyle name="20% - Accent2 5 2 3 3" xfId="7465" xr:uid="{E525DBEF-346C-45D8-A109-B2D8FF25EE1F}"/>
    <cellStyle name="20% - Accent2 5 2 4" xfId="4393" xr:uid="{25387BB8-77F7-401B-99E0-A9243595507E}"/>
    <cellStyle name="20% - Accent2 5 2 4 2" xfId="9839" xr:uid="{9ACEC1AD-B877-4B40-A307-06D720597373}"/>
    <cellStyle name="20% - Accent2 5 2 5" xfId="7462" xr:uid="{E43E3F9A-A9BB-4207-9667-590DB85205E9}"/>
    <cellStyle name="20% - Accent2 5 3" xfId="598" xr:uid="{D67CE209-3E40-459C-BE1C-9C92BB92B2C8}"/>
    <cellStyle name="20% - Accent2 5 3 2" xfId="599" xr:uid="{24CBEC7C-6117-47EE-827B-0192F02DB870}"/>
    <cellStyle name="20% - Accent2 5 3 2 2" xfId="4398" xr:uid="{EE0BB570-1385-4B2B-B87C-40C259383E07}"/>
    <cellStyle name="20% - Accent2 5 3 2 2 2" xfId="9844" xr:uid="{DE8D1A96-9133-48B5-8D12-1F3F83415A0D}"/>
    <cellStyle name="20% - Accent2 5 3 2 3" xfId="7467" xr:uid="{10AAF454-11A5-4387-8F1B-90B49EAF36F7}"/>
    <cellStyle name="20% - Accent2 5 3 3" xfId="4397" xr:uid="{92A76242-A519-4772-B317-304B970AEDFA}"/>
    <cellStyle name="20% - Accent2 5 3 3 2" xfId="9843" xr:uid="{3E4B9C9A-4089-4F48-809C-24548C57C87B}"/>
    <cellStyle name="20% - Accent2 5 3 4" xfId="7466" xr:uid="{B6FFF22C-BF5A-430E-9E39-26F80C124F43}"/>
    <cellStyle name="20% - Accent2 5 4" xfId="600" xr:uid="{BBF95276-9A73-4C88-8BB0-697BC700F069}"/>
    <cellStyle name="20% - Accent2 5 4 2" xfId="4399" xr:uid="{96D5E30B-61E5-4620-BB6D-2EF3D5CCEB1A}"/>
    <cellStyle name="20% - Accent2 5 4 2 2" xfId="9845" xr:uid="{FB0FFA34-83FC-4198-AC57-CD436693BB43}"/>
    <cellStyle name="20% - Accent2 5 4 3" xfId="7468" xr:uid="{F137DB40-630A-41AD-B3DB-E9E7590FEC53}"/>
    <cellStyle name="20% - Accent2 5 5" xfId="4392" xr:uid="{C19B3D9C-525E-46A8-BE6B-085A2FE5DDB9}"/>
    <cellStyle name="20% - Accent2 5 5 2" xfId="9838" xr:uid="{4F42D216-9677-4601-AD6B-02E82CB8F504}"/>
    <cellStyle name="20% - Accent2 5 6" xfId="7461" xr:uid="{471636F3-C0C4-4B0A-AE32-4355596E709B}"/>
    <cellStyle name="20% - Accent2 6" xfId="601" xr:uid="{03830EB2-79F8-4D98-9592-0890827C6648}"/>
    <cellStyle name="20% - Accent2 6 2" xfId="602" xr:uid="{7217025E-958F-45D8-9AE8-427E37ED0D35}"/>
    <cellStyle name="20% - Accent2 6 2 2" xfId="603" xr:uid="{8CC6EC48-62DF-4BB4-8B54-2871B64968A6}"/>
    <cellStyle name="20% - Accent2 6 2 2 2" xfId="604" xr:uid="{058A102E-667B-4068-90C7-FB585CF56B08}"/>
    <cellStyle name="20% - Accent2 6 2 2 2 2" xfId="4403" xr:uid="{E930C5B8-FA2E-4D0B-A88B-F5801268F0B9}"/>
    <cellStyle name="20% - Accent2 6 2 2 2 2 2" xfId="9849" xr:uid="{E51F34CD-92B4-4C05-9899-863B4803F6C6}"/>
    <cellStyle name="20% - Accent2 6 2 2 2 3" xfId="7472" xr:uid="{B35ABF34-69B6-4E62-BE93-9F98671B2E86}"/>
    <cellStyle name="20% - Accent2 6 2 2 3" xfId="4402" xr:uid="{3725E860-37D2-4069-B436-8B58ABB4FE22}"/>
    <cellStyle name="20% - Accent2 6 2 2 3 2" xfId="9848" xr:uid="{DCC67E7C-42B9-4952-8110-3890A9CED679}"/>
    <cellStyle name="20% - Accent2 6 2 2 4" xfId="7471" xr:uid="{3FCE90DF-D8E7-4066-ACB2-0664C174F8E5}"/>
    <cellStyle name="20% - Accent2 6 2 3" xfId="605" xr:uid="{99B48B9B-2FE5-460B-A379-5D60FC12DF41}"/>
    <cellStyle name="20% - Accent2 6 2 3 2" xfId="4404" xr:uid="{E9F0E3E9-D1A8-48D9-AF32-C7A84B495160}"/>
    <cellStyle name="20% - Accent2 6 2 3 2 2" xfId="9850" xr:uid="{DA055C6E-4529-4558-A61B-078B6A7641E3}"/>
    <cellStyle name="20% - Accent2 6 2 3 3" xfId="7473" xr:uid="{B6DDDD46-A1E8-453D-BC55-4082CFFAFEA5}"/>
    <cellStyle name="20% - Accent2 6 2 4" xfId="4401" xr:uid="{442C6B66-A23F-4450-A7FF-E716688EC92E}"/>
    <cellStyle name="20% - Accent2 6 2 4 2" xfId="9847" xr:uid="{896BF434-E6A0-48CB-9D82-CD6B35C0425B}"/>
    <cellStyle name="20% - Accent2 6 2 5" xfId="7470" xr:uid="{08B631E1-5016-4D8C-8EE3-1A9A66621873}"/>
    <cellStyle name="20% - Accent2 6 3" xfId="606" xr:uid="{8D64503F-D5FE-4A57-88CE-179980331239}"/>
    <cellStyle name="20% - Accent2 6 3 2" xfId="607" xr:uid="{8FB411D3-63EE-4F17-8E94-217E25212631}"/>
    <cellStyle name="20% - Accent2 6 3 2 2" xfId="4406" xr:uid="{C6CB2D30-7503-48E1-B4A2-78340333E3FB}"/>
    <cellStyle name="20% - Accent2 6 3 2 2 2" xfId="9852" xr:uid="{E047C734-D0A2-4B23-B92D-1670C61667A6}"/>
    <cellStyle name="20% - Accent2 6 3 2 3" xfId="7475" xr:uid="{466A2ED7-3C10-4AE5-963C-94BDF9BC7867}"/>
    <cellStyle name="20% - Accent2 6 3 3" xfId="4405" xr:uid="{5C2BC358-6D29-4BF2-A2EC-CAF8BC9EA183}"/>
    <cellStyle name="20% - Accent2 6 3 3 2" xfId="9851" xr:uid="{A70741F6-0B40-4DFC-ADC9-8904B0EE5098}"/>
    <cellStyle name="20% - Accent2 6 3 4" xfId="7474" xr:uid="{7F14FBB7-1234-426A-ABB4-225145771C71}"/>
    <cellStyle name="20% - Accent2 6 4" xfId="608" xr:uid="{C7000903-191C-4427-B2A4-A35199952B00}"/>
    <cellStyle name="20% - Accent2 6 4 2" xfId="4407" xr:uid="{7B8A2451-829A-4810-A65D-3439B8DD804B}"/>
    <cellStyle name="20% - Accent2 6 4 2 2" xfId="9853" xr:uid="{40D1352B-BD1F-4C72-A456-BDA0BB02DFAA}"/>
    <cellStyle name="20% - Accent2 6 4 3" xfId="7476" xr:uid="{7BEA1A55-AFD3-4BF7-A9B5-C7F973306499}"/>
    <cellStyle name="20% - Accent2 6 5" xfId="4400" xr:uid="{D3139CD5-498E-4A37-B8CB-D34574EBA4C5}"/>
    <cellStyle name="20% - Accent2 6 5 2" xfId="9846" xr:uid="{7F4623B1-9E7C-4B34-9B7A-DC008E510D19}"/>
    <cellStyle name="20% - Accent2 6 6" xfId="7469" xr:uid="{BA6D1E88-30E8-4586-8CE2-87229E6063DC}"/>
    <cellStyle name="20% - Accent2 7" xfId="609" xr:uid="{A06249BB-F7D5-45D6-8B1C-83F7B57EA148}"/>
    <cellStyle name="20% - Accent2 7 2" xfId="610" xr:uid="{D2592957-2519-4A24-B335-7D060B962980}"/>
    <cellStyle name="20% - Accent2 7 2 2" xfId="611" xr:uid="{A92E8E4D-BBB3-4236-AD36-50AC1788999B}"/>
    <cellStyle name="20% - Accent2 7 2 2 2" xfId="4410" xr:uid="{98664129-19BB-43BF-85DD-B37B81C981E8}"/>
    <cellStyle name="20% - Accent2 7 2 2 2 2" xfId="9856" xr:uid="{A58C54A6-591B-44D9-BD56-825CB45D3171}"/>
    <cellStyle name="20% - Accent2 7 2 2 3" xfId="7479" xr:uid="{54950F38-B5F0-4A98-A6FA-BC0C4C7B6712}"/>
    <cellStyle name="20% - Accent2 7 2 3" xfId="4409" xr:uid="{04F35902-746F-4382-8131-5C3BF4BC462F}"/>
    <cellStyle name="20% - Accent2 7 2 3 2" xfId="9855" xr:uid="{68EA0578-1F4E-49BF-87CD-BB02F4BD420B}"/>
    <cellStyle name="20% - Accent2 7 2 4" xfId="7478" xr:uid="{E94ED8CB-6D4E-4C86-8404-07D8363AD366}"/>
    <cellStyle name="20% - Accent2 7 3" xfId="612" xr:uid="{AD5816CF-E2EA-488A-8F74-B249A9E71AD7}"/>
    <cellStyle name="20% - Accent2 7 3 2" xfId="4411" xr:uid="{E3F21371-AB9A-4770-95F0-BFA644E44538}"/>
    <cellStyle name="20% - Accent2 7 3 2 2" xfId="9857" xr:uid="{C8D5DC42-E581-45E6-A8ED-0BD402A8A69A}"/>
    <cellStyle name="20% - Accent2 7 3 3" xfId="7480" xr:uid="{D2B0B2CA-5585-4B87-B43E-C25F18FB6E09}"/>
    <cellStyle name="20% - Accent2 7 4" xfId="4408" xr:uid="{1D909CD6-9DC1-408C-A03C-C442B72FDCC0}"/>
    <cellStyle name="20% - Accent2 7 4 2" xfId="9854" xr:uid="{62012A29-FFDA-4B02-AC68-514811139670}"/>
    <cellStyle name="20% - Accent2 7 5" xfId="7477" xr:uid="{005E22F5-5F1A-4C98-8782-4F8E25D86B12}"/>
    <cellStyle name="20% - Accent2 8" xfId="613" xr:uid="{5D3ACBB2-C0BD-42BA-AA1A-D43EF6212257}"/>
    <cellStyle name="20% - Accent2 8 2" xfId="614" xr:uid="{2F1D18E5-08AE-4873-B736-4B103EA7AFAE}"/>
    <cellStyle name="20% - Accent2 8 2 2" xfId="615" xr:uid="{58AE0411-7492-4A71-B3C4-5A6DF0588C0C}"/>
    <cellStyle name="20% - Accent2 8 2 2 2" xfId="4414" xr:uid="{42B15E37-D02A-41B6-8F5A-C442DD6ADF3B}"/>
    <cellStyle name="20% - Accent2 8 2 2 2 2" xfId="9860" xr:uid="{0FE1D292-ABD9-437B-89FC-C194E8755F07}"/>
    <cellStyle name="20% - Accent2 8 2 2 3" xfId="7483" xr:uid="{0FB2087F-90D7-4BFE-AD23-60FBBB74855A}"/>
    <cellStyle name="20% - Accent2 8 2 3" xfId="4413" xr:uid="{3158782B-3C3C-4AA6-8E91-E9AEB2E9D510}"/>
    <cellStyle name="20% - Accent2 8 2 3 2" xfId="9859" xr:uid="{4201B10A-D431-48E4-8FAD-8F627FF516B2}"/>
    <cellStyle name="20% - Accent2 8 2 4" xfId="7482" xr:uid="{1E79A015-6CD9-408F-B5F2-D5FCE9A0C94E}"/>
    <cellStyle name="20% - Accent2 8 3" xfId="616" xr:uid="{F4760485-AFF9-4C74-8BBE-2DFB3EE4E385}"/>
    <cellStyle name="20% - Accent2 8 3 2" xfId="4415" xr:uid="{9645EE93-18B9-43ED-AF03-47D7F5FFC7A7}"/>
    <cellStyle name="20% - Accent2 8 3 2 2" xfId="9861" xr:uid="{DEF8B30F-EC7D-4221-9F53-402553998C4B}"/>
    <cellStyle name="20% - Accent2 8 3 3" xfId="7484" xr:uid="{8691DB55-A895-47F2-B946-D29E0DF16DCF}"/>
    <cellStyle name="20% - Accent2 8 4" xfId="4412" xr:uid="{32D15031-33C4-4B96-9D89-1E6CBFBB393C}"/>
    <cellStyle name="20% - Accent2 8 4 2" xfId="9858" xr:uid="{8E03ECF8-C147-4BBA-B5EE-6B76621C65FA}"/>
    <cellStyle name="20% - Accent2 8 5" xfId="7481" xr:uid="{F705D6DF-6729-4D3B-B23D-CA37F53882B3}"/>
    <cellStyle name="20% - Accent2 9" xfId="617" xr:uid="{0AD98CD6-D734-4A3B-ADAB-FB388B91A145}"/>
    <cellStyle name="20% - Accent2 9 2" xfId="618" xr:uid="{3439E83D-D89F-4577-8A18-A6A88D9D4085}"/>
    <cellStyle name="20% - Accent2 9 2 2" xfId="4417" xr:uid="{8F6ABE73-9B26-43B5-AE7F-496BCFC18C73}"/>
    <cellStyle name="20% - Accent2 9 2 2 2" xfId="9863" xr:uid="{2EB7CF93-F0C8-4167-859E-61B58A6FD589}"/>
    <cellStyle name="20% - Accent2 9 2 3" xfId="7486" xr:uid="{95729EF6-A2F2-4FA7-B47C-529D40E1CBB4}"/>
    <cellStyle name="20% - Accent2 9 3" xfId="4416" xr:uid="{59FCFDDA-03FB-4D62-8D4D-EBB421E72965}"/>
    <cellStyle name="20% - Accent2 9 3 2" xfId="9862" xr:uid="{6789DAE7-B592-4560-83E4-2DB0309E3FAC}"/>
    <cellStyle name="20% - Accent2 9 4" xfId="7485" xr:uid="{4B7329C2-F08F-4C28-9DB5-C6AAF565CABE}"/>
    <cellStyle name="20% - Accent3" xfId="3" builtinId="38" hidden="1" customBuiltin="1"/>
    <cellStyle name="20% - Accent3" xfId="362" builtinId="38" customBuiltin="1"/>
    <cellStyle name="20% - Accent3 10" xfId="619" xr:uid="{2044920A-5860-4B04-A225-6FD2039578C8}"/>
    <cellStyle name="20% - Accent3 10 2" xfId="620" xr:uid="{F74D61C6-3189-423D-87F5-7131055990EB}"/>
    <cellStyle name="20% - Accent3 10 2 2" xfId="4419" xr:uid="{0EA21A44-2D4D-4DF9-817F-029CCC07FDC5}"/>
    <cellStyle name="20% - Accent3 10 2 2 2" xfId="9865" xr:uid="{195AE3CD-BC4C-4159-905A-0D19C3B26161}"/>
    <cellStyle name="20% - Accent3 10 2 3" xfId="7488" xr:uid="{BD23CFE5-9756-4E8E-8CA9-FCFBCB746F99}"/>
    <cellStyle name="20% - Accent3 10 3" xfId="4418" xr:uid="{BD2208D0-9B5C-4210-9704-97DFFEB75929}"/>
    <cellStyle name="20% - Accent3 10 3 2" xfId="9864" xr:uid="{6331AEFD-A370-45F1-A42A-3988C26D92DA}"/>
    <cellStyle name="20% - Accent3 10 4" xfId="7487" xr:uid="{8DF0E5A5-183E-4BCA-ACA9-20A66149235C}"/>
    <cellStyle name="20% - Accent3 11" xfId="621" xr:uid="{458CC477-3325-48BE-AD6A-24F137168F6C}"/>
    <cellStyle name="20% - Accent3 11 2" xfId="4420" xr:uid="{A86E0C60-7BEA-444C-B682-7214603639E1}"/>
    <cellStyle name="20% - Accent3 11 2 2" xfId="9866" xr:uid="{E61EA55F-9C5A-40D8-9A75-0CC655C91BF4}"/>
    <cellStyle name="20% - Accent3 11 3" xfId="7489" xr:uid="{AF80E07B-4924-46B4-97BE-1EAACB0C49BF}"/>
    <cellStyle name="20% - Accent3 12" xfId="622" xr:uid="{B81E0572-178E-4740-9050-840655CF87BD}"/>
    <cellStyle name="20% - Accent3 12 2" xfId="4421" xr:uid="{5F600723-0D2D-4BEE-82B9-29069857C53B}"/>
    <cellStyle name="20% - Accent3 12 2 2" xfId="9867" xr:uid="{4FE212EC-7DFA-4FE8-851D-5EA5DEE58AF7}"/>
    <cellStyle name="20% - Accent3 12 3" xfId="7490" xr:uid="{C4FFAF1E-4B36-4502-AE17-D4C414DD7BCB}"/>
    <cellStyle name="20% - Accent3 13" xfId="4189" xr:uid="{AFAE1D6D-DACC-447D-A69D-1F031B4B5964}"/>
    <cellStyle name="20% - Accent3 13 2" xfId="9635" xr:uid="{6286D7AC-6949-40AB-B867-C243F79A877B}"/>
    <cellStyle name="20% - Accent3 14" xfId="7257" xr:uid="{5FB8648B-7157-4EFD-B30D-EC8724E4848E}"/>
    <cellStyle name="20% - Accent3 2" xfId="623" xr:uid="{30C74E81-571F-4C68-86B4-54E921FCDEBC}"/>
    <cellStyle name="20% - Accent3 2 2" xfId="624" xr:uid="{E1844C85-135E-4F1F-AB1F-F93817D09B8A}"/>
    <cellStyle name="20% - Accent3 2 2 2" xfId="625" xr:uid="{1B5C4C5A-FE5D-4C7A-A404-0D536A4A5D88}"/>
    <cellStyle name="20% - Accent3 2 2 2 2" xfId="626" xr:uid="{61052231-A660-4992-A53E-ECA7F92A8861}"/>
    <cellStyle name="20% - Accent3 2 2 2 2 2" xfId="627" xr:uid="{DE54E635-1856-482A-87E7-7A78BEBCA6F4}"/>
    <cellStyle name="20% - Accent3 2 2 2 2 2 2" xfId="4426" xr:uid="{665F509D-0FFD-442D-84A3-837943518DBA}"/>
    <cellStyle name="20% - Accent3 2 2 2 2 2 2 2" xfId="9872" xr:uid="{F73C89C8-4951-4B3E-B3C6-A5D250652A9F}"/>
    <cellStyle name="20% - Accent3 2 2 2 2 2 3" xfId="7495" xr:uid="{61177AB1-B785-42D2-AD72-6CFF1F690CBB}"/>
    <cellStyle name="20% - Accent3 2 2 2 2 3" xfId="4425" xr:uid="{7955EAAE-7AA0-44B0-AE7F-B8F1213752A7}"/>
    <cellStyle name="20% - Accent3 2 2 2 2 3 2" xfId="9871" xr:uid="{32B93735-8EF1-4FCA-BB2D-37A8E6D519C3}"/>
    <cellStyle name="20% - Accent3 2 2 2 2 4" xfId="7494" xr:uid="{FD639192-A864-457E-92F7-2580D65315FB}"/>
    <cellStyle name="20% - Accent3 2 2 2 3" xfId="628" xr:uid="{56DD6926-DD95-4979-BBA5-C727CFAF52B7}"/>
    <cellStyle name="20% - Accent3 2 2 2 3 2" xfId="4427" xr:uid="{CF37121C-8883-402D-B282-E57149636A98}"/>
    <cellStyle name="20% - Accent3 2 2 2 3 2 2" xfId="9873" xr:uid="{68DE48A5-D0F1-4AB6-B151-443776B0B909}"/>
    <cellStyle name="20% - Accent3 2 2 2 3 3" xfId="7496" xr:uid="{DE5E0881-5BB5-434A-A3F3-59BE94BA56A5}"/>
    <cellStyle name="20% - Accent3 2 2 2 4" xfId="4424" xr:uid="{B24F14E0-A87D-48C8-BBEF-0175A683735F}"/>
    <cellStyle name="20% - Accent3 2 2 2 4 2" xfId="9870" xr:uid="{A88AEAC6-4D4D-46AA-B513-DAD94685076F}"/>
    <cellStyle name="20% - Accent3 2 2 2 5" xfId="7493" xr:uid="{FB900016-2F6A-4F36-9BB1-F3F3F315C586}"/>
    <cellStyle name="20% - Accent3 2 2 3" xfId="629" xr:uid="{066C0449-615D-41DD-B07D-F71DFB95CFE2}"/>
    <cellStyle name="20% - Accent3 2 2 3 2" xfId="311" xr:uid="{2220EA1B-8763-4386-B48C-3AE393D9CC68}"/>
    <cellStyle name="20% - Accent3 2 2 3 2 2" xfId="4166" xr:uid="{C8BC3FD1-91CD-4339-B295-11C804B608CE}"/>
    <cellStyle name="20% - Accent3 2 2 3 2 2 2" xfId="9616" xr:uid="{75B002D3-B757-4F42-8B0F-4A91D9BF8BE3}"/>
    <cellStyle name="20% - Accent3 2 2 3 2 3" xfId="7236" xr:uid="{9B531AAA-0013-43FD-9493-58752A379CB3}"/>
    <cellStyle name="20% - Accent3 2 2 3 3" xfId="4428" xr:uid="{EBB49011-1CAF-4394-8477-3CDB15E3DD1A}"/>
    <cellStyle name="20% - Accent3 2 2 3 3 2" xfId="9874" xr:uid="{06FB4042-3111-4374-9846-8B7748D64943}"/>
    <cellStyle name="20% - Accent3 2 2 3 4" xfId="7497" xr:uid="{7E34B4F1-0D12-418B-8661-3E2202AE0A81}"/>
    <cellStyle name="20% - Accent3 2 2 4" xfId="630" xr:uid="{0AE29ED5-001B-4060-B0D1-EC2302DEA632}"/>
    <cellStyle name="20% - Accent3 2 2 4 2" xfId="4429" xr:uid="{347325C3-CBAF-4E7D-A52D-8D7A8C0AB5FF}"/>
    <cellStyle name="20% - Accent3 2 2 4 2 2" xfId="9875" xr:uid="{A9C3E801-591A-49E8-A16C-EDDF44240B86}"/>
    <cellStyle name="20% - Accent3 2 2 4 3" xfId="7498" xr:uid="{DFB71130-88B5-4562-ABFE-AB1D24D895C4}"/>
    <cellStyle name="20% - Accent3 2 2 5" xfId="4423" xr:uid="{A4713497-AE9D-45B4-A640-5903EDCBEE32}"/>
    <cellStyle name="20% - Accent3 2 2 5 2" xfId="9869" xr:uid="{D50FFF0A-0653-4640-86E8-83DF26CECCDF}"/>
    <cellStyle name="20% - Accent3 2 2 6" xfId="7492" xr:uid="{E150FC44-BD24-4629-A5C9-2FB01940F994}"/>
    <cellStyle name="20% - Accent3 2 3" xfId="631" xr:uid="{3ABB8C67-315F-4155-A26B-5077B787A373}"/>
    <cellStyle name="20% - Accent3 2 3 2" xfId="632" xr:uid="{C6F55BA5-F9C8-4DE8-A45D-420910A96325}"/>
    <cellStyle name="20% - Accent3 2 3 2 2" xfId="633" xr:uid="{020F1A2A-2B70-4908-8FFC-DD7EE5F632C6}"/>
    <cellStyle name="20% - Accent3 2 3 2 2 2" xfId="634" xr:uid="{B4A4B88F-143B-4906-8E3D-E5274430A137}"/>
    <cellStyle name="20% - Accent3 2 3 2 2 2 2" xfId="4433" xr:uid="{696BBC41-4570-4BAC-914A-A2AF5B4EC926}"/>
    <cellStyle name="20% - Accent3 2 3 2 2 2 2 2" xfId="9879" xr:uid="{2DD0627E-A6FC-4540-88FD-AD445502E120}"/>
    <cellStyle name="20% - Accent3 2 3 2 2 2 3" xfId="7502" xr:uid="{7D665082-EC70-4A13-A6E6-9E5593C89B40}"/>
    <cellStyle name="20% - Accent3 2 3 2 2 3" xfId="4432" xr:uid="{BC211233-F927-4436-8002-1C803BE237E3}"/>
    <cellStyle name="20% - Accent3 2 3 2 2 3 2" xfId="9878" xr:uid="{D7FDDFAE-F5FE-4CF0-A649-2A9F67516013}"/>
    <cellStyle name="20% - Accent3 2 3 2 2 4" xfId="7501" xr:uid="{C7CBCB71-2002-4AB6-8E62-8AAC7EB3B238}"/>
    <cellStyle name="20% - Accent3 2 3 2 3" xfId="635" xr:uid="{3601816E-D3D0-476B-A141-6719ED1EDD1A}"/>
    <cellStyle name="20% - Accent3 2 3 2 3 2" xfId="4434" xr:uid="{77C7326D-B6CE-4351-8B2B-E79510809ACF}"/>
    <cellStyle name="20% - Accent3 2 3 2 3 2 2" xfId="9880" xr:uid="{FE2DAC58-6829-4A26-8CAA-260B34CB36AE}"/>
    <cellStyle name="20% - Accent3 2 3 2 3 3" xfId="7503" xr:uid="{B0DA043C-275F-49F5-8164-8E0BCDFE8903}"/>
    <cellStyle name="20% - Accent3 2 3 2 4" xfId="4431" xr:uid="{EE7EC195-CD00-4827-91C9-ED830CA629FD}"/>
    <cellStyle name="20% - Accent3 2 3 2 4 2" xfId="9877" xr:uid="{F1AB5436-82BD-4932-B18E-1743C2AA76E8}"/>
    <cellStyle name="20% - Accent3 2 3 2 5" xfId="7500" xr:uid="{B0FB9AF4-7DA4-468E-B096-2737521D15A8}"/>
    <cellStyle name="20% - Accent3 2 3 3" xfId="636" xr:uid="{48D0AD6A-922C-45F0-9A9C-7F701269F117}"/>
    <cellStyle name="20% - Accent3 2 3 3 2" xfId="637" xr:uid="{28482C5F-8F9A-4B44-A542-D47C25E5FEA2}"/>
    <cellStyle name="20% - Accent3 2 3 3 2 2" xfId="4436" xr:uid="{6A460772-AF60-477B-8AD7-C151C79DA2A9}"/>
    <cellStyle name="20% - Accent3 2 3 3 2 2 2" xfId="9882" xr:uid="{D85A8029-D592-4061-B970-08EA36A873B2}"/>
    <cellStyle name="20% - Accent3 2 3 3 2 3" xfId="7505" xr:uid="{44AA72F0-2D6C-47A6-A781-AEC478FD270A}"/>
    <cellStyle name="20% - Accent3 2 3 3 3" xfId="4435" xr:uid="{13F442B1-DA27-4013-A026-6395C13FD8D3}"/>
    <cellStyle name="20% - Accent3 2 3 3 3 2" xfId="9881" xr:uid="{238EB532-A5B5-406E-8C27-AD229994F642}"/>
    <cellStyle name="20% - Accent3 2 3 3 4" xfId="7504" xr:uid="{BF66A590-E250-4E18-A1CC-EBBE7AC7E169}"/>
    <cellStyle name="20% - Accent3 2 3 4" xfId="638" xr:uid="{31FFC35F-44B1-4F27-AEB7-DA51AFD4688D}"/>
    <cellStyle name="20% - Accent3 2 3 4 2" xfId="4437" xr:uid="{30F04110-E266-4520-BCDA-B5FFACD68A31}"/>
    <cellStyle name="20% - Accent3 2 3 4 2 2" xfId="9883" xr:uid="{493611AF-CB54-4D88-8A6D-279900E3FE8A}"/>
    <cellStyle name="20% - Accent3 2 3 4 3" xfId="7506" xr:uid="{D65FB459-99C1-4518-857F-3AAC9A3ECDFA}"/>
    <cellStyle name="20% - Accent3 2 3 5" xfId="3371" xr:uid="{9DC488CB-43CB-4340-8EAF-36F3C0B8C967}"/>
    <cellStyle name="20% - Accent3 2 3 5 2" xfId="5860" xr:uid="{3E5E9667-FB91-483B-893C-F421BC98E50E}"/>
    <cellStyle name="20% - Accent3 2 3 5 2 2" xfId="11302" xr:uid="{29B2D9F3-E040-4334-9B17-8E2DBAB2398A}"/>
    <cellStyle name="20% - Accent3 2 3 5 3" xfId="8918" xr:uid="{56CF3A4D-4623-4541-A22D-6F1E4AE9F9BA}"/>
    <cellStyle name="20% - Accent3 2 3 6" xfId="2063" xr:uid="{A59C7AFA-449E-43CA-80C7-A0D783302350}"/>
    <cellStyle name="20% - Accent3 2 3 7" xfId="4430" xr:uid="{A6BEECA2-95C3-4637-9528-7E1E42F3F71E}"/>
    <cellStyle name="20% - Accent3 2 3 7 2" xfId="9876" xr:uid="{91773E89-9E00-4D12-A281-8E2DC4FDDCC9}"/>
    <cellStyle name="20% - Accent3 2 3 8" xfId="7499" xr:uid="{9B0CA672-87D1-461C-90A2-790D758C2B73}"/>
    <cellStyle name="20% - Accent3 2 4" xfId="639" xr:uid="{627B4D99-F6DA-4D4F-A70B-0746514ADB0B}"/>
    <cellStyle name="20% - Accent3 2 4 2" xfId="640" xr:uid="{3E16B82A-6DEE-4B8B-AC2A-C9C1F3EC19F4}"/>
    <cellStyle name="20% - Accent3 2 4 2 2" xfId="641" xr:uid="{ACF53CB8-EFE3-419C-9AE8-FB0CC921D24C}"/>
    <cellStyle name="20% - Accent3 2 4 2 2 2" xfId="4440" xr:uid="{38BFBE7E-0F8B-431A-99DE-DE46280922AB}"/>
    <cellStyle name="20% - Accent3 2 4 2 2 2 2" xfId="9886" xr:uid="{06134920-C2A2-4ED3-86F7-F04125E26A71}"/>
    <cellStyle name="20% - Accent3 2 4 2 2 3" xfId="7509" xr:uid="{0C132A77-D7C4-4955-9AFC-36F02A5371D7}"/>
    <cellStyle name="20% - Accent3 2 4 2 3" xfId="4439" xr:uid="{6BB3D8C8-9DF2-4B9B-82F5-D7FD38686516}"/>
    <cellStyle name="20% - Accent3 2 4 2 3 2" xfId="9885" xr:uid="{F1EC2030-A6C5-4B2B-A858-0CB4ED7BB9AB}"/>
    <cellStyle name="20% - Accent3 2 4 2 4" xfId="7508" xr:uid="{1C145884-9DF0-46D0-98B8-FFF29A67E915}"/>
    <cellStyle name="20% - Accent3 2 4 3" xfId="642" xr:uid="{C46913DD-C37D-44CC-BDE6-0B07AD673F62}"/>
    <cellStyle name="20% - Accent3 2 4 3 2" xfId="4441" xr:uid="{C50B4EB1-A581-46DC-9A23-3F764F388038}"/>
    <cellStyle name="20% - Accent3 2 4 3 2 2" xfId="9887" xr:uid="{1EE9007A-FA73-4E96-9DAE-98CD6F4291B9}"/>
    <cellStyle name="20% - Accent3 2 4 3 3" xfId="7510" xr:uid="{39142E5C-62A3-4ECE-BDED-1F5AAE93D24A}"/>
    <cellStyle name="20% - Accent3 2 4 4" xfId="3372" xr:uid="{BE9E974B-7484-46AA-8DEC-528FF0BDC539}"/>
    <cellStyle name="20% - Accent3 2 4 4 2" xfId="5861" xr:uid="{3D223C56-EDB0-41C2-9CAB-21049919050C}"/>
    <cellStyle name="20% - Accent3 2 4 4 2 2" xfId="11303" xr:uid="{704445B3-E351-454B-845D-1BF13890B82A}"/>
    <cellStyle name="20% - Accent3 2 4 4 3" xfId="8919" xr:uid="{2670CA33-F591-4D03-A932-A61ACD86E7F3}"/>
    <cellStyle name="20% - Accent3 2 4 5" xfId="392" xr:uid="{2E0700CE-35AA-4803-A8A7-72BB7034FF9F}"/>
    <cellStyle name="20% - Accent3 2 4 6" xfId="4438" xr:uid="{205F952E-B3E2-4FBD-BCB7-60756CFBE158}"/>
    <cellStyle name="20% - Accent3 2 4 6 2" xfId="9884" xr:uid="{D06C23E1-D9E9-43EA-9C2E-6A0409C492AC}"/>
    <cellStyle name="20% - Accent3 2 4 7" xfId="7507" xr:uid="{E9A1CAE1-AD9F-4310-8473-D1AF605C2F8D}"/>
    <cellStyle name="20% - Accent3 2 5" xfId="643" xr:uid="{0433B2F5-E4D2-4C63-BFED-4989942EEF85}"/>
    <cellStyle name="20% - Accent3 2 5 2" xfId="644" xr:uid="{DCCAE6D4-EDBE-439B-A3D5-F8391301B1AA}"/>
    <cellStyle name="20% - Accent3 2 5 2 2" xfId="4443" xr:uid="{6C76C5B3-CAE8-4F43-A8DD-3F30972D83DD}"/>
    <cellStyle name="20% - Accent3 2 5 2 2 2" xfId="9889" xr:uid="{65D1DF81-87BE-494E-9211-9BECD5D383F0}"/>
    <cellStyle name="20% - Accent3 2 5 2 3" xfId="7512" xr:uid="{37BCCFF0-848C-4342-8717-41084D678E00}"/>
    <cellStyle name="20% - Accent3 2 5 3" xfId="4442" xr:uid="{9998D2F3-3070-4D13-AE60-91DC61CA417E}"/>
    <cellStyle name="20% - Accent3 2 5 3 2" xfId="9888" xr:uid="{2B55FA62-AE9A-4A2E-B9C4-3529FD48EF08}"/>
    <cellStyle name="20% - Accent3 2 5 4" xfId="7511" xr:uid="{8DEFD9EB-2CC7-4882-86C1-6106DEFB9509}"/>
    <cellStyle name="20% - Accent3 2 6" xfId="645" xr:uid="{A0542C43-33BD-4275-BA73-6C324FB09600}"/>
    <cellStyle name="20% - Accent3 2 6 2" xfId="4444" xr:uid="{E0CBA7A7-877B-4DFB-8168-94435FC4E0BD}"/>
    <cellStyle name="20% - Accent3 2 6 2 2" xfId="9890" xr:uid="{8CBC4730-C59B-4478-A335-76FA164745D7}"/>
    <cellStyle name="20% - Accent3 2 6 3" xfId="7513" xr:uid="{E05040FB-E658-453F-B318-B9626A949F66}"/>
    <cellStyle name="20% - Accent3 2 7" xfId="646" xr:uid="{011A4604-5209-49F4-9495-DF54BB1A7456}"/>
    <cellStyle name="20% - Accent3 2 8" xfId="4422" xr:uid="{67ACB014-5B27-49FC-9404-69DD59D694A8}"/>
    <cellStyle name="20% - Accent3 2 8 2" xfId="9868" xr:uid="{512A74BB-CE62-4355-B65B-8BE5BE7BE521}"/>
    <cellStyle name="20% - Accent3 2 9" xfId="7491" xr:uid="{947FFD8B-C39D-4AB5-AE01-3DDA126938B5}"/>
    <cellStyle name="20% - Accent3 3" xfId="647" xr:uid="{1A5E8223-F3AF-4315-8DCD-8FDD93ED865E}"/>
    <cellStyle name="20% - Accent3 3 2" xfId="648" xr:uid="{6CFD2E96-3D03-4452-B029-B99041617300}"/>
    <cellStyle name="20% - Accent3 3 2 2" xfId="649" xr:uid="{AE109697-4FB5-4501-9DC6-896E08B540A4}"/>
    <cellStyle name="20% - Accent3 3 2 2 2" xfId="650" xr:uid="{005B7EE3-DCC4-45E8-86B0-5437E5F7C566}"/>
    <cellStyle name="20% - Accent3 3 2 2 2 2" xfId="651" xr:uid="{7D8C39BB-6DE6-4D67-969E-5B694132BE59}"/>
    <cellStyle name="20% - Accent3 3 2 2 2 2 2" xfId="4449" xr:uid="{765BE820-4957-4E63-A380-F933786C0247}"/>
    <cellStyle name="20% - Accent3 3 2 2 2 2 2 2" xfId="9895" xr:uid="{8BAB2BE6-0C82-44CD-811B-4B3A63FCBC2C}"/>
    <cellStyle name="20% - Accent3 3 2 2 2 2 3" xfId="7518" xr:uid="{AC658C26-3C00-4A73-8C92-65C762B8B442}"/>
    <cellStyle name="20% - Accent3 3 2 2 2 3" xfId="4448" xr:uid="{8B1DDEB6-AA97-41CA-80CA-C8737ABBBA0D}"/>
    <cellStyle name="20% - Accent3 3 2 2 2 3 2" xfId="9894" xr:uid="{99D82B72-48FE-41C2-AC40-C04A442253D6}"/>
    <cellStyle name="20% - Accent3 3 2 2 2 4" xfId="7517" xr:uid="{0122E3B2-ADA9-4CE1-9F8B-7D9FF4BA28B7}"/>
    <cellStyle name="20% - Accent3 3 2 2 3" xfId="310" xr:uid="{14D5FCA4-7C35-4420-8F87-39D39DFB9D5D}"/>
    <cellStyle name="20% - Accent3 3 2 2 3 2" xfId="4165" xr:uid="{201F56B2-4DB6-4E58-8388-2D1A7018C390}"/>
    <cellStyle name="20% - Accent3 3 2 2 3 2 2" xfId="9615" xr:uid="{619FCB60-4EE7-43F6-8458-BA4C02C42B2B}"/>
    <cellStyle name="20% - Accent3 3 2 2 3 3" xfId="7235" xr:uid="{4D8A09B6-1C77-4F83-BF41-9DBEB3DC81AD}"/>
    <cellStyle name="20% - Accent3 3 2 2 4" xfId="4447" xr:uid="{41F2A660-30B3-41E0-81AB-C427F4B4129E}"/>
    <cellStyle name="20% - Accent3 3 2 2 4 2" xfId="9893" xr:uid="{02DFB081-DCE8-499D-9479-572CD423A3DF}"/>
    <cellStyle name="20% - Accent3 3 2 2 5" xfId="7516" xr:uid="{6A071597-1CE4-40FD-838C-F87A232D1FA5}"/>
    <cellStyle name="20% - Accent3 3 2 3" xfId="652" xr:uid="{408BA886-F0B5-4FCA-8792-B1722D8498E1}"/>
    <cellStyle name="20% - Accent3 3 2 3 2" xfId="653" xr:uid="{590D8107-0A17-4408-B0D6-0115AFE391CC}"/>
    <cellStyle name="20% - Accent3 3 2 3 2 2" xfId="4451" xr:uid="{D9F11A40-B38C-48F2-9CF0-B1FB91C9C7F9}"/>
    <cellStyle name="20% - Accent3 3 2 3 2 2 2" xfId="9897" xr:uid="{B2EF8416-DC80-4685-9FD9-7E6A5736328E}"/>
    <cellStyle name="20% - Accent3 3 2 3 2 3" xfId="7520" xr:uid="{C87FF5B2-E66C-4DE4-A4FE-E4F3024B93CC}"/>
    <cellStyle name="20% - Accent3 3 2 3 3" xfId="4450" xr:uid="{6545C96A-A8FD-4D5C-B4B8-F9FBA3A5E582}"/>
    <cellStyle name="20% - Accent3 3 2 3 3 2" xfId="9896" xr:uid="{3DEA54AE-8DE4-4A5D-9A8B-C08D6659C7BB}"/>
    <cellStyle name="20% - Accent3 3 2 3 4" xfId="7519" xr:uid="{46979B60-7E1F-4F5F-BC8D-55A665331A99}"/>
    <cellStyle name="20% - Accent3 3 2 4" xfId="654" xr:uid="{849664FB-1B5E-44D2-A9CD-3D576E998F91}"/>
    <cellStyle name="20% - Accent3 3 2 4 2" xfId="4452" xr:uid="{93D904A6-75C8-4BA6-A134-445045BCD77E}"/>
    <cellStyle name="20% - Accent3 3 2 4 2 2" xfId="9898" xr:uid="{7E033076-8063-4458-B3FE-C6D94C94FAD5}"/>
    <cellStyle name="20% - Accent3 3 2 4 3" xfId="7521" xr:uid="{526607A8-9FD0-444D-BB79-8B0A898A2863}"/>
    <cellStyle name="20% - Accent3 3 2 5" xfId="3373" xr:uid="{E298DC7C-740D-4ACE-A615-934681767AA9}"/>
    <cellStyle name="20% - Accent3 3 2 5 2" xfId="5862" xr:uid="{289B57A6-8FB1-4AE2-B0B3-6F8241867D44}"/>
    <cellStyle name="20% - Accent3 3 2 5 2 2" xfId="11304" xr:uid="{0BA29BE9-81C8-4766-B33B-C1E1311F36C0}"/>
    <cellStyle name="20% - Accent3 3 2 5 3" xfId="8920" xr:uid="{E94EE27A-64DD-4CAA-B469-105EC023264D}"/>
    <cellStyle name="20% - Accent3 3 2 6" xfId="2067" xr:uid="{3F014523-B78C-4AE6-B767-F253E8F554B1}"/>
    <cellStyle name="20% - Accent3 3 2 7" xfId="4446" xr:uid="{D0E754D4-81B0-4798-8123-B5CBE1F0DD52}"/>
    <cellStyle name="20% - Accent3 3 2 7 2" xfId="9892" xr:uid="{927DBDA8-AE58-463F-8C4A-1ECFB3292A24}"/>
    <cellStyle name="20% - Accent3 3 2 8" xfId="7515" xr:uid="{65F04369-F0BD-489C-9F51-1FB34CB1BC03}"/>
    <cellStyle name="20% - Accent3 3 3" xfId="655" xr:uid="{EB85B247-83E4-4D8B-AB12-C7664578D657}"/>
    <cellStyle name="20% - Accent3 3 3 2" xfId="656" xr:uid="{49269906-D242-4FBC-8819-283C9F000092}"/>
    <cellStyle name="20% - Accent3 3 3 2 2" xfId="657" xr:uid="{47BB2215-0AB1-4C05-9349-544A06A6CC86}"/>
    <cellStyle name="20% - Accent3 3 3 2 2 2" xfId="658" xr:uid="{D3F567AB-17DD-47E0-A154-480A94E76260}"/>
    <cellStyle name="20% - Accent3 3 3 2 2 2 2" xfId="4456" xr:uid="{1B54573D-7737-4B0E-AE19-4976CABF69AD}"/>
    <cellStyle name="20% - Accent3 3 3 2 2 2 2 2" xfId="9902" xr:uid="{B5CF8ACC-5AEA-4CF2-A436-6F77B481C41E}"/>
    <cellStyle name="20% - Accent3 3 3 2 2 2 3" xfId="7525" xr:uid="{B03FA7E2-9496-4A2B-A7E0-F1DBBEDE414F}"/>
    <cellStyle name="20% - Accent3 3 3 2 2 3" xfId="4455" xr:uid="{E6A613E8-A641-4914-A4EF-4C123D6F09A9}"/>
    <cellStyle name="20% - Accent3 3 3 2 2 3 2" xfId="9901" xr:uid="{74D5F2FD-F674-4EAF-9CC4-21F53C9F1CA1}"/>
    <cellStyle name="20% - Accent3 3 3 2 2 4" xfId="7524" xr:uid="{BD150198-86DF-41DB-AA41-D79D66BFE89B}"/>
    <cellStyle name="20% - Accent3 3 3 2 3" xfId="659" xr:uid="{C23334A8-F45B-47B1-B08D-C6D84F76FF4B}"/>
    <cellStyle name="20% - Accent3 3 3 2 3 2" xfId="4457" xr:uid="{C008D1E3-AA7F-407B-9D67-ACC20AA6BFBC}"/>
    <cellStyle name="20% - Accent3 3 3 2 3 2 2" xfId="9903" xr:uid="{10534170-6E0C-4239-94FA-716E2332BBE0}"/>
    <cellStyle name="20% - Accent3 3 3 2 3 3" xfId="7526" xr:uid="{25F13177-C69E-45FC-B2F4-838161934C06}"/>
    <cellStyle name="20% - Accent3 3 3 2 4" xfId="4454" xr:uid="{8B432285-219E-482A-87B3-234EBED25F6C}"/>
    <cellStyle name="20% - Accent3 3 3 2 4 2" xfId="9900" xr:uid="{9552E83D-D744-4978-8BCC-889E116820ED}"/>
    <cellStyle name="20% - Accent3 3 3 2 5" xfId="7523" xr:uid="{74CE7684-1E01-4D21-BD75-34DE708594B8}"/>
    <cellStyle name="20% - Accent3 3 3 3" xfId="660" xr:uid="{81143496-0137-4A97-A964-FC4D26D8DF0A}"/>
    <cellStyle name="20% - Accent3 3 3 3 2" xfId="661" xr:uid="{26D9734E-15F3-46B5-B125-2530A7E0A978}"/>
    <cellStyle name="20% - Accent3 3 3 3 2 2" xfId="4459" xr:uid="{9D95063D-4190-4A3F-BD1E-D07FBA9E654C}"/>
    <cellStyle name="20% - Accent3 3 3 3 2 2 2" xfId="9905" xr:uid="{54EFFB25-88D3-43D3-852F-187D40D47855}"/>
    <cellStyle name="20% - Accent3 3 3 3 2 3" xfId="7528" xr:uid="{20380A80-4F20-48F1-9F05-5E169FAF12E8}"/>
    <cellStyle name="20% - Accent3 3 3 3 3" xfId="4458" xr:uid="{8C13C891-F3E0-4E7C-8A37-AFA296EBF9DA}"/>
    <cellStyle name="20% - Accent3 3 3 3 3 2" xfId="9904" xr:uid="{877E98B3-F8B7-4A48-B4A3-8EF18802B5EA}"/>
    <cellStyle name="20% - Accent3 3 3 3 4" xfId="7527" xr:uid="{5E38D31E-9825-4E97-9881-AA11A0204D60}"/>
    <cellStyle name="20% - Accent3 3 3 4" xfId="662" xr:uid="{DB4863C0-62B2-4EBF-9BF5-C7D7D5B2FC11}"/>
    <cellStyle name="20% - Accent3 3 3 4 2" xfId="4460" xr:uid="{5181CECD-4DF4-40BE-9DF6-E52648861C52}"/>
    <cellStyle name="20% - Accent3 3 3 4 2 2" xfId="9906" xr:uid="{8ADB7650-09AC-473A-8F51-9389E3CCF6A2}"/>
    <cellStyle name="20% - Accent3 3 3 4 3" xfId="7529" xr:uid="{8066F87D-C99D-4E5B-9777-9CA0C7B7B636}"/>
    <cellStyle name="20% - Accent3 3 3 5" xfId="4453" xr:uid="{6774E498-54D6-481F-8CB1-C4855B870CD2}"/>
    <cellStyle name="20% - Accent3 3 3 5 2" xfId="9899" xr:uid="{41AEC030-0965-4D05-ABAF-A9DD466FC939}"/>
    <cellStyle name="20% - Accent3 3 3 6" xfId="7522" xr:uid="{9B44DE55-741F-45F6-ADB4-6502555AFEF5}"/>
    <cellStyle name="20% - Accent3 3 4" xfId="304" xr:uid="{C1DA5301-492C-4442-854D-3426771FB799}"/>
    <cellStyle name="20% - Accent3 3 4 2" xfId="663" xr:uid="{237600EE-6F04-4EC5-9BEE-024FB281C1BC}"/>
    <cellStyle name="20% - Accent3 3 4 2 2" xfId="664" xr:uid="{B0D12922-84E0-4449-B3F6-9492074F9E2B}"/>
    <cellStyle name="20% - Accent3 3 4 2 2 2" xfId="4462" xr:uid="{F7A28F04-41DE-4B98-934D-835425273A1C}"/>
    <cellStyle name="20% - Accent3 3 4 2 2 2 2" xfId="9908" xr:uid="{857A7930-7833-40DD-BFC6-033E56695E00}"/>
    <cellStyle name="20% - Accent3 3 4 2 2 3" xfId="7531" xr:uid="{89345451-FBF3-4547-9D77-D32399D671B9}"/>
    <cellStyle name="20% - Accent3 3 4 2 3" xfId="4461" xr:uid="{981985E1-88D5-4BE4-BD66-E9EDEE8E97C9}"/>
    <cellStyle name="20% - Accent3 3 4 2 3 2" xfId="9907" xr:uid="{F44CEFD2-4F59-46D8-B4FB-1081DBF43B55}"/>
    <cellStyle name="20% - Accent3 3 4 2 4" xfId="7530" xr:uid="{334A10DC-5044-4928-A720-29B83801CC9F}"/>
    <cellStyle name="20% - Accent3 3 4 3" xfId="665" xr:uid="{D9B9B27C-C103-4541-8317-04AFE0B3A01A}"/>
    <cellStyle name="20% - Accent3 3 4 3 2" xfId="4463" xr:uid="{8AE5B690-B34D-4542-8EB7-FC7E1B78B49E}"/>
    <cellStyle name="20% - Accent3 3 4 3 2 2" xfId="9909" xr:uid="{A90C1E41-C366-45DD-9F0C-853FAEE71D94}"/>
    <cellStyle name="20% - Accent3 3 4 3 3" xfId="7532" xr:uid="{4838112A-DE07-4E8C-918E-56CFF6A7C5DF}"/>
    <cellStyle name="20% - Accent3 3 4 4" xfId="4163" xr:uid="{3C7BB7C6-1979-4EDF-9A1C-D4D17AA80578}"/>
    <cellStyle name="20% - Accent3 3 4 4 2" xfId="9613" xr:uid="{62C3870B-A8CE-436A-B492-13C9AB17D930}"/>
    <cellStyle name="20% - Accent3 3 4 5" xfId="7233" xr:uid="{C099DFE3-2084-465C-AE60-E0DAB25F87CD}"/>
    <cellStyle name="20% - Accent3 3 5" xfId="666" xr:uid="{C06A25EA-8274-4A35-8928-D013A3343F2F}"/>
    <cellStyle name="20% - Accent3 3 5 2" xfId="667" xr:uid="{7CE11DDE-33FD-4355-903E-6B8261B92C15}"/>
    <cellStyle name="20% - Accent3 3 5 2 2" xfId="4465" xr:uid="{2209980D-1F01-4716-9833-8E669B71D374}"/>
    <cellStyle name="20% - Accent3 3 5 2 2 2" xfId="9911" xr:uid="{8A78063B-15EF-4AF3-9490-81D5F9E0CB89}"/>
    <cellStyle name="20% - Accent3 3 5 2 3" xfId="7534" xr:uid="{454F3F2F-5871-4460-A8E4-22F544AB1B5C}"/>
    <cellStyle name="20% - Accent3 3 5 3" xfId="4464" xr:uid="{31EA81D3-1613-4322-BC8B-91FD5CDA1849}"/>
    <cellStyle name="20% - Accent3 3 5 3 2" xfId="9910" xr:uid="{9B61B4D6-5A06-458E-B760-ACDE9A47A12F}"/>
    <cellStyle name="20% - Accent3 3 5 4" xfId="7533" xr:uid="{081DD201-0EB6-4533-BC1F-A62AD1412D2F}"/>
    <cellStyle name="20% - Accent3 3 6" xfId="668" xr:uid="{2186623F-AE36-4ADD-92A5-8B6534BDBF85}"/>
    <cellStyle name="20% - Accent3 3 6 2" xfId="4466" xr:uid="{44E8EF91-21B2-4C2C-8926-CF4D11D08DCC}"/>
    <cellStyle name="20% - Accent3 3 6 2 2" xfId="9912" xr:uid="{6ABFBF75-C398-4231-8C67-29C0B1A6D88D}"/>
    <cellStyle name="20% - Accent3 3 6 3" xfId="7535" xr:uid="{F2DA5E31-FFE0-4783-BE7E-D50CA177A779}"/>
    <cellStyle name="20% - Accent3 3 7" xfId="4445" xr:uid="{DBFA0C63-4C83-471B-A088-8CCA06F4A888}"/>
    <cellStyle name="20% - Accent3 3 7 2" xfId="9891" xr:uid="{90E9E30D-27B7-49BA-B284-8B04FEEEBD89}"/>
    <cellStyle name="20% - Accent3 3 8" xfId="7514" xr:uid="{15D0EDEF-929F-4383-BFFB-AB445396DAE2}"/>
    <cellStyle name="20% - Accent3 4" xfId="669" xr:uid="{A0C47173-817A-48AB-A143-0EFC8E4435D4}"/>
    <cellStyle name="20% - Accent3 4 2" xfId="670" xr:uid="{6F88E292-35E4-41BB-B4EE-F8C2C73A55F3}"/>
    <cellStyle name="20% - Accent3 4 2 2" xfId="671" xr:uid="{1DC8276C-8C2E-4005-91E6-A82FBE599411}"/>
    <cellStyle name="20% - Accent3 4 2 2 2" xfId="672" xr:uid="{360E8860-0327-483B-89FA-47030D0309FF}"/>
    <cellStyle name="20% - Accent3 4 2 2 2 2" xfId="673" xr:uid="{02DD67D7-10B2-4EB2-AEF4-7893622664BD}"/>
    <cellStyle name="20% - Accent3 4 2 2 2 2 2" xfId="4471" xr:uid="{E65C7F0F-87C1-4B92-A353-EE145F15FE05}"/>
    <cellStyle name="20% - Accent3 4 2 2 2 2 2 2" xfId="9917" xr:uid="{98F09A50-F7F3-4F1E-B32E-97943E148715}"/>
    <cellStyle name="20% - Accent3 4 2 2 2 2 3" xfId="7540" xr:uid="{4CF96C2A-444E-4303-8A0B-7E548D61724E}"/>
    <cellStyle name="20% - Accent3 4 2 2 2 3" xfId="4470" xr:uid="{4EAA188A-D70B-4A2C-9F06-17BFBFD8BB00}"/>
    <cellStyle name="20% - Accent3 4 2 2 2 3 2" xfId="9916" xr:uid="{714AD84D-C447-462F-A0C2-6AF73B532000}"/>
    <cellStyle name="20% - Accent3 4 2 2 2 4" xfId="7539" xr:uid="{7E5B07DD-A822-40AF-9941-EEC1E2D6B519}"/>
    <cellStyle name="20% - Accent3 4 2 2 3" xfId="674" xr:uid="{8754B65A-46F3-411E-9F66-1001AFE2C714}"/>
    <cellStyle name="20% - Accent3 4 2 2 3 2" xfId="4472" xr:uid="{415CBCD7-68C4-47E1-B326-08174D299FAB}"/>
    <cellStyle name="20% - Accent3 4 2 2 3 2 2" xfId="9918" xr:uid="{01CAFA45-21EA-45F4-9095-22C5DFF8EAA5}"/>
    <cellStyle name="20% - Accent3 4 2 2 3 3" xfId="7541" xr:uid="{F8AA2F4E-9AF9-4656-B56A-F1AA6A4D9089}"/>
    <cellStyle name="20% - Accent3 4 2 2 4" xfId="4469" xr:uid="{F91A9292-1025-474E-8C91-DFD6E31F00BA}"/>
    <cellStyle name="20% - Accent3 4 2 2 4 2" xfId="9915" xr:uid="{C51CE7B2-D5AC-4B0A-92B4-BFDF65F9D028}"/>
    <cellStyle name="20% - Accent3 4 2 2 5" xfId="7538" xr:uid="{049735FF-36D1-41CE-A61C-48AE1AA84691}"/>
    <cellStyle name="20% - Accent3 4 2 3" xfId="675" xr:uid="{EC452046-F9B2-4602-8A0D-EA2C1E7EC9C5}"/>
    <cellStyle name="20% - Accent3 4 2 3 2" xfId="676" xr:uid="{4CEBEBCD-2F76-4F4E-87F2-0C006B45D500}"/>
    <cellStyle name="20% - Accent3 4 2 3 2 2" xfId="4474" xr:uid="{FD5FF505-594B-4CC3-8EDA-1B86DCAD801D}"/>
    <cellStyle name="20% - Accent3 4 2 3 2 2 2" xfId="9920" xr:uid="{C3A3058C-5C53-4E65-8555-E9562C6C8225}"/>
    <cellStyle name="20% - Accent3 4 2 3 2 3" xfId="7543" xr:uid="{0DF9EEDF-A6AE-479E-B11C-6647540CC0B3}"/>
    <cellStyle name="20% - Accent3 4 2 3 3" xfId="4473" xr:uid="{54A0AB47-B95C-484B-A7F4-56403554D515}"/>
    <cellStyle name="20% - Accent3 4 2 3 3 2" xfId="9919" xr:uid="{C045F04F-0CCE-4D3A-BC5C-9C8C7DB257F8}"/>
    <cellStyle name="20% - Accent3 4 2 3 4" xfId="7542" xr:uid="{E3217F6F-DAF6-4643-8DB5-75FDDBD3B332}"/>
    <cellStyle name="20% - Accent3 4 2 4" xfId="677" xr:uid="{75F7382F-5EAC-4531-AE3C-02684B897481}"/>
    <cellStyle name="20% - Accent3 4 2 4 2" xfId="4475" xr:uid="{9289BFCD-2C5F-43ED-9DC3-86602C3F2312}"/>
    <cellStyle name="20% - Accent3 4 2 4 2 2" xfId="9921" xr:uid="{118EF977-36CE-4F6F-9CA5-4E8E3ACEEE58}"/>
    <cellStyle name="20% - Accent3 4 2 4 3" xfId="7544" xr:uid="{F6650320-DD0F-4347-89D8-F7C853263562}"/>
    <cellStyle name="20% - Accent3 4 2 5" xfId="4468" xr:uid="{A8804139-5C3A-40F4-8A40-4699AC1C2D71}"/>
    <cellStyle name="20% - Accent3 4 2 5 2" xfId="9914" xr:uid="{C80AC85B-5F0B-4E46-9035-6819B7933C54}"/>
    <cellStyle name="20% - Accent3 4 2 6" xfId="7537" xr:uid="{A8057C12-2653-43A1-B0C2-A7D0B4DF3CE1}"/>
    <cellStyle name="20% - Accent3 4 3" xfId="678" xr:uid="{13B8C451-BE07-4ADB-AE59-D5EEE2C8A2CD}"/>
    <cellStyle name="20% - Accent3 4 3 2" xfId="679" xr:uid="{A4404866-0C70-4A92-B3B2-AD190B5F7BE1}"/>
    <cellStyle name="20% - Accent3 4 3 2 2" xfId="680" xr:uid="{9F6F5F9E-8648-46AC-A955-4B0AD1606135}"/>
    <cellStyle name="20% - Accent3 4 3 2 2 2" xfId="681" xr:uid="{CF62B10C-466E-4A78-B733-C72FC172F85C}"/>
    <cellStyle name="20% - Accent3 4 3 2 2 2 2" xfId="4479" xr:uid="{9A1CE34D-C7F9-4951-919E-B93D6207D09F}"/>
    <cellStyle name="20% - Accent3 4 3 2 2 2 2 2" xfId="9925" xr:uid="{229D4622-56A8-4700-B056-36B012E1EB77}"/>
    <cellStyle name="20% - Accent3 4 3 2 2 2 3" xfId="7548" xr:uid="{F68533C4-4333-497F-B25B-E6FE9749649C}"/>
    <cellStyle name="20% - Accent3 4 3 2 2 3" xfId="4478" xr:uid="{1E2FE14B-B511-408C-9DBB-F6CEE86A1487}"/>
    <cellStyle name="20% - Accent3 4 3 2 2 3 2" xfId="9924" xr:uid="{68168362-1571-4FC5-8C59-787D95337CA4}"/>
    <cellStyle name="20% - Accent3 4 3 2 2 4" xfId="7547" xr:uid="{B5D63B11-8ADA-4D50-A864-829FBF8181E8}"/>
    <cellStyle name="20% - Accent3 4 3 2 3" xfId="682" xr:uid="{C3BE254E-C5BB-4B43-BFA5-DDD9A59D7BBC}"/>
    <cellStyle name="20% - Accent3 4 3 2 3 2" xfId="4480" xr:uid="{714B953F-11F4-4F3C-AE91-5C3A8F7185B2}"/>
    <cellStyle name="20% - Accent3 4 3 2 3 2 2" xfId="9926" xr:uid="{13F46D78-62BC-49DF-918D-D7BE0ED3C240}"/>
    <cellStyle name="20% - Accent3 4 3 2 3 3" xfId="7549" xr:uid="{88C3BF0D-DDB9-4D06-83A1-2BB836C4AA05}"/>
    <cellStyle name="20% - Accent3 4 3 2 4" xfId="4477" xr:uid="{22385D44-E9DC-4E32-9057-4F29D514D629}"/>
    <cellStyle name="20% - Accent3 4 3 2 4 2" xfId="9923" xr:uid="{8DEE2D3D-AAC8-40FE-BC34-2FEC5CB0F8C3}"/>
    <cellStyle name="20% - Accent3 4 3 2 5" xfId="7546" xr:uid="{601E5B14-771E-4BAC-9267-83EDB0233549}"/>
    <cellStyle name="20% - Accent3 4 3 3" xfId="683" xr:uid="{5F9AB39D-DA3B-482C-B9A3-37C736B46193}"/>
    <cellStyle name="20% - Accent3 4 3 3 2" xfId="684" xr:uid="{67347AC8-F200-449C-9088-ACED9559A247}"/>
    <cellStyle name="20% - Accent3 4 3 3 2 2" xfId="4482" xr:uid="{69E92C9E-2CB9-45C1-BB77-3CBFDEFD66D5}"/>
    <cellStyle name="20% - Accent3 4 3 3 2 2 2" xfId="9928" xr:uid="{070BE65D-58F9-449A-A989-8F9640A70229}"/>
    <cellStyle name="20% - Accent3 4 3 3 2 3" xfId="7551" xr:uid="{8EED3546-758E-4A16-9A05-838676B7D8FF}"/>
    <cellStyle name="20% - Accent3 4 3 3 3" xfId="4481" xr:uid="{3065C3BD-2B0D-4B32-BFCD-CE70851C0ED2}"/>
    <cellStyle name="20% - Accent3 4 3 3 3 2" xfId="9927" xr:uid="{1B0C7FEB-3CD2-4511-921B-A889A35EA72E}"/>
    <cellStyle name="20% - Accent3 4 3 3 4" xfId="7550" xr:uid="{A74EED4D-775B-4CB5-A94B-C98E612F8988}"/>
    <cellStyle name="20% - Accent3 4 3 4" xfId="685" xr:uid="{0A23DD2E-7C43-42B0-AEC7-54B398EDB279}"/>
    <cellStyle name="20% - Accent3 4 3 4 2" xfId="4483" xr:uid="{13CF8182-0EF4-4146-8E48-4224A2DA3EE4}"/>
    <cellStyle name="20% - Accent3 4 3 4 2 2" xfId="9929" xr:uid="{F6096408-F4D8-45D8-91E7-3FD1BEE73A54}"/>
    <cellStyle name="20% - Accent3 4 3 4 3" xfId="7552" xr:uid="{D8C12CC9-AFEF-4DA2-81B7-F92D123E518C}"/>
    <cellStyle name="20% - Accent3 4 3 5" xfId="4476" xr:uid="{E28D0DC6-946A-4E99-B25F-361431DFC260}"/>
    <cellStyle name="20% - Accent3 4 3 5 2" xfId="9922" xr:uid="{15D1A197-C9C3-42B2-A914-B9187AEADE87}"/>
    <cellStyle name="20% - Accent3 4 3 6" xfId="7545" xr:uid="{6D60A8A8-34EF-4A18-990B-D8B67F37D4D5}"/>
    <cellStyle name="20% - Accent3 4 4" xfId="686" xr:uid="{82EEF066-BC80-4DC9-9F6C-21DA81366BC1}"/>
    <cellStyle name="20% - Accent3 4 4 2" xfId="687" xr:uid="{5B7C41BB-C66A-4289-A42E-4CC7057CDF63}"/>
    <cellStyle name="20% - Accent3 4 4 2 2" xfId="688" xr:uid="{AB4BB53A-C85D-4010-937F-8E79D0DA2CF5}"/>
    <cellStyle name="20% - Accent3 4 4 2 2 2" xfId="4486" xr:uid="{97CEDC3A-01C4-42E9-BC3F-E01F4E988F0C}"/>
    <cellStyle name="20% - Accent3 4 4 2 2 2 2" xfId="9932" xr:uid="{62A09226-CB5C-4F5D-924A-4EEDDA443386}"/>
    <cellStyle name="20% - Accent3 4 4 2 2 3" xfId="7555" xr:uid="{C7F7E78B-5CB8-433C-8BCD-FEF2A0A5E785}"/>
    <cellStyle name="20% - Accent3 4 4 2 3" xfId="4485" xr:uid="{DC2BA3B9-15E2-4435-9979-18923797AA66}"/>
    <cellStyle name="20% - Accent3 4 4 2 3 2" xfId="9931" xr:uid="{A78A3111-B5E8-4BA5-9B6D-604FBF03D2E2}"/>
    <cellStyle name="20% - Accent3 4 4 2 4" xfId="7554" xr:uid="{61A1BA77-BD7A-4922-BCB9-9C79DF1E6CB7}"/>
    <cellStyle name="20% - Accent3 4 4 3" xfId="689" xr:uid="{01007ACF-5D19-4D9F-B684-329B3856E6DF}"/>
    <cellStyle name="20% - Accent3 4 4 3 2" xfId="4487" xr:uid="{B5BDAE56-E07D-4D8C-AE89-435D1EA12CFC}"/>
    <cellStyle name="20% - Accent3 4 4 3 2 2" xfId="9933" xr:uid="{0BFFDF99-9733-4876-8CAC-9EF6BF297499}"/>
    <cellStyle name="20% - Accent3 4 4 3 3" xfId="7556" xr:uid="{8810AC25-6A10-4D39-ABFC-EC1814C4AD5A}"/>
    <cellStyle name="20% - Accent3 4 4 4" xfId="4484" xr:uid="{F1B2363B-921E-4190-8F15-D17DD20CC945}"/>
    <cellStyle name="20% - Accent3 4 4 4 2" xfId="9930" xr:uid="{AD9A2B5C-E7E4-47CD-B6CE-8BB74DB21572}"/>
    <cellStyle name="20% - Accent3 4 4 5" xfId="7553" xr:uid="{E578AEA3-2B88-4EFC-BDF5-7EC2FF954353}"/>
    <cellStyle name="20% - Accent3 4 5" xfId="690" xr:uid="{60ECEF2E-1ED3-49A8-8BC2-2E256563686E}"/>
    <cellStyle name="20% - Accent3 4 5 2" xfId="691" xr:uid="{C3C1D78D-BE4C-4F15-B338-E2CB4D810987}"/>
    <cellStyle name="20% - Accent3 4 5 2 2" xfId="4489" xr:uid="{099D3B62-4EFC-4A01-935B-0664A451FA92}"/>
    <cellStyle name="20% - Accent3 4 5 2 2 2" xfId="9935" xr:uid="{1A8A3781-AB2C-4BAB-A88D-E64ECD3A784B}"/>
    <cellStyle name="20% - Accent3 4 5 2 3" xfId="7558" xr:uid="{880A14F0-C4CF-4A06-9A56-022562637248}"/>
    <cellStyle name="20% - Accent3 4 5 3" xfId="4488" xr:uid="{99B76D05-E790-45F3-8D3F-BAC11C6FB2A0}"/>
    <cellStyle name="20% - Accent3 4 5 3 2" xfId="9934" xr:uid="{004B1B44-6A5F-4BBA-A47A-04AF11A31DE0}"/>
    <cellStyle name="20% - Accent3 4 5 4" xfId="7557" xr:uid="{FDA703F1-AA1A-42E8-934D-BAB294DAD2F7}"/>
    <cellStyle name="20% - Accent3 4 6" xfId="692" xr:uid="{FC7E6105-50FE-4EC4-A81B-97F9E699903C}"/>
    <cellStyle name="20% - Accent3 4 6 2" xfId="4490" xr:uid="{A754F3A8-C1B6-40C4-9C4D-109F73E77660}"/>
    <cellStyle name="20% - Accent3 4 6 2 2" xfId="9936" xr:uid="{265E0745-BB4B-478A-B330-6B70985B7C20}"/>
    <cellStyle name="20% - Accent3 4 6 3" xfId="7559" xr:uid="{9F618314-1538-4792-A695-E052681343D3}"/>
    <cellStyle name="20% - Accent3 4 7" xfId="4467" xr:uid="{E0777C18-8A0C-4DE0-B901-037C059CD6A5}"/>
    <cellStyle name="20% - Accent3 4 7 2" xfId="9913" xr:uid="{B37449E6-C0F4-4533-9434-645CA762E4B9}"/>
    <cellStyle name="20% - Accent3 4 8" xfId="7536" xr:uid="{FBB61382-56C6-4E7B-B462-646A8ABB7C85}"/>
    <cellStyle name="20% - Accent3 5" xfId="693" xr:uid="{1A2B3B7B-017F-47EF-A2E8-701BE205AAB2}"/>
    <cellStyle name="20% - Accent3 5 2" xfId="694" xr:uid="{C6F8476A-CB78-4D0C-ADDB-DEC58A4278AE}"/>
    <cellStyle name="20% - Accent3 5 2 2" xfId="695" xr:uid="{9D744D8C-5FE3-4582-B4AE-CC58AE70FE59}"/>
    <cellStyle name="20% - Accent3 5 2 2 2" xfId="696" xr:uid="{97C77D51-6BAE-4E52-8453-8EE778F0D99D}"/>
    <cellStyle name="20% - Accent3 5 2 2 2 2" xfId="4494" xr:uid="{A7307194-E51A-45F3-AABC-477988FBF7F2}"/>
    <cellStyle name="20% - Accent3 5 2 2 2 2 2" xfId="9940" xr:uid="{2C9D080F-657D-40DC-9102-C2F33C8BB3D0}"/>
    <cellStyle name="20% - Accent3 5 2 2 2 3" xfId="7563" xr:uid="{F7EC9049-14A8-4A68-840A-82FFC7B6409E}"/>
    <cellStyle name="20% - Accent3 5 2 2 3" xfId="4493" xr:uid="{50305604-7646-42F0-AD76-B2A29DDCC69A}"/>
    <cellStyle name="20% - Accent3 5 2 2 3 2" xfId="9939" xr:uid="{9135EC2A-7A95-4582-A718-D2CB34DED53F}"/>
    <cellStyle name="20% - Accent3 5 2 2 4" xfId="7562" xr:uid="{7A32C4E3-31E4-46DA-ACCF-0FF5778F60B9}"/>
    <cellStyle name="20% - Accent3 5 2 3" xfId="697" xr:uid="{A155B3E4-D9EB-48FD-8EB2-7D935FEADA7D}"/>
    <cellStyle name="20% - Accent3 5 2 3 2" xfId="4495" xr:uid="{D301C394-DDAE-44A5-B565-1AC26C2947B8}"/>
    <cellStyle name="20% - Accent3 5 2 3 2 2" xfId="9941" xr:uid="{EEF2569B-BB47-461A-8F59-5782F58FCE5E}"/>
    <cellStyle name="20% - Accent3 5 2 3 3" xfId="7564" xr:uid="{14CB1998-3FAE-485A-A84E-AE2DA93F6F5F}"/>
    <cellStyle name="20% - Accent3 5 2 4" xfId="4492" xr:uid="{49BF4A10-7F12-4255-A61F-B8DD0BF2588C}"/>
    <cellStyle name="20% - Accent3 5 2 4 2" xfId="9938" xr:uid="{7EFC82D1-79D1-44EF-BDDF-05B52783E0D8}"/>
    <cellStyle name="20% - Accent3 5 2 5" xfId="7561" xr:uid="{B2ACCEF9-1E5B-47ED-A45E-22D86743F61D}"/>
    <cellStyle name="20% - Accent3 5 3" xfId="698" xr:uid="{41D4BEAB-DE8A-4884-AECD-79DB1078A100}"/>
    <cellStyle name="20% - Accent3 5 3 2" xfId="699" xr:uid="{0ECC75CC-7742-43DF-8793-9D70C54794AC}"/>
    <cellStyle name="20% - Accent3 5 3 2 2" xfId="4497" xr:uid="{8ABC89A7-1487-4348-B141-B5E6C948FE59}"/>
    <cellStyle name="20% - Accent3 5 3 2 2 2" xfId="9943" xr:uid="{B9F0E4EC-9A8E-4B24-AB94-786DB7DE363C}"/>
    <cellStyle name="20% - Accent3 5 3 2 3" xfId="7566" xr:uid="{AA4D675C-3C5E-4D0E-8BBA-63B214F8511D}"/>
    <cellStyle name="20% - Accent3 5 3 3" xfId="4496" xr:uid="{43D4B129-700C-42BF-A882-6139D916FB53}"/>
    <cellStyle name="20% - Accent3 5 3 3 2" xfId="9942" xr:uid="{47EB38C1-781A-4C71-BF85-E4AFA31EC7DC}"/>
    <cellStyle name="20% - Accent3 5 3 4" xfId="7565" xr:uid="{359D1752-C962-4102-8D6E-DD944C9270D0}"/>
    <cellStyle name="20% - Accent3 5 4" xfId="700" xr:uid="{89D9A792-64E0-4934-AB35-028E20A82B3D}"/>
    <cellStyle name="20% - Accent3 5 4 2" xfId="4498" xr:uid="{AF64727A-22EF-43EB-866E-E9038CE5B8C2}"/>
    <cellStyle name="20% - Accent3 5 4 2 2" xfId="9944" xr:uid="{1EC35FEF-0A6C-4F82-995A-9DFA1B3EC38D}"/>
    <cellStyle name="20% - Accent3 5 4 3" xfId="7567" xr:uid="{2DC319E2-A802-4A5A-A662-A3147BED3455}"/>
    <cellStyle name="20% - Accent3 5 5" xfId="4491" xr:uid="{55435C91-0A24-4747-9847-4802F884D339}"/>
    <cellStyle name="20% - Accent3 5 5 2" xfId="9937" xr:uid="{22B32326-8C7F-423D-A523-D1BCC5E6ED31}"/>
    <cellStyle name="20% - Accent3 5 6" xfId="7560" xr:uid="{643AED20-2F63-4A24-8D8F-1AA736867033}"/>
    <cellStyle name="20% - Accent3 6" xfId="701" xr:uid="{E7B9C8CE-D63F-46A3-90AF-7763D3250C26}"/>
    <cellStyle name="20% - Accent3 6 2" xfId="702" xr:uid="{16B09572-3FCB-4402-8F76-A4D0123FA7F1}"/>
    <cellStyle name="20% - Accent3 6 2 2" xfId="703" xr:uid="{709A79B1-F8A6-4151-AADD-0BFF75B4B13C}"/>
    <cellStyle name="20% - Accent3 6 2 2 2" xfId="704" xr:uid="{319FB190-5567-499B-93E7-B760EB7AD7C0}"/>
    <cellStyle name="20% - Accent3 6 2 2 2 2" xfId="4502" xr:uid="{D48F9B54-61B9-47E6-99B2-8309CE7FD40D}"/>
    <cellStyle name="20% - Accent3 6 2 2 2 2 2" xfId="9948" xr:uid="{EC9F3D6B-1146-4F08-8E49-815B81002016}"/>
    <cellStyle name="20% - Accent3 6 2 2 2 3" xfId="7571" xr:uid="{8729984E-38ED-4F0F-BB7A-897E161653B9}"/>
    <cellStyle name="20% - Accent3 6 2 2 3" xfId="4501" xr:uid="{33B0B475-2B46-4B44-A71D-8BB7D2F74931}"/>
    <cellStyle name="20% - Accent3 6 2 2 3 2" xfId="9947" xr:uid="{FB97AE4A-C262-47F7-96D8-AD0C3D79EFE0}"/>
    <cellStyle name="20% - Accent3 6 2 2 4" xfId="7570" xr:uid="{BDF4BEE0-F266-45D6-A040-B2A31E549767}"/>
    <cellStyle name="20% - Accent3 6 2 3" xfId="705" xr:uid="{5E988039-F82E-43ED-80D9-EF544040B32A}"/>
    <cellStyle name="20% - Accent3 6 2 3 2" xfId="4503" xr:uid="{1E09B47C-A533-4A27-A064-AA7FAD2AE0EC}"/>
    <cellStyle name="20% - Accent3 6 2 3 2 2" xfId="9949" xr:uid="{58B1AC00-071C-4ED6-BF21-92AA05AD891C}"/>
    <cellStyle name="20% - Accent3 6 2 3 3" xfId="7572" xr:uid="{2AAD2E3A-D01E-4D1E-B746-8A4D360A9FE5}"/>
    <cellStyle name="20% - Accent3 6 2 4" xfId="4500" xr:uid="{C43C59E9-0FB3-4687-820A-3BB63948C8FC}"/>
    <cellStyle name="20% - Accent3 6 2 4 2" xfId="9946" xr:uid="{495EBB28-90FC-4AEB-842B-11B103A89022}"/>
    <cellStyle name="20% - Accent3 6 2 5" xfId="7569" xr:uid="{BD824378-6D23-489B-9D42-F4FBCB753C4E}"/>
    <cellStyle name="20% - Accent3 6 3" xfId="706" xr:uid="{AAA0F1F3-CE90-40AD-8EB8-0A2EC3BEEBAB}"/>
    <cellStyle name="20% - Accent3 6 3 2" xfId="707" xr:uid="{9A58C432-3A59-4059-9B7C-8054606D9820}"/>
    <cellStyle name="20% - Accent3 6 3 2 2" xfId="4505" xr:uid="{7597E9CB-0F46-4E7E-B31C-9CDF24A09C9D}"/>
    <cellStyle name="20% - Accent3 6 3 2 2 2" xfId="9951" xr:uid="{494EFBC1-C249-4526-93B5-20DB41388795}"/>
    <cellStyle name="20% - Accent3 6 3 2 3" xfId="7574" xr:uid="{B227BB56-39C8-4E9E-A4B7-5B81B24F73F6}"/>
    <cellStyle name="20% - Accent3 6 3 3" xfId="4504" xr:uid="{8F486E4A-252E-4F1E-9495-3016CCC53D88}"/>
    <cellStyle name="20% - Accent3 6 3 3 2" xfId="9950" xr:uid="{A27AD9C4-A5CC-4543-9B37-BDFDB7087ECE}"/>
    <cellStyle name="20% - Accent3 6 3 4" xfId="7573" xr:uid="{40DC647B-6AA0-42A4-8A35-FD71EB5D848A}"/>
    <cellStyle name="20% - Accent3 6 4" xfId="708" xr:uid="{928D2187-CBE9-48F7-B13D-6D8025F0262E}"/>
    <cellStyle name="20% - Accent3 6 4 2" xfId="4506" xr:uid="{E994246F-8BC5-498E-B83E-3605A9E7D075}"/>
    <cellStyle name="20% - Accent3 6 4 2 2" xfId="9952" xr:uid="{7341B2CF-939D-4A94-8A89-BC6CD415C942}"/>
    <cellStyle name="20% - Accent3 6 4 3" xfId="7575" xr:uid="{9B0EFD14-F180-49EB-A9E5-2BB80636FE98}"/>
    <cellStyle name="20% - Accent3 6 5" xfId="4499" xr:uid="{C28D309F-A5DC-48D7-AAC1-7E7F2F1FD143}"/>
    <cellStyle name="20% - Accent3 6 5 2" xfId="9945" xr:uid="{3D0F4B8C-FA79-456A-BD26-8FBF65D82A29}"/>
    <cellStyle name="20% - Accent3 6 6" xfId="7568" xr:uid="{48D63CE3-5258-4D0E-8A5D-533A1A2717C8}"/>
    <cellStyle name="20% - Accent3 7" xfId="709" xr:uid="{F0249091-1FCF-4910-A6A8-0E6BEE6C95C4}"/>
    <cellStyle name="20% - Accent3 7 2" xfId="710" xr:uid="{87EB742B-F3B0-49B5-8B28-BBF756FA37B4}"/>
    <cellStyle name="20% - Accent3 7 2 2" xfId="711" xr:uid="{F303F5AB-3D14-45A9-899C-8E9F1F4342D1}"/>
    <cellStyle name="20% - Accent3 7 2 2 2" xfId="4509" xr:uid="{ABA4FD2C-75B1-449B-AFF7-21A44A8BA8AF}"/>
    <cellStyle name="20% - Accent3 7 2 2 2 2" xfId="9955" xr:uid="{8E517ABB-F56B-4EE8-B5CA-B2FEAC2C485B}"/>
    <cellStyle name="20% - Accent3 7 2 2 3" xfId="7578" xr:uid="{4554817C-20B3-4796-8CCC-497B0C6191AF}"/>
    <cellStyle name="20% - Accent3 7 2 3" xfId="4508" xr:uid="{0163CD71-0797-44DF-828F-9792217BCFBC}"/>
    <cellStyle name="20% - Accent3 7 2 3 2" xfId="9954" xr:uid="{78A32E1B-B3FE-4280-9822-6DF47D1D7A8F}"/>
    <cellStyle name="20% - Accent3 7 2 4" xfId="7577" xr:uid="{D9DD1559-614D-4746-9BE1-BE95CA1948C5}"/>
    <cellStyle name="20% - Accent3 7 3" xfId="712" xr:uid="{A9EEC199-5EF7-466B-BDCC-2C614088A248}"/>
    <cellStyle name="20% - Accent3 7 3 2" xfId="4510" xr:uid="{8AF40795-424C-4977-8B52-40D91A5F0BDD}"/>
    <cellStyle name="20% - Accent3 7 3 2 2" xfId="9956" xr:uid="{95DD2427-06EE-40EC-A4D0-D8089626A95B}"/>
    <cellStyle name="20% - Accent3 7 3 3" xfId="7579" xr:uid="{C66804BD-B7C8-4581-BCEE-B0E9A164D6EC}"/>
    <cellStyle name="20% - Accent3 7 4" xfId="4507" xr:uid="{658960AE-94B7-41FD-ABE6-A95E89A1F797}"/>
    <cellStyle name="20% - Accent3 7 4 2" xfId="9953" xr:uid="{838F7ED5-641F-4865-8DB7-5549C36FEFED}"/>
    <cellStyle name="20% - Accent3 7 5" xfId="7576" xr:uid="{D98E571B-2735-4130-B2D6-B91EBEB82059}"/>
    <cellStyle name="20% - Accent3 8" xfId="713" xr:uid="{41BEFE0C-B101-4ED3-9208-B01EABC7C641}"/>
    <cellStyle name="20% - Accent3 8 2" xfId="714" xr:uid="{089AED96-7213-49E6-B8E6-F175D1DA0A34}"/>
    <cellStyle name="20% - Accent3 8 2 2" xfId="715" xr:uid="{21097D10-CEE7-44BF-9356-32F29A279CCA}"/>
    <cellStyle name="20% - Accent3 8 2 2 2" xfId="4513" xr:uid="{C16EB77E-E158-469B-B6F3-CFEB8E0D4076}"/>
    <cellStyle name="20% - Accent3 8 2 2 2 2" xfId="9959" xr:uid="{77861BB4-9545-4A4C-8A05-54C65CB580E0}"/>
    <cellStyle name="20% - Accent3 8 2 2 3" xfId="7582" xr:uid="{4AA4B38B-949F-4954-981C-9D79EBAF98AB}"/>
    <cellStyle name="20% - Accent3 8 2 3" xfId="4512" xr:uid="{D69B0589-1610-4B8C-A0AD-1890770E128F}"/>
    <cellStyle name="20% - Accent3 8 2 3 2" xfId="9958" xr:uid="{32028EE1-7DB2-4DF9-9541-581C3046AB98}"/>
    <cellStyle name="20% - Accent3 8 2 4" xfId="7581" xr:uid="{5FD145A2-5BD6-4307-996F-172FCBBB726E}"/>
    <cellStyle name="20% - Accent3 8 3" xfId="716" xr:uid="{2F5B968F-F3F5-46A9-9757-885D549714F5}"/>
    <cellStyle name="20% - Accent3 8 3 2" xfId="4514" xr:uid="{A8AE6EE3-783F-4DA4-A274-45A41D1FD5CC}"/>
    <cellStyle name="20% - Accent3 8 3 2 2" xfId="9960" xr:uid="{5F2A5697-7C7E-49BF-BC83-45809CCC0EF5}"/>
    <cellStyle name="20% - Accent3 8 3 3" xfId="7583" xr:uid="{DB4E6000-2C9A-4DD1-BCF5-3466E0F2D63A}"/>
    <cellStyle name="20% - Accent3 8 4" xfId="4511" xr:uid="{10A3E7A9-2DD7-4027-A6F7-9F4B0D4A3AB9}"/>
    <cellStyle name="20% - Accent3 8 4 2" xfId="9957" xr:uid="{2406B8CB-6CF6-42E8-ACCD-44F3598E419C}"/>
    <cellStyle name="20% - Accent3 8 5" xfId="7580" xr:uid="{4BEC8013-DA1A-45E4-AF07-FEC0ACC5D75C}"/>
    <cellStyle name="20% - Accent3 9" xfId="717" xr:uid="{E7DA5ACB-1286-497A-8346-3823BB7A55FE}"/>
    <cellStyle name="20% - Accent3 9 2" xfId="718" xr:uid="{69064F61-05D6-45F4-833F-BB722A6B46F0}"/>
    <cellStyle name="20% - Accent3 9 2 2" xfId="4516" xr:uid="{0EE6EECC-FBAE-455D-9D87-7A6054DC4F66}"/>
    <cellStyle name="20% - Accent3 9 2 2 2" xfId="9962" xr:uid="{BFED0856-7AA3-4B26-8CDA-870C8A5459A0}"/>
    <cellStyle name="20% - Accent3 9 2 3" xfId="7585" xr:uid="{33EFBCC6-7F1E-41AD-AA03-F4D0A2EA07E7}"/>
    <cellStyle name="20% - Accent3 9 3" xfId="4515" xr:uid="{A522B4A2-B2E9-4654-B293-038FC61285B9}"/>
    <cellStyle name="20% - Accent3 9 3 2" xfId="9961" xr:uid="{CA067F2D-B179-4DE5-995F-916B4A2B2909}"/>
    <cellStyle name="20% - Accent3 9 4" xfId="7584" xr:uid="{59CFE0A9-2B68-44F7-A894-E470D6C252B9}"/>
    <cellStyle name="20% - Accent4" xfId="4" builtinId="42" hidden="1" customBuiltin="1"/>
    <cellStyle name="20% - Accent4" xfId="366" builtinId="42" customBuiltin="1"/>
    <cellStyle name="20% - Accent4 10" xfId="719" xr:uid="{1E5E0502-8416-41B8-8032-597510493FA6}"/>
    <cellStyle name="20% - Accent4 10 2" xfId="720" xr:uid="{ADEAFEB8-3D83-4EAA-8723-624407F04985}"/>
    <cellStyle name="20% - Accent4 10 2 2" xfId="4518" xr:uid="{85939F3E-38EA-4485-8F9A-0625E40BE7FD}"/>
    <cellStyle name="20% - Accent4 10 2 2 2" xfId="9964" xr:uid="{8E7CE2F2-C1FF-42D3-BB62-759C213768FF}"/>
    <cellStyle name="20% - Accent4 10 2 3" xfId="7587" xr:uid="{751D1F8E-F08B-4395-8BD6-5B589104C871}"/>
    <cellStyle name="20% - Accent4 10 3" xfId="4517" xr:uid="{C64712B1-CB4C-432E-9B02-30D676D630F0}"/>
    <cellStyle name="20% - Accent4 10 3 2" xfId="9963" xr:uid="{AEA08E6C-D8C7-4DC2-8451-6272300AF09A}"/>
    <cellStyle name="20% - Accent4 10 4" xfId="7586" xr:uid="{6F019F91-DC57-4F61-81C9-23AB0B3F0714}"/>
    <cellStyle name="20% - Accent4 11" xfId="721" xr:uid="{FD81DF4B-AEF1-417D-A19B-64F180982E82}"/>
    <cellStyle name="20% - Accent4 11 2" xfId="4519" xr:uid="{5C6D8A2E-9725-4634-8594-FB28B7CA4021}"/>
    <cellStyle name="20% - Accent4 11 2 2" xfId="9965" xr:uid="{1BC78563-230A-436B-8353-141225007CA7}"/>
    <cellStyle name="20% - Accent4 11 3" xfId="7588" xr:uid="{E7D32DBD-8FDD-404F-8462-52D2936AD38A}"/>
    <cellStyle name="20% - Accent4 12" xfId="722" xr:uid="{5A846DD2-BB1B-4A87-A703-7F1266A2C5CF}"/>
    <cellStyle name="20% - Accent4 12 2" xfId="4520" xr:uid="{376A8BDE-117F-4AB0-AC72-4A31A5892296}"/>
    <cellStyle name="20% - Accent4 12 2 2" xfId="9966" xr:uid="{4923C08F-721F-4925-854A-AEB4614D4803}"/>
    <cellStyle name="20% - Accent4 12 3" xfId="7589" xr:uid="{48589817-652F-4008-A93B-DBB096714FEF}"/>
    <cellStyle name="20% - Accent4 13" xfId="4192" xr:uid="{BC18CAFB-5764-43FD-90B1-48E5D6D06826}"/>
    <cellStyle name="20% - Accent4 13 2" xfId="9638" xr:uid="{F3355445-1B3A-4B25-9E65-81F682E757AA}"/>
    <cellStyle name="20% - Accent4 14" xfId="7260" xr:uid="{C37C292B-CF36-4EC9-8080-C1BE9D675CBC}"/>
    <cellStyle name="20% - Accent4 2" xfId="723" xr:uid="{0E9CCCA7-3388-4871-A19F-7B11ED6B4D62}"/>
    <cellStyle name="20% - Accent4 2 10" xfId="4521" xr:uid="{7EEDFCF5-400A-45C9-A366-D6832450C6E0}"/>
    <cellStyle name="20% - Accent4 2 10 2" xfId="9967" xr:uid="{12E9DE8F-7110-41B3-B866-892FE5D6D05A}"/>
    <cellStyle name="20% - Accent4 2 11" xfId="7590" xr:uid="{7739B228-912F-498F-A91D-0970B3B6BB3E}"/>
    <cellStyle name="20% - Accent4 2 2" xfId="724" xr:uid="{206BEE16-E23A-46E2-A829-BE1B6DDF93BA}"/>
    <cellStyle name="20% - Accent4 2 2 2" xfId="725" xr:uid="{2A3F19FD-6EA1-4A1E-9DEB-B4F3FA04DF2A}"/>
    <cellStyle name="20% - Accent4 2 2 2 2" xfId="726" xr:uid="{B5E88886-7D97-4108-A66F-FEC74C43AB82}"/>
    <cellStyle name="20% - Accent4 2 2 2 2 2" xfId="727" xr:uid="{40712A95-8691-43CC-BB85-D819E6C2DFE1}"/>
    <cellStyle name="20% - Accent4 2 2 2 2 2 2" xfId="4525" xr:uid="{26073B13-8CCC-4CDC-B47C-CFCD36CC547F}"/>
    <cellStyle name="20% - Accent4 2 2 2 2 2 2 2" xfId="9971" xr:uid="{352E5D71-3407-4FC0-9AAC-DD8DC207775D}"/>
    <cellStyle name="20% - Accent4 2 2 2 2 2 3" xfId="7594" xr:uid="{3A36D845-4D83-42E7-8A33-DDAE14E6C4F0}"/>
    <cellStyle name="20% - Accent4 2 2 2 2 3" xfId="4524" xr:uid="{BFC7DC26-871E-4523-A3C1-064F78A91732}"/>
    <cellStyle name="20% - Accent4 2 2 2 2 3 2" xfId="9970" xr:uid="{D523549F-7B60-4530-98D2-641C7CD0356A}"/>
    <cellStyle name="20% - Accent4 2 2 2 2 4" xfId="7593" xr:uid="{85D835BE-31F4-4791-9F27-0C465D103BD1}"/>
    <cellStyle name="20% - Accent4 2 2 2 3" xfId="728" xr:uid="{E1CD99E8-2A08-4E0C-9BDB-B33CC098DFE1}"/>
    <cellStyle name="20% - Accent4 2 2 2 3 2" xfId="4526" xr:uid="{CE29EA35-A282-4A5D-95D4-3151A7F935AC}"/>
    <cellStyle name="20% - Accent4 2 2 2 3 2 2" xfId="9972" xr:uid="{8AEDFA54-99D4-456D-880E-6C8A913F3F5C}"/>
    <cellStyle name="20% - Accent4 2 2 2 3 3" xfId="7595" xr:uid="{3298C263-7173-47FD-B9DE-85F5C1F449F8}"/>
    <cellStyle name="20% - Accent4 2 2 2 4" xfId="4523" xr:uid="{9DE6CD7E-1C6F-4FE0-A229-75A5B3D698B5}"/>
    <cellStyle name="20% - Accent4 2 2 2 4 2" xfId="9969" xr:uid="{7F00C24A-3041-4F9A-9727-8B955D31D715}"/>
    <cellStyle name="20% - Accent4 2 2 2 5" xfId="7592" xr:uid="{D5DF46D9-5EDA-457F-8C15-0978836BF44F}"/>
    <cellStyle name="20% - Accent4 2 2 3" xfId="729" xr:uid="{8822DFF4-FECE-4D8A-8AE4-981CDB63174E}"/>
    <cellStyle name="20% - Accent4 2 2 3 2" xfId="730" xr:uid="{407A3099-0620-4107-8390-B16A61241BA3}"/>
    <cellStyle name="20% - Accent4 2 2 3 2 2" xfId="4528" xr:uid="{5188AB44-92AC-4A4D-989A-6574606EFEAA}"/>
    <cellStyle name="20% - Accent4 2 2 3 2 2 2" xfId="9974" xr:uid="{BA63F8C6-70A1-4C13-BE77-9CE72FAB3FB7}"/>
    <cellStyle name="20% - Accent4 2 2 3 2 3" xfId="7597" xr:uid="{3941343D-37B0-48E3-A756-40C788B34236}"/>
    <cellStyle name="20% - Accent4 2 2 3 3" xfId="4527" xr:uid="{2A54AE5B-8BDD-4020-9F75-1CD1220A3658}"/>
    <cellStyle name="20% - Accent4 2 2 3 3 2" xfId="9973" xr:uid="{3F8E723D-3275-49A5-A5E2-F7427AF691C4}"/>
    <cellStyle name="20% - Accent4 2 2 3 4" xfId="7596" xr:uid="{EB74F5DD-E9B3-4BC6-9714-9DFB67B08EC5}"/>
    <cellStyle name="20% - Accent4 2 2 4" xfId="731" xr:uid="{A7F81852-DFF8-4541-98CD-60A3A7D48A5E}"/>
    <cellStyle name="20% - Accent4 2 2 4 2" xfId="4529" xr:uid="{E8368F5A-E49F-43BB-84BD-09717BDA2E1A}"/>
    <cellStyle name="20% - Accent4 2 2 4 2 2" xfId="9975" xr:uid="{B4722A9B-5593-40EE-A480-EF9E7C937946}"/>
    <cellStyle name="20% - Accent4 2 2 4 3" xfId="7598" xr:uid="{3D267462-1C9D-4B99-A69F-9FDCA54136D5}"/>
    <cellStyle name="20% - Accent4 2 2 5" xfId="732" xr:uid="{919C31F7-A272-4B0E-AA60-B48E04BA20F1}"/>
    <cellStyle name="20% - Accent4 2 2 6" xfId="4522" xr:uid="{BBCD2500-7CB2-47F1-A154-274E1A95A2A7}"/>
    <cellStyle name="20% - Accent4 2 2 6 2" xfId="9968" xr:uid="{70557DAE-74F3-4B19-BF18-57C72EBE2BF4}"/>
    <cellStyle name="20% - Accent4 2 2 7" xfId="7591" xr:uid="{EF5AAE03-9BE6-40CD-8952-EA0567FFD121}"/>
    <cellStyle name="20% - Accent4 2 3" xfId="733" xr:uid="{19349107-FCAB-4A2B-B5D4-2B75E91AC04F}"/>
    <cellStyle name="20% - Accent4 2 3 2" xfId="734" xr:uid="{0E091626-4AE4-405B-B021-4A2FD2D37F81}"/>
    <cellStyle name="20% - Accent4 2 3 2 2" xfId="735" xr:uid="{C4453BEF-96EA-40F4-8692-E774F669D470}"/>
    <cellStyle name="20% - Accent4 2 3 2 2 2" xfId="736" xr:uid="{9CBFCD10-C996-4EA8-8216-70B7AAEBFB39}"/>
    <cellStyle name="20% - Accent4 2 3 2 2 2 2" xfId="4533" xr:uid="{DC473E75-6935-496F-81B5-15876CC4C45F}"/>
    <cellStyle name="20% - Accent4 2 3 2 2 2 2 2" xfId="9979" xr:uid="{808DD133-BF2F-40DC-B8DA-F2CCC9A6F7C3}"/>
    <cellStyle name="20% - Accent4 2 3 2 2 2 3" xfId="7602" xr:uid="{2D02FA4E-DE3C-46DA-A068-73C6CFD3327C}"/>
    <cellStyle name="20% - Accent4 2 3 2 2 3" xfId="4532" xr:uid="{13ABFCFE-F4EF-495E-B4F0-F8AD4FE3E345}"/>
    <cellStyle name="20% - Accent4 2 3 2 2 3 2" xfId="9978" xr:uid="{EF2874E4-4C3F-453C-903B-839C735A6ED6}"/>
    <cellStyle name="20% - Accent4 2 3 2 2 4" xfId="7601" xr:uid="{A8E065C4-E50C-435F-A416-E36DB35B686C}"/>
    <cellStyle name="20% - Accent4 2 3 2 3" xfId="737" xr:uid="{0E5B013B-E905-4848-B439-24F59CCE23C3}"/>
    <cellStyle name="20% - Accent4 2 3 2 3 2" xfId="4534" xr:uid="{100258B9-998E-4226-A368-D183F1E31A91}"/>
    <cellStyle name="20% - Accent4 2 3 2 3 2 2" xfId="9980" xr:uid="{9451A0F1-17CA-44E7-A936-D9D61DD0C46F}"/>
    <cellStyle name="20% - Accent4 2 3 2 3 3" xfId="7603" xr:uid="{D382500A-ECC5-4F52-AFFB-DF5F264BBBE6}"/>
    <cellStyle name="20% - Accent4 2 3 2 4" xfId="4531" xr:uid="{E90F1882-0807-4671-9A65-DF426137FF69}"/>
    <cellStyle name="20% - Accent4 2 3 2 4 2" xfId="9977" xr:uid="{8354CFF3-A748-4205-99A6-4859BB838C67}"/>
    <cellStyle name="20% - Accent4 2 3 2 5" xfId="7600" xr:uid="{0D6152E2-D0EB-49FE-9CCF-CED89F8D95C3}"/>
    <cellStyle name="20% - Accent4 2 3 3" xfId="738" xr:uid="{7EC50246-AE13-421E-B4B0-24C84F230052}"/>
    <cellStyle name="20% - Accent4 2 3 3 2" xfId="739" xr:uid="{7C9B166B-4D15-490B-8C18-EF688CF4919D}"/>
    <cellStyle name="20% - Accent4 2 3 3 2 2" xfId="4536" xr:uid="{A30944AA-4D03-4964-9CA3-52BC096C0BE9}"/>
    <cellStyle name="20% - Accent4 2 3 3 2 2 2" xfId="9982" xr:uid="{1A881459-57EB-42A8-9064-42A948DD2571}"/>
    <cellStyle name="20% - Accent4 2 3 3 2 3" xfId="7605" xr:uid="{BFC9ACFA-B3F5-40D3-8DE0-F2EE2E854A7E}"/>
    <cellStyle name="20% - Accent4 2 3 3 3" xfId="4535" xr:uid="{A68C916F-8C2E-4F95-BFCE-E5A3F55403EB}"/>
    <cellStyle name="20% - Accent4 2 3 3 3 2" xfId="9981" xr:uid="{E15AFCFD-3A7C-4072-9150-16BD225D4E07}"/>
    <cellStyle name="20% - Accent4 2 3 3 4" xfId="7604" xr:uid="{14F13C06-988C-4DAE-A71F-EA07270942B2}"/>
    <cellStyle name="20% - Accent4 2 3 4" xfId="740" xr:uid="{5C25B0EF-9ED0-41D8-83E4-0ABF1F13F47C}"/>
    <cellStyle name="20% - Accent4 2 3 4 2" xfId="4537" xr:uid="{B386E9F5-479B-4659-B1CA-21E1FB8F4FDD}"/>
    <cellStyle name="20% - Accent4 2 3 4 2 2" xfId="9983" xr:uid="{8CBBE1AD-8767-4C5A-AE27-60A0FD5EF26E}"/>
    <cellStyle name="20% - Accent4 2 3 4 3" xfId="7606" xr:uid="{E479990C-6365-4B0E-8331-643F56D189DB}"/>
    <cellStyle name="20% - Accent4 2 3 5" xfId="741" xr:uid="{A5BF0687-C9C0-4B4A-8966-E2C624E2C307}"/>
    <cellStyle name="20% - Accent4 2 3 6" xfId="3374" xr:uid="{FEA9A58B-D229-46A0-B231-1282F8590EFD}"/>
    <cellStyle name="20% - Accent4 2 3 6 2" xfId="5863" xr:uid="{CCF0CEF3-1A01-4EA8-B1C6-0501897F4B83}"/>
    <cellStyle name="20% - Accent4 2 3 6 2 2" xfId="11305" xr:uid="{1D43BB10-3038-4392-8B93-572BA39D3B2D}"/>
    <cellStyle name="20% - Accent4 2 3 6 3" xfId="8921" xr:uid="{4F89852C-4E19-43BD-A970-0A267229B32F}"/>
    <cellStyle name="20% - Accent4 2 3 7" xfId="2069" xr:uid="{7A6BE086-E9CD-4AEF-B816-8C09FA5C8B48}"/>
    <cellStyle name="20% - Accent4 2 3 8" xfId="4530" xr:uid="{CE99E34E-A28D-4583-8DC2-CFD5C62141B5}"/>
    <cellStyle name="20% - Accent4 2 3 8 2" xfId="9976" xr:uid="{692237E4-2A19-439C-ADB9-3C0B55DEEAE7}"/>
    <cellStyle name="20% - Accent4 2 3 9" xfId="7599" xr:uid="{8892D75C-E5BA-41EE-A8E4-F59FFFF8A681}"/>
    <cellStyle name="20% - Accent4 2 4" xfId="742" xr:uid="{C1362E88-D5A4-455F-905A-88E360EB1DF1}"/>
    <cellStyle name="20% - Accent4 2 4 2" xfId="743" xr:uid="{13422ED2-DD97-4E78-AABA-7FB4480AF954}"/>
    <cellStyle name="20% - Accent4 2 4 2 2" xfId="744" xr:uid="{EB18EECA-20FF-4B65-B4EF-8F98F383C747}"/>
    <cellStyle name="20% - Accent4 2 4 2 2 2" xfId="4540" xr:uid="{4354BD7D-D065-4500-AD1F-BB9478D84579}"/>
    <cellStyle name="20% - Accent4 2 4 2 2 2 2" xfId="9986" xr:uid="{1C3AFF39-B2E4-4BB0-B9A7-0880575B5868}"/>
    <cellStyle name="20% - Accent4 2 4 2 2 3" xfId="7609" xr:uid="{1BC694E6-DA5D-4061-8D4D-2321F58D567C}"/>
    <cellStyle name="20% - Accent4 2 4 2 3" xfId="4539" xr:uid="{18EF63DD-F84D-401B-B838-845B429D7C80}"/>
    <cellStyle name="20% - Accent4 2 4 2 3 2" xfId="9985" xr:uid="{D2617245-44A2-41E6-BF64-9C097F3672DE}"/>
    <cellStyle name="20% - Accent4 2 4 2 4" xfId="7608" xr:uid="{4AD13638-C4F1-4A2D-B83E-0D10F843ABA3}"/>
    <cellStyle name="20% - Accent4 2 4 3" xfId="745" xr:uid="{D936B57E-8964-41F0-8206-7368FA07D651}"/>
    <cellStyle name="20% - Accent4 2 4 3 2" xfId="4541" xr:uid="{1A7CED6D-A2E0-47B9-A5AE-0AC0951E942D}"/>
    <cellStyle name="20% - Accent4 2 4 3 2 2" xfId="9987" xr:uid="{CF203060-2BE6-4FAE-A40C-9BD80DA0B273}"/>
    <cellStyle name="20% - Accent4 2 4 3 3" xfId="7610" xr:uid="{FB7F8B74-912C-4A16-9D06-5D398A844FF2}"/>
    <cellStyle name="20% - Accent4 2 4 4" xfId="746" xr:uid="{1EAC8579-DD5A-4650-B764-215708F087A4}"/>
    <cellStyle name="20% - Accent4 2 4 5" xfId="3375" xr:uid="{12D5D1EA-98F2-4DFF-9297-88DA58860381}"/>
    <cellStyle name="20% - Accent4 2 4 5 2" xfId="5864" xr:uid="{A0267423-7F9F-41BB-810E-0DDA3DBAE2D1}"/>
    <cellStyle name="20% - Accent4 2 4 5 2 2" xfId="11306" xr:uid="{7ED770E6-182B-4AB9-9F81-A8A175241535}"/>
    <cellStyle name="20% - Accent4 2 4 5 3" xfId="8922" xr:uid="{A4168F5E-FB90-4487-9C14-978FB1A14A59}"/>
    <cellStyle name="20% - Accent4 2 4 6" xfId="2068" xr:uid="{0617114B-68FF-4434-80A0-E39E6F12361D}"/>
    <cellStyle name="20% - Accent4 2 4 7" xfId="4538" xr:uid="{46CBDD09-A29A-49AD-9B75-8730DC563F82}"/>
    <cellStyle name="20% - Accent4 2 4 7 2" xfId="9984" xr:uid="{BFBDE97A-48F7-435A-ACBC-70651A9A6815}"/>
    <cellStyle name="20% - Accent4 2 4 8" xfId="7607" xr:uid="{2B25C979-25FA-475C-B57D-71608D16A331}"/>
    <cellStyle name="20% - Accent4 2 5" xfId="747" xr:uid="{00DD83B2-A12B-4E21-A534-0F65EF218F6F}"/>
    <cellStyle name="20% - Accent4 2 5 2" xfId="748" xr:uid="{7628CBA0-3F23-4422-9DBC-08BB5B42F1E8}"/>
    <cellStyle name="20% - Accent4 2 5 2 2" xfId="4543" xr:uid="{20E2B5F0-6661-4D24-BEA1-C350861E33F3}"/>
    <cellStyle name="20% - Accent4 2 5 2 2 2" xfId="9989" xr:uid="{498DD8E6-73E6-4851-A7E4-4825873EC8E0}"/>
    <cellStyle name="20% - Accent4 2 5 2 3" xfId="7612" xr:uid="{734A451D-C4A0-4331-B85C-BC28229CEB67}"/>
    <cellStyle name="20% - Accent4 2 5 3" xfId="749" xr:uid="{C82F859D-6307-44C2-9D3D-86E7A5A17DA3}"/>
    <cellStyle name="20% - Accent4 2 5 4" xfId="4542" xr:uid="{DFF0B481-654E-4E79-B820-4D432735ED5D}"/>
    <cellStyle name="20% - Accent4 2 5 4 2" xfId="9988" xr:uid="{C9A22C2F-AEA6-4A8B-B523-B6FAB80A45E5}"/>
    <cellStyle name="20% - Accent4 2 5 5" xfId="7611" xr:uid="{09A949D4-588C-4406-AE71-7C72D2053813}"/>
    <cellStyle name="20% - Accent4 2 6" xfId="750" xr:uid="{093AB82D-C9B1-4691-AC79-3A8AD084360C}"/>
    <cellStyle name="20% - Accent4 2 6 2" xfId="751" xr:uid="{12359AE9-E69F-4C38-8B24-B3FF0DED2408}"/>
    <cellStyle name="20% - Accent4 2 6 3" xfId="4544" xr:uid="{7424B897-D720-4190-8FB6-41EFE856ECFD}"/>
    <cellStyle name="20% - Accent4 2 6 3 2" xfId="9990" xr:uid="{6E1D84D4-417B-4B52-8701-265DC251D35B}"/>
    <cellStyle name="20% - Accent4 2 6 4" xfId="7613" xr:uid="{9A6A01E7-0C75-496A-8539-55F7D11E5968}"/>
    <cellStyle name="20% - Accent4 2 7" xfId="752" xr:uid="{3B90A05C-6CB1-4926-9C44-3D91DCF23A4C}"/>
    <cellStyle name="20% - Accent4 2 8" xfId="753" xr:uid="{153EA881-61D7-47C5-B3E6-B481DF9D7C1C}"/>
    <cellStyle name="20% - Accent4 2 9" xfId="754" xr:uid="{10D59983-586F-4612-AC9D-657E84F2A836}"/>
    <cellStyle name="20% - Accent4 3" xfId="755" xr:uid="{9ED58969-249E-43B9-9596-66BFD1607B14}"/>
    <cellStyle name="20% - Accent4 3 2" xfId="756" xr:uid="{3C13A5B1-E7B0-417B-8290-34BD8D820D0D}"/>
    <cellStyle name="20% - Accent4 3 2 2" xfId="757" xr:uid="{3F75DABD-49ED-4CB9-8B2F-0CD833B77FC0}"/>
    <cellStyle name="20% - Accent4 3 2 2 2" xfId="758" xr:uid="{41770964-81B8-464A-BCA5-4118FC6E6572}"/>
    <cellStyle name="20% - Accent4 3 2 2 2 2" xfId="759" xr:uid="{F02E6FA4-BF36-4D2B-8189-16E90BB8DF64}"/>
    <cellStyle name="20% - Accent4 3 2 2 2 2 2" xfId="4549" xr:uid="{E0095EC0-A77F-4031-9B72-7BB0FD6A77DE}"/>
    <cellStyle name="20% - Accent4 3 2 2 2 2 2 2" xfId="9995" xr:uid="{C9E3DD39-64C7-4B0E-888A-2FC249C58471}"/>
    <cellStyle name="20% - Accent4 3 2 2 2 2 3" xfId="7618" xr:uid="{50770143-6FCE-46E5-B3DC-86607C4E084E}"/>
    <cellStyle name="20% - Accent4 3 2 2 2 3" xfId="4548" xr:uid="{E972F537-0460-4352-80A0-27DA6EC51A6E}"/>
    <cellStyle name="20% - Accent4 3 2 2 2 3 2" xfId="9994" xr:uid="{C0B9C68D-FD0B-4345-93BE-C38F834B00CE}"/>
    <cellStyle name="20% - Accent4 3 2 2 2 4" xfId="7617" xr:uid="{15CB8A0C-76E8-4AB3-9123-99375D67A07E}"/>
    <cellStyle name="20% - Accent4 3 2 2 3" xfId="760" xr:uid="{2C5E78FD-672B-494C-AAB0-9243AEFD2B2B}"/>
    <cellStyle name="20% - Accent4 3 2 2 3 2" xfId="4550" xr:uid="{A72FA5D0-4B8B-4E8B-B7E7-155313B8DD23}"/>
    <cellStyle name="20% - Accent4 3 2 2 3 2 2" xfId="9996" xr:uid="{348A3624-5E44-4EC6-96AC-AD10E275BB12}"/>
    <cellStyle name="20% - Accent4 3 2 2 3 3" xfId="7619" xr:uid="{D1CA0F5C-2F98-4F94-995B-997A756095FB}"/>
    <cellStyle name="20% - Accent4 3 2 2 4" xfId="4547" xr:uid="{78FE352C-66CC-407F-8CA2-48A983659DD4}"/>
    <cellStyle name="20% - Accent4 3 2 2 4 2" xfId="9993" xr:uid="{21F64E53-10BD-4208-A6F5-B7D242E53962}"/>
    <cellStyle name="20% - Accent4 3 2 2 5" xfId="7616" xr:uid="{50FB3E3F-8F41-4F2F-AFFE-F47A98DF2FD2}"/>
    <cellStyle name="20% - Accent4 3 2 3" xfId="761" xr:uid="{E029A239-B85B-4289-98B7-57F5A74B78F5}"/>
    <cellStyle name="20% - Accent4 3 2 3 2" xfId="762" xr:uid="{2F10A3A1-AE1B-4A22-AB4E-F58E952D5B85}"/>
    <cellStyle name="20% - Accent4 3 2 3 2 2" xfId="4552" xr:uid="{79C2666A-35C3-4594-B8E5-FB4FA6015F5E}"/>
    <cellStyle name="20% - Accent4 3 2 3 2 2 2" xfId="9998" xr:uid="{D563B50A-3D7C-4059-A802-5F930151D084}"/>
    <cellStyle name="20% - Accent4 3 2 3 2 3" xfId="7621" xr:uid="{DE13E6AB-64D7-41C3-AAAF-416B8C00F12C}"/>
    <cellStyle name="20% - Accent4 3 2 3 3" xfId="4551" xr:uid="{EBDAD95B-1AF2-442B-8859-CAA5B7758BF7}"/>
    <cellStyle name="20% - Accent4 3 2 3 3 2" xfId="9997" xr:uid="{85789E16-F078-461E-A648-7558A664D886}"/>
    <cellStyle name="20% - Accent4 3 2 3 4" xfId="7620" xr:uid="{7C2B84B9-00A3-4E28-A3BD-C901CC56B23D}"/>
    <cellStyle name="20% - Accent4 3 2 4" xfId="763" xr:uid="{B21C2C5C-EEAB-4997-AE69-B31095B64713}"/>
    <cellStyle name="20% - Accent4 3 2 4 2" xfId="4553" xr:uid="{7E04A14C-5BD1-403B-BD5F-2E10D2622B8B}"/>
    <cellStyle name="20% - Accent4 3 2 4 2 2" xfId="9999" xr:uid="{D358742F-2632-46E2-BB14-FCCFA96B6AF4}"/>
    <cellStyle name="20% - Accent4 3 2 4 3" xfId="7622" xr:uid="{BF0CF433-161A-42ED-B985-7D874447E8B4}"/>
    <cellStyle name="20% - Accent4 3 2 5" xfId="3376" xr:uid="{0E806688-5ACF-4C0B-B0B6-6EB122292C03}"/>
    <cellStyle name="20% - Accent4 3 2 5 2" xfId="5865" xr:uid="{3CF47E4F-DBB5-4AC5-B5E0-623951ED6215}"/>
    <cellStyle name="20% - Accent4 3 2 5 2 2" xfId="11307" xr:uid="{89E9EF5A-C1FF-49EE-97E9-280082E2E3E7}"/>
    <cellStyle name="20% - Accent4 3 2 5 3" xfId="8923" xr:uid="{651C1953-B2AE-4AB7-AC05-2693091092D3}"/>
    <cellStyle name="20% - Accent4 3 2 6" xfId="2070" xr:uid="{54C83743-D94F-4444-AB2A-347CDE73840F}"/>
    <cellStyle name="20% - Accent4 3 2 7" xfId="4546" xr:uid="{2EC0BB03-8213-464C-B7B1-CCDF17113817}"/>
    <cellStyle name="20% - Accent4 3 2 7 2" xfId="9992" xr:uid="{6A58FA18-E6EC-4ADC-B795-899B55DF54A9}"/>
    <cellStyle name="20% - Accent4 3 2 8" xfId="7615" xr:uid="{5466F23F-8ACF-4398-8CC6-7BDEE99A9EF0}"/>
    <cellStyle name="20% - Accent4 3 3" xfId="764" xr:uid="{B12BB375-9C63-4B2E-80E9-9B4281F0A923}"/>
    <cellStyle name="20% - Accent4 3 3 2" xfId="765" xr:uid="{40FEB8D5-A81C-49BF-AAD3-C10B4C2105F5}"/>
    <cellStyle name="20% - Accent4 3 3 2 2" xfId="766" xr:uid="{EF799A9C-992F-4018-9B4D-4DE8B069BECB}"/>
    <cellStyle name="20% - Accent4 3 3 2 2 2" xfId="767" xr:uid="{C6802131-50E3-4478-8E70-BAAE87ED71AC}"/>
    <cellStyle name="20% - Accent4 3 3 2 2 2 2" xfId="4557" xr:uid="{709E9E09-ECFE-43C4-AC52-29692A9C2AC9}"/>
    <cellStyle name="20% - Accent4 3 3 2 2 2 2 2" xfId="10003" xr:uid="{A93B57E3-37BF-41B0-811B-ED3DBA6805C8}"/>
    <cellStyle name="20% - Accent4 3 3 2 2 2 3" xfId="7626" xr:uid="{E0C1C1EE-4E82-4EE4-A8F9-9641A49D0126}"/>
    <cellStyle name="20% - Accent4 3 3 2 2 3" xfId="4556" xr:uid="{CC6D6862-708E-4A82-9F29-FA7D38BEF8DE}"/>
    <cellStyle name="20% - Accent4 3 3 2 2 3 2" xfId="10002" xr:uid="{12E75714-E44A-4881-B57E-1DE95CC5E5DE}"/>
    <cellStyle name="20% - Accent4 3 3 2 2 4" xfId="7625" xr:uid="{5507866F-2E8C-430A-B120-F8FD6DA7C09A}"/>
    <cellStyle name="20% - Accent4 3 3 2 3" xfId="768" xr:uid="{0A0DAFB5-9EEE-496A-A42C-78E00A04630C}"/>
    <cellStyle name="20% - Accent4 3 3 2 3 2" xfId="4558" xr:uid="{DA8ACB12-2C33-4620-AA9F-659AAB1850C4}"/>
    <cellStyle name="20% - Accent4 3 3 2 3 2 2" xfId="10004" xr:uid="{F048724B-0693-47F7-B61F-B28C264E4396}"/>
    <cellStyle name="20% - Accent4 3 3 2 3 3" xfId="7627" xr:uid="{3814B900-0537-478E-A4A8-E8FBAE4A1CD4}"/>
    <cellStyle name="20% - Accent4 3 3 2 4" xfId="4555" xr:uid="{2A45DCE2-2EF2-40A2-96F9-70548381D2A6}"/>
    <cellStyle name="20% - Accent4 3 3 2 4 2" xfId="10001" xr:uid="{6876B958-E073-45E5-922D-4B26D74FEE78}"/>
    <cellStyle name="20% - Accent4 3 3 2 5" xfId="7624" xr:uid="{CA9F215A-98B2-4693-9158-C9974132F49F}"/>
    <cellStyle name="20% - Accent4 3 3 3" xfId="769" xr:uid="{288A70CC-FD5C-4FE4-8745-89A1F50CFCDA}"/>
    <cellStyle name="20% - Accent4 3 3 3 2" xfId="770" xr:uid="{2FE37810-39F9-4C1D-9541-5B2D5AC97B2B}"/>
    <cellStyle name="20% - Accent4 3 3 3 2 2" xfId="4560" xr:uid="{20BF0C33-6A9E-46F0-BCEE-F61E04A2199A}"/>
    <cellStyle name="20% - Accent4 3 3 3 2 2 2" xfId="10006" xr:uid="{F84A4A88-2E3F-452B-AC46-883617035C8C}"/>
    <cellStyle name="20% - Accent4 3 3 3 2 3" xfId="7629" xr:uid="{F5D16EEB-68AB-4CDF-ABA8-D512D021328F}"/>
    <cellStyle name="20% - Accent4 3 3 3 3" xfId="4559" xr:uid="{7F0BF0A2-EFA0-437D-A928-0D187B5DD1B0}"/>
    <cellStyle name="20% - Accent4 3 3 3 3 2" xfId="10005" xr:uid="{3635FAE6-4679-4AB8-AD26-A8E99C9B51DB}"/>
    <cellStyle name="20% - Accent4 3 3 3 4" xfId="7628" xr:uid="{D5005038-27E4-427E-B2B7-6BC8FDD5B47F}"/>
    <cellStyle name="20% - Accent4 3 3 4" xfId="771" xr:uid="{EEC803A4-681F-4B51-B491-C48BBF86BBEC}"/>
    <cellStyle name="20% - Accent4 3 3 4 2" xfId="4561" xr:uid="{0470B2C0-3619-413F-8780-4550BD497F5F}"/>
    <cellStyle name="20% - Accent4 3 3 4 2 2" xfId="10007" xr:uid="{F2A3E7C3-15F2-4D4A-9D67-3A1EF5F1F729}"/>
    <cellStyle name="20% - Accent4 3 3 4 3" xfId="7630" xr:uid="{F73EA997-7CF4-4965-84CB-B6D7C50E06F8}"/>
    <cellStyle name="20% - Accent4 3 3 5" xfId="4554" xr:uid="{AFA1703C-90EA-4825-A05C-2C4F35337DEF}"/>
    <cellStyle name="20% - Accent4 3 3 5 2" xfId="10000" xr:uid="{B7C50AB6-BACE-4818-AE7E-EC0915BAAB55}"/>
    <cellStyle name="20% - Accent4 3 3 6" xfId="7623" xr:uid="{DDAF56EB-8D52-4EE7-8BC7-10CC2CD08662}"/>
    <cellStyle name="20% - Accent4 3 4" xfId="772" xr:uid="{6670C731-8A38-4852-9922-2E4F216FA95E}"/>
    <cellStyle name="20% - Accent4 3 4 2" xfId="773" xr:uid="{DC646243-9C9E-4F90-8D60-8518B4FC4535}"/>
    <cellStyle name="20% - Accent4 3 4 2 2" xfId="774" xr:uid="{8A933EF9-1983-470C-8D9C-7D93A2106B4A}"/>
    <cellStyle name="20% - Accent4 3 4 2 2 2" xfId="4564" xr:uid="{54A88061-E4EA-4945-BAA7-8CFD86550011}"/>
    <cellStyle name="20% - Accent4 3 4 2 2 2 2" xfId="10010" xr:uid="{421740F8-FE71-4778-BF53-22263DC125B0}"/>
    <cellStyle name="20% - Accent4 3 4 2 2 3" xfId="7633" xr:uid="{26D1D132-2AA2-44E1-B5D2-6D7D4A7A5A39}"/>
    <cellStyle name="20% - Accent4 3 4 2 3" xfId="4563" xr:uid="{D11AB2DC-BAF7-4EE9-A39B-CF784F7ACA29}"/>
    <cellStyle name="20% - Accent4 3 4 2 3 2" xfId="10009" xr:uid="{499DE84E-973E-47D2-94F1-53C2088E0E93}"/>
    <cellStyle name="20% - Accent4 3 4 2 4" xfId="7632" xr:uid="{2D7A2E53-4462-4D1B-B56E-EF184F7C493B}"/>
    <cellStyle name="20% - Accent4 3 4 3" xfId="775" xr:uid="{0C04B768-F451-4C2F-BD6D-419BD0012CDE}"/>
    <cellStyle name="20% - Accent4 3 4 3 2" xfId="4565" xr:uid="{FA70D9FF-E9FC-4D9F-ACDB-D3CF69711663}"/>
    <cellStyle name="20% - Accent4 3 4 3 2 2" xfId="10011" xr:uid="{7D3A7FD1-E517-4AE2-94C0-137B6AA781FD}"/>
    <cellStyle name="20% - Accent4 3 4 3 3" xfId="7634" xr:uid="{D412FDFF-4C6B-4598-BE70-F35114EC1928}"/>
    <cellStyle name="20% - Accent4 3 4 4" xfId="4562" xr:uid="{D9F5D70A-A701-48DA-AA8F-6F9EAF4A1E98}"/>
    <cellStyle name="20% - Accent4 3 4 4 2" xfId="10008" xr:uid="{8343A02A-B5DD-4F38-BB1C-329F4BF22F7D}"/>
    <cellStyle name="20% - Accent4 3 4 5" xfId="7631" xr:uid="{BB7DCB75-8784-4F63-9DDA-E1B3B9862528}"/>
    <cellStyle name="20% - Accent4 3 5" xfId="776" xr:uid="{46733061-54F7-4BF8-8403-7E4EC378868A}"/>
    <cellStyle name="20% - Accent4 3 5 2" xfId="777" xr:uid="{D3D10139-1E19-4773-99DC-E75B5EDAE8F7}"/>
    <cellStyle name="20% - Accent4 3 5 2 2" xfId="4567" xr:uid="{921046C5-B696-4A4A-94FB-9E0007C4ACED}"/>
    <cellStyle name="20% - Accent4 3 5 2 2 2" xfId="10013" xr:uid="{67C5965B-DAA6-4824-AF25-FEB084EA75BC}"/>
    <cellStyle name="20% - Accent4 3 5 2 3" xfId="7636" xr:uid="{8EFF6E01-6DA4-475C-B5EA-C5A5AEE9E1FF}"/>
    <cellStyle name="20% - Accent4 3 5 3" xfId="4566" xr:uid="{056FB059-8118-4076-8096-5AC779574E58}"/>
    <cellStyle name="20% - Accent4 3 5 3 2" xfId="10012" xr:uid="{E4ED616F-B690-422E-980C-416CD1D4E246}"/>
    <cellStyle name="20% - Accent4 3 5 4" xfId="7635" xr:uid="{F239476C-BD4E-49E7-A2E5-ADB0128D4844}"/>
    <cellStyle name="20% - Accent4 3 6" xfId="778" xr:uid="{A39D63B1-DE31-470C-B20E-7C5AC62CB03A}"/>
    <cellStyle name="20% - Accent4 3 6 2" xfId="4568" xr:uid="{E26EB65B-4E4B-4EC2-BAB6-BDA68F27AAA4}"/>
    <cellStyle name="20% - Accent4 3 6 2 2" xfId="10014" xr:uid="{B19C35A0-5782-43DD-84B8-EEBA7E3D67AB}"/>
    <cellStyle name="20% - Accent4 3 6 3" xfId="7637" xr:uid="{4ACBB634-F6FF-4119-89D5-424CB7AB9C51}"/>
    <cellStyle name="20% - Accent4 3 7" xfId="4545" xr:uid="{950E152B-C3A5-4FE1-8CCC-84DFEFBCF2BE}"/>
    <cellStyle name="20% - Accent4 3 7 2" xfId="9991" xr:uid="{B76585BD-C8B3-441F-A568-E086C9E39FEA}"/>
    <cellStyle name="20% - Accent4 3 8" xfId="7614" xr:uid="{E624C91C-3C18-4023-9772-4EA9A537DE3C}"/>
    <cellStyle name="20% - Accent4 4" xfId="779" xr:uid="{97BB55CE-F684-40A0-A4E6-05EE1C1674EF}"/>
    <cellStyle name="20% - Accent4 4 2" xfId="780" xr:uid="{0FE32FCA-8AEB-4E4D-8190-527B110BDF40}"/>
    <cellStyle name="20% - Accent4 4 2 2" xfId="781" xr:uid="{8FE497A2-D99E-4F55-B526-BAEA2466AA72}"/>
    <cellStyle name="20% - Accent4 4 2 2 2" xfId="782" xr:uid="{C0ED2154-8CEA-40C0-BF1E-CEC233653939}"/>
    <cellStyle name="20% - Accent4 4 2 2 2 2" xfId="783" xr:uid="{60A2A97C-9F93-4595-9FBE-4C160EDAD08F}"/>
    <cellStyle name="20% - Accent4 4 2 2 2 2 2" xfId="4573" xr:uid="{CEAE3CF2-4ADC-4810-BDE6-4A103954ADBE}"/>
    <cellStyle name="20% - Accent4 4 2 2 2 2 2 2" xfId="10019" xr:uid="{9560A20F-9D44-4682-8E3D-C50AF64A2791}"/>
    <cellStyle name="20% - Accent4 4 2 2 2 2 3" xfId="7642" xr:uid="{F5955C2B-C341-4319-A217-FCF90D0AD5F8}"/>
    <cellStyle name="20% - Accent4 4 2 2 2 3" xfId="4572" xr:uid="{10CB19C3-F6C9-46F7-87DD-FA533297609F}"/>
    <cellStyle name="20% - Accent4 4 2 2 2 3 2" xfId="10018" xr:uid="{2A0314C8-D19E-487F-BEFD-643564C14537}"/>
    <cellStyle name="20% - Accent4 4 2 2 2 4" xfId="7641" xr:uid="{A53BBA65-42F5-4891-8A11-624A59297CB6}"/>
    <cellStyle name="20% - Accent4 4 2 2 3" xfId="784" xr:uid="{EBCCC13C-6735-47E3-93D8-C468A0E8B618}"/>
    <cellStyle name="20% - Accent4 4 2 2 3 2" xfId="4574" xr:uid="{B04A02A3-598B-4753-B16C-E40563F23A55}"/>
    <cellStyle name="20% - Accent4 4 2 2 3 2 2" xfId="10020" xr:uid="{06004FA0-9D75-44A5-AB35-2A355FC5C1D4}"/>
    <cellStyle name="20% - Accent4 4 2 2 3 3" xfId="7643" xr:uid="{59709F04-3376-46BF-9E34-8F3CE54DB768}"/>
    <cellStyle name="20% - Accent4 4 2 2 4" xfId="4571" xr:uid="{B78100D6-E9A3-4A1F-87DF-B21EB72FB042}"/>
    <cellStyle name="20% - Accent4 4 2 2 4 2" xfId="10017" xr:uid="{D19F491E-DEFF-4D48-961C-4C3855A20D18}"/>
    <cellStyle name="20% - Accent4 4 2 2 5" xfId="7640" xr:uid="{7ADA72E3-E18D-4498-B832-1A6B913FAE12}"/>
    <cellStyle name="20% - Accent4 4 2 3" xfId="785" xr:uid="{6F566513-DF28-4B27-BD08-3D4639E22E40}"/>
    <cellStyle name="20% - Accent4 4 2 3 2" xfId="786" xr:uid="{B6509952-B83A-4F25-9084-64743A21B14E}"/>
    <cellStyle name="20% - Accent4 4 2 3 2 2" xfId="4576" xr:uid="{E1AF8A0A-8D35-4977-9AE0-BA9AC17095DC}"/>
    <cellStyle name="20% - Accent4 4 2 3 2 2 2" xfId="10022" xr:uid="{9EEB5683-AD54-45C6-9B38-540FA4C83128}"/>
    <cellStyle name="20% - Accent4 4 2 3 2 3" xfId="7645" xr:uid="{603970D4-DA1C-42ED-82E8-362F5D291F0B}"/>
    <cellStyle name="20% - Accent4 4 2 3 3" xfId="4575" xr:uid="{62458BE6-131B-4263-A2B4-A7A174C85BB5}"/>
    <cellStyle name="20% - Accent4 4 2 3 3 2" xfId="10021" xr:uid="{1F1215E1-86A8-46FE-ACA5-836438CC4D32}"/>
    <cellStyle name="20% - Accent4 4 2 3 4" xfId="7644" xr:uid="{4D35A67B-C8DC-4B36-BA12-046CAF0E8A59}"/>
    <cellStyle name="20% - Accent4 4 2 4" xfId="787" xr:uid="{AB78953D-9B92-4A40-B853-BE0A15AD0CA0}"/>
    <cellStyle name="20% - Accent4 4 2 4 2" xfId="4577" xr:uid="{1511672A-C378-41F1-B130-E62F0B20F815}"/>
    <cellStyle name="20% - Accent4 4 2 4 2 2" xfId="10023" xr:uid="{0C0786C6-283A-4A41-B94C-30030184210D}"/>
    <cellStyle name="20% - Accent4 4 2 4 3" xfId="7646" xr:uid="{F073CABB-9792-47D1-89FD-D9256B6B772F}"/>
    <cellStyle name="20% - Accent4 4 2 5" xfId="4570" xr:uid="{FBD7248D-C323-45D0-8644-23C769BACC95}"/>
    <cellStyle name="20% - Accent4 4 2 5 2" xfId="10016" xr:uid="{837A24A2-903F-46D3-ABB7-A05857BD94EA}"/>
    <cellStyle name="20% - Accent4 4 2 6" xfId="7639" xr:uid="{3D26DB7F-29FA-4990-BAF5-45B99A9F92C5}"/>
    <cellStyle name="20% - Accent4 4 3" xfId="788" xr:uid="{C6B5715D-EDB9-412F-821F-3FF43ADD48F7}"/>
    <cellStyle name="20% - Accent4 4 3 2" xfId="789" xr:uid="{231EBD25-1FB8-4D8C-8CF9-F114820441FF}"/>
    <cellStyle name="20% - Accent4 4 3 2 2" xfId="790" xr:uid="{DC6A4FFA-011A-4ACA-BCCA-C766544D1C0D}"/>
    <cellStyle name="20% - Accent4 4 3 2 2 2" xfId="791" xr:uid="{155114EA-1AD9-404B-9315-9E386A5A104E}"/>
    <cellStyle name="20% - Accent4 4 3 2 2 2 2" xfId="4581" xr:uid="{4C686D53-BDC2-4D60-BBA7-D30AF82CF0C9}"/>
    <cellStyle name="20% - Accent4 4 3 2 2 2 2 2" xfId="10027" xr:uid="{EE4DD1D2-4095-4601-B967-2E5EBD0546C9}"/>
    <cellStyle name="20% - Accent4 4 3 2 2 2 3" xfId="7650" xr:uid="{4760B203-BD9F-4A21-9F7D-504E8989EBE7}"/>
    <cellStyle name="20% - Accent4 4 3 2 2 3" xfId="4580" xr:uid="{7040E829-23AA-4B09-B486-AF20DD152FBF}"/>
    <cellStyle name="20% - Accent4 4 3 2 2 3 2" xfId="10026" xr:uid="{BDFB5D0A-246D-4B67-82FE-131557015BED}"/>
    <cellStyle name="20% - Accent4 4 3 2 2 4" xfId="7649" xr:uid="{96088D5D-9B62-43E4-95A6-5F8690B37862}"/>
    <cellStyle name="20% - Accent4 4 3 2 3" xfId="792" xr:uid="{5283F9FB-7F0C-4A0D-8FED-7DE7C9C34636}"/>
    <cellStyle name="20% - Accent4 4 3 2 3 2" xfId="4582" xr:uid="{9368F410-ECDF-4EEC-AC68-42DD163C62B6}"/>
    <cellStyle name="20% - Accent4 4 3 2 3 2 2" xfId="10028" xr:uid="{4E9508B5-7A39-4B8C-A1F7-1E0C4D9CA2F4}"/>
    <cellStyle name="20% - Accent4 4 3 2 3 3" xfId="7651" xr:uid="{AAA9C25B-77F8-4825-87FC-2E5171AE3762}"/>
    <cellStyle name="20% - Accent4 4 3 2 4" xfId="4579" xr:uid="{EB153764-1F0A-4336-B976-D57B424D58BE}"/>
    <cellStyle name="20% - Accent4 4 3 2 4 2" xfId="10025" xr:uid="{D9DA35BA-E527-4583-A3F6-92E2446073AF}"/>
    <cellStyle name="20% - Accent4 4 3 2 5" xfId="7648" xr:uid="{5B79ADE5-DEBC-4F73-B38E-2482A0E4B8F1}"/>
    <cellStyle name="20% - Accent4 4 3 3" xfId="793" xr:uid="{FD263075-C7C3-4A60-B334-54FEBF325F3E}"/>
    <cellStyle name="20% - Accent4 4 3 3 2" xfId="794" xr:uid="{47E70175-9079-4095-ADB2-69979751EE09}"/>
    <cellStyle name="20% - Accent4 4 3 3 2 2" xfId="4584" xr:uid="{BEF0D05D-4AB5-4565-A318-9C0F40BB45DD}"/>
    <cellStyle name="20% - Accent4 4 3 3 2 2 2" xfId="10030" xr:uid="{A7547002-FC28-401D-B502-9EC450B16A03}"/>
    <cellStyle name="20% - Accent4 4 3 3 2 3" xfId="7653" xr:uid="{C866907C-61C3-4730-8160-1B1FE0DF92ED}"/>
    <cellStyle name="20% - Accent4 4 3 3 3" xfId="4583" xr:uid="{F5FA069A-C2BE-4854-B8C6-1E43FBAD5FA6}"/>
    <cellStyle name="20% - Accent4 4 3 3 3 2" xfId="10029" xr:uid="{9B4245F0-3E08-4300-B451-C38736B96D65}"/>
    <cellStyle name="20% - Accent4 4 3 3 4" xfId="7652" xr:uid="{26A8F0F0-C335-4668-9967-5EDD83E3A34D}"/>
    <cellStyle name="20% - Accent4 4 3 4" xfId="795" xr:uid="{FA9D5367-6128-4184-AF1A-0B77D7544E10}"/>
    <cellStyle name="20% - Accent4 4 3 4 2" xfId="4585" xr:uid="{DCB1BD83-0A0A-4361-BCE7-A361AD43CF39}"/>
    <cellStyle name="20% - Accent4 4 3 4 2 2" xfId="10031" xr:uid="{B3C31911-7147-4C5B-8F13-670699D3108C}"/>
    <cellStyle name="20% - Accent4 4 3 4 3" xfId="7654" xr:uid="{5DAC1808-A28D-4AF7-A2DD-4A7D70236B4B}"/>
    <cellStyle name="20% - Accent4 4 3 5" xfId="4578" xr:uid="{2FDE974A-A64B-43AA-A1B1-65B0168D29D4}"/>
    <cellStyle name="20% - Accent4 4 3 5 2" xfId="10024" xr:uid="{F88C54C6-6A14-4F5C-BFC8-70E2300FDA39}"/>
    <cellStyle name="20% - Accent4 4 3 6" xfId="7647" xr:uid="{7A6602C6-9A0B-4887-AA0F-5C4FEB14266F}"/>
    <cellStyle name="20% - Accent4 4 4" xfId="796" xr:uid="{6C72A456-B557-43DD-929E-B6FDF944C0F7}"/>
    <cellStyle name="20% - Accent4 4 4 2" xfId="797" xr:uid="{44F5BC84-EB05-41B0-8DBE-3C0321C8C121}"/>
    <cellStyle name="20% - Accent4 4 4 2 2" xfId="798" xr:uid="{DB60AA0A-7B02-4019-A491-183E588B1942}"/>
    <cellStyle name="20% - Accent4 4 4 2 2 2" xfId="4588" xr:uid="{A0049D16-EB4A-43A4-B5C2-98CF2348B39C}"/>
    <cellStyle name="20% - Accent4 4 4 2 2 2 2" xfId="10034" xr:uid="{996BEEF1-73BC-4AB0-9203-2FD77584198B}"/>
    <cellStyle name="20% - Accent4 4 4 2 2 3" xfId="7657" xr:uid="{AE3F05C3-1FD0-449D-8124-68AE627E9A04}"/>
    <cellStyle name="20% - Accent4 4 4 2 3" xfId="4587" xr:uid="{61A3D795-D3EB-4164-98E0-9D2E80086686}"/>
    <cellStyle name="20% - Accent4 4 4 2 3 2" xfId="10033" xr:uid="{D28BE647-E511-4F39-9480-B02596A1E9DF}"/>
    <cellStyle name="20% - Accent4 4 4 2 4" xfId="7656" xr:uid="{891E3304-FBF6-40A8-ACE5-B0128222414F}"/>
    <cellStyle name="20% - Accent4 4 4 3" xfId="799" xr:uid="{1A25122F-2158-476D-8A8D-4F103493DEA5}"/>
    <cellStyle name="20% - Accent4 4 4 3 2" xfId="4589" xr:uid="{C8130DCE-23EE-4336-A351-7A0034F2C90B}"/>
    <cellStyle name="20% - Accent4 4 4 3 2 2" xfId="10035" xr:uid="{1D699637-19D7-46C7-8E5B-EF4310619D3A}"/>
    <cellStyle name="20% - Accent4 4 4 3 3" xfId="7658" xr:uid="{FB3B4F50-0F6F-42E2-A04A-5367DA75B082}"/>
    <cellStyle name="20% - Accent4 4 4 4" xfId="4586" xr:uid="{02896425-F58C-4911-83D6-7665EA161602}"/>
    <cellStyle name="20% - Accent4 4 4 4 2" xfId="10032" xr:uid="{68AB796E-3517-4B5C-8EF4-F3D5EFEBC12E}"/>
    <cellStyle name="20% - Accent4 4 4 5" xfId="7655" xr:uid="{F03B9655-BAB5-4B09-9126-EE374B310F4B}"/>
    <cellStyle name="20% - Accent4 4 5" xfId="800" xr:uid="{CD26D35B-1280-4E22-A9FF-A56A7829BFD8}"/>
    <cellStyle name="20% - Accent4 4 5 2" xfId="801" xr:uid="{6DA9A024-4DF5-469D-84E2-1438162B3482}"/>
    <cellStyle name="20% - Accent4 4 5 2 2" xfId="4591" xr:uid="{31A6B129-DB39-4DF2-8D87-A506FA1A596C}"/>
    <cellStyle name="20% - Accent4 4 5 2 2 2" xfId="10037" xr:uid="{FB8DAD41-8E9E-49DF-8607-8431DBB2FF5A}"/>
    <cellStyle name="20% - Accent4 4 5 2 3" xfId="7660" xr:uid="{8DE0D667-B342-44A1-9CBA-DA6B90338866}"/>
    <cellStyle name="20% - Accent4 4 5 3" xfId="4590" xr:uid="{05EE1E7C-40FF-45F2-8CF9-A6539360BD24}"/>
    <cellStyle name="20% - Accent4 4 5 3 2" xfId="10036" xr:uid="{7C848887-B842-47AA-A704-B221888BF45A}"/>
    <cellStyle name="20% - Accent4 4 5 4" xfId="7659" xr:uid="{7DEA19D2-EF02-426C-B6EB-24FF434012B4}"/>
    <cellStyle name="20% - Accent4 4 6" xfId="802" xr:uid="{AB5C1810-0F05-4E65-A8F4-7809CBEA7D06}"/>
    <cellStyle name="20% - Accent4 4 6 2" xfId="4592" xr:uid="{59A95E98-C029-4029-B18C-9693010FEE1D}"/>
    <cellStyle name="20% - Accent4 4 6 2 2" xfId="10038" xr:uid="{4D2D9304-EDA2-4088-BE00-1EF9827CD048}"/>
    <cellStyle name="20% - Accent4 4 6 3" xfId="7661" xr:uid="{2528405A-BDE6-43F0-B049-C91BAA4BF9A3}"/>
    <cellStyle name="20% - Accent4 4 7" xfId="4569" xr:uid="{56CCC5E4-68DD-44F1-91A7-5CE831ABB113}"/>
    <cellStyle name="20% - Accent4 4 7 2" xfId="10015" xr:uid="{812D2C88-A6FE-40D1-A6E8-EC3ED4133F19}"/>
    <cellStyle name="20% - Accent4 4 8" xfId="7638" xr:uid="{90B0D522-A761-46F2-83FA-1CD5BE919F20}"/>
    <cellStyle name="20% - Accent4 5" xfId="803" xr:uid="{84CA0A72-DF2D-4F42-8302-9BB762EB3A23}"/>
    <cellStyle name="20% - Accent4 5 2" xfId="804" xr:uid="{D37F5D2D-BE12-429F-9A06-259CB7C9A1BC}"/>
    <cellStyle name="20% - Accent4 5 2 2" xfId="805" xr:uid="{CFFF80E3-B196-4F84-ABFB-CC15FACD233D}"/>
    <cellStyle name="20% - Accent4 5 2 2 2" xfId="806" xr:uid="{7EBA348D-E04E-47F6-966C-C669D6C22F95}"/>
    <cellStyle name="20% - Accent4 5 2 2 2 2" xfId="4596" xr:uid="{89B1AFDD-9026-476C-B40A-5F08E1CDA54D}"/>
    <cellStyle name="20% - Accent4 5 2 2 2 2 2" xfId="10042" xr:uid="{765200DB-3531-453C-9161-3EF365927806}"/>
    <cellStyle name="20% - Accent4 5 2 2 2 3" xfId="7665" xr:uid="{3D97DC1E-B939-4FD1-86E4-670CDC6285A5}"/>
    <cellStyle name="20% - Accent4 5 2 2 3" xfId="4595" xr:uid="{7DE78ABD-17D1-4A0B-8F8A-1786234D12D1}"/>
    <cellStyle name="20% - Accent4 5 2 2 3 2" xfId="10041" xr:uid="{3A55C54C-10C2-4F56-8819-7C295343ECB7}"/>
    <cellStyle name="20% - Accent4 5 2 2 4" xfId="7664" xr:uid="{67BC19E4-568B-48F2-936A-4C86CAC58D1F}"/>
    <cellStyle name="20% - Accent4 5 2 3" xfId="807" xr:uid="{F017942E-F076-4277-90FE-A966D15B81BA}"/>
    <cellStyle name="20% - Accent4 5 2 3 2" xfId="4597" xr:uid="{EE50B7FF-9CB1-4C07-A869-CC65B6CE55A5}"/>
    <cellStyle name="20% - Accent4 5 2 3 2 2" xfId="10043" xr:uid="{EB0D0C5F-8644-4394-B409-9DA9C1042CD6}"/>
    <cellStyle name="20% - Accent4 5 2 3 3" xfId="7666" xr:uid="{684A2960-016C-4D0D-8E22-64ECCC225976}"/>
    <cellStyle name="20% - Accent4 5 2 4" xfId="4594" xr:uid="{ED7F6388-D1AC-4406-AA86-930AADC16C8B}"/>
    <cellStyle name="20% - Accent4 5 2 4 2" xfId="10040" xr:uid="{1B42DAFE-2902-49A4-9A90-24FC30E39636}"/>
    <cellStyle name="20% - Accent4 5 2 5" xfId="7663" xr:uid="{0D3C2392-5ECA-4143-8A2E-289E479E28B8}"/>
    <cellStyle name="20% - Accent4 5 3" xfId="808" xr:uid="{2D1112B3-523E-4A6F-B2CB-49399942EED9}"/>
    <cellStyle name="20% - Accent4 5 3 2" xfId="809" xr:uid="{BB6AD6F3-5ACB-4D77-A1FC-187F0A12AC9B}"/>
    <cellStyle name="20% - Accent4 5 3 2 2" xfId="4599" xr:uid="{C06BD19C-AEE7-48FE-B2B4-FC1DD89FF813}"/>
    <cellStyle name="20% - Accent4 5 3 2 2 2" xfId="10045" xr:uid="{79BF942A-3E1E-408B-9F5C-6CD821FB14DB}"/>
    <cellStyle name="20% - Accent4 5 3 2 3" xfId="7668" xr:uid="{A34EBBEA-B137-4B79-9787-12A643C47E0A}"/>
    <cellStyle name="20% - Accent4 5 3 3" xfId="4598" xr:uid="{FDA9D740-850B-438F-86DC-B9EA4C18B74C}"/>
    <cellStyle name="20% - Accent4 5 3 3 2" xfId="10044" xr:uid="{58FA62AF-26DF-4F38-91BA-15A22ED0CFF4}"/>
    <cellStyle name="20% - Accent4 5 3 4" xfId="7667" xr:uid="{1EE95711-4E7F-4C22-8804-3914DD4C8B5D}"/>
    <cellStyle name="20% - Accent4 5 4" xfId="810" xr:uid="{FDC3BF87-990B-4039-AD71-D5E963902207}"/>
    <cellStyle name="20% - Accent4 5 4 2" xfId="4600" xr:uid="{7079ECA0-CFAE-4BD0-84A1-921CDA05D34E}"/>
    <cellStyle name="20% - Accent4 5 4 2 2" xfId="10046" xr:uid="{B0B959C9-07B3-4B9E-907B-F430D7BB999B}"/>
    <cellStyle name="20% - Accent4 5 4 3" xfId="7669" xr:uid="{8D669932-F748-4809-B6C2-1E97C0AFA291}"/>
    <cellStyle name="20% - Accent4 5 5" xfId="4593" xr:uid="{9B29A8DF-34CA-450E-A2B4-12F447FA3A08}"/>
    <cellStyle name="20% - Accent4 5 5 2" xfId="10039" xr:uid="{416CF1AA-E00C-4277-B492-826584B8A525}"/>
    <cellStyle name="20% - Accent4 5 6" xfId="7662" xr:uid="{DEF846E8-3C44-4F14-A5C4-74B7A126B6EF}"/>
    <cellStyle name="20% - Accent4 6" xfId="811" xr:uid="{437CC316-2549-4F36-A470-232A3B802B97}"/>
    <cellStyle name="20% - Accent4 6 2" xfId="812" xr:uid="{1179CC8F-1167-47A9-9A36-A307803F28F8}"/>
    <cellStyle name="20% - Accent4 6 2 2" xfId="813" xr:uid="{264B4B69-FD3E-43DC-B526-8DDED2B8CED6}"/>
    <cellStyle name="20% - Accent4 6 2 2 2" xfId="814" xr:uid="{0CB4C6D4-8011-4C7D-9B18-5763656215DA}"/>
    <cellStyle name="20% - Accent4 6 2 2 2 2" xfId="4604" xr:uid="{2DDF121D-E49C-45F2-9A14-C157E26548B4}"/>
    <cellStyle name="20% - Accent4 6 2 2 2 2 2" xfId="10050" xr:uid="{775268BF-4F8B-4829-9044-D1502DA1DE85}"/>
    <cellStyle name="20% - Accent4 6 2 2 2 3" xfId="7673" xr:uid="{9889F68B-8FD5-4E2D-B9B5-D146CB21AAFD}"/>
    <cellStyle name="20% - Accent4 6 2 2 3" xfId="4603" xr:uid="{4454BDED-C7B0-4D78-B72B-4B462B585C4F}"/>
    <cellStyle name="20% - Accent4 6 2 2 3 2" xfId="10049" xr:uid="{E73D8C94-290E-45C8-A710-57230EDFB599}"/>
    <cellStyle name="20% - Accent4 6 2 2 4" xfId="7672" xr:uid="{991DB203-B2F1-4775-A5F1-FB134F404EA6}"/>
    <cellStyle name="20% - Accent4 6 2 3" xfId="815" xr:uid="{9E8F6E16-D64E-459F-B9AF-372048B0E209}"/>
    <cellStyle name="20% - Accent4 6 2 3 2" xfId="4605" xr:uid="{B36169B4-8587-418B-9F95-9A8C948C625E}"/>
    <cellStyle name="20% - Accent4 6 2 3 2 2" xfId="10051" xr:uid="{632A2D16-2864-45A9-9EBF-D53D2D52C398}"/>
    <cellStyle name="20% - Accent4 6 2 3 3" xfId="7674" xr:uid="{EAC7F130-2CD0-4158-8FED-56122DD03FB3}"/>
    <cellStyle name="20% - Accent4 6 2 4" xfId="4602" xr:uid="{8E91CBF7-A0E7-45A1-BBDA-72D103413844}"/>
    <cellStyle name="20% - Accent4 6 2 4 2" xfId="10048" xr:uid="{20E9098D-4C62-4492-B91D-EB249DCA410E}"/>
    <cellStyle name="20% - Accent4 6 2 5" xfId="7671" xr:uid="{A38D5C70-6A83-4A8F-97FD-A1BC840EB6A0}"/>
    <cellStyle name="20% - Accent4 6 3" xfId="816" xr:uid="{7FD9F7C4-2BEB-49C7-9CDC-4AB710053D57}"/>
    <cellStyle name="20% - Accent4 6 3 2" xfId="817" xr:uid="{D1996207-C8F7-44C2-9414-AE583479445C}"/>
    <cellStyle name="20% - Accent4 6 3 2 2" xfId="4607" xr:uid="{587A3CAF-4182-4FA4-A9C8-46C0098C61A9}"/>
    <cellStyle name="20% - Accent4 6 3 2 2 2" xfId="10053" xr:uid="{DF629073-92FE-426C-8813-D759C0A1F157}"/>
    <cellStyle name="20% - Accent4 6 3 2 3" xfId="7676" xr:uid="{4B88E96B-200E-4FD3-BB24-57FF514CFC6E}"/>
    <cellStyle name="20% - Accent4 6 3 3" xfId="4606" xr:uid="{90B4F0EC-05BA-49C5-A20F-410FCED11CC2}"/>
    <cellStyle name="20% - Accent4 6 3 3 2" xfId="10052" xr:uid="{3DCE44D4-54CF-48C8-B32A-B36237E98A8C}"/>
    <cellStyle name="20% - Accent4 6 3 4" xfId="7675" xr:uid="{5A08D056-A4D7-4380-B762-7CE72CA4A0D4}"/>
    <cellStyle name="20% - Accent4 6 4" xfId="818" xr:uid="{EC18F2D8-750F-4293-B290-97394D0C4E81}"/>
    <cellStyle name="20% - Accent4 6 4 2" xfId="4608" xr:uid="{29B110E2-2B24-401F-A915-FADC77DAB480}"/>
    <cellStyle name="20% - Accent4 6 4 2 2" xfId="10054" xr:uid="{1332A05D-6238-436D-8212-EA6D2012480B}"/>
    <cellStyle name="20% - Accent4 6 4 3" xfId="7677" xr:uid="{678546E2-7EA6-4D3B-8E77-7460294DC692}"/>
    <cellStyle name="20% - Accent4 6 5" xfId="4601" xr:uid="{D571AB98-088C-4253-BE71-880CB186C257}"/>
    <cellStyle name="20% - Accent4 6 5 2" xfId="10047" xr:uid="{F149DD5C-ED1C-48E3-AD7F-8C9605820A54}"/>
    <cellStyle name="20% - Accent4 6 6" xfId="7670" xr:uid="{4D2282BF-2F2D-4144-BCCE-2EE6C616E361}"/>
    <cellStyle name="20% - Accent4 7" xfId="819" xr:uid="{A6AEE423-244A-47B5-8FAF-A4622744C8C8}"/>
    <cellStyle name="20% - Accent4 7 2" xfId="820" xr:uid="{A01A2516-10DE-494E-9CE4-694D64A5808B}"/>
    <cellStyle name="20% - Accent4 7 2 2" xfId="821" xr:uid="{A49620E0-FC26-439F-A8C7-949C4556DB9E}"/>
    <cellStyle name="20% - Accent4 7 2 2 2" xfId="4611" xr:uid="{9CBE0D2C-4279-4C51-9739-22C0BBED3938}"/>
    <cellStyle name="20% - Accent4 7 2 2 2 2" xfId="10057" xr:uid="{FE966AC5-C397-460D-8677-70DC8DAAD1EB}"/>
    <cellStyle name="20% - Accent4 7 2 2 3" xfId="7680" xr:uid="{4B6B4C85-16D1-4CBC-8355-1B4B04145248}"/>
    <cellStyle name="20% - Accent4 7 2 3" xfId="4610" xr:uid="{23961B1F-6713-4CD9-9F78-4B86CDC408A3}"/>
    <cellStyle name="20% - Accent4 7 2 3 2" xfId="10056" xr:uid="{8884E584-8065-45CC-99F2-A24C55A1A375}"/>
    <cellStyle name="20% - Accent4 7 2 4" xfId="7679" xr:uid="{DA1F3E30-5793-4F7B-8836-91579A232C20}"/>
    <cellStyle name="20% - Accent4 7 3" xfId="822" xr:uid="{2A33D83E-6E70-4E63-B367-7EC07DE3CC28}"/>
    <cellStyle name="20% - Accent4 7 3 2" xfId="4612" xr:uid="{13B7D9F8-11ED-4418-9A81-E6171988DD4A}"/>
    <cellStyle name="20% - Accent4 7 3 2 2" xfId="10058" xr:uid="{AAAEF8C8-965D-41F4-ACB1-74828BE69079}"/>
    <cellStyle name="20% - Accent4 7 3 3" xfId="7681" xr:uid="{515E30D4-C5F8-4AF8-A4D2-4333C3D30400}"/>
    <cellStyle name="20% - Accent4 7 4" xfId="4609" xr:uid="{EBEEA052-33DF-466D-BB63-2CD9B00937AE}"/>
    <cellStyle name="20% - Accent4 7 4 2" xfId="10055" xr:uid="{4575F057-C59D-4751-9BAE-258E01CCE96F}"/>
    <cellStyle name="20% - Accent4 7 5" xfId="7678" xr:uid="{A9EA7049-E87D-4CAB-910B-1ADFC608AEFF}"/>
    <cellStyle name="20% - Accent4 8" xfId="823" xr:uid="{008233B8-5587-4FEB-AC2A-64B9C6BB7E33}"/>
    <cellStyle name="20% - Accent4 8 2" xfId="824" xr:uid="{6730781E-ADCF-4336-8FE1-9F556C990AF5}"/>
    <cellStyle name="20% - Accent4 8 2 2" xfId="825" xr:uid="{F3F9C24F-C94F-4BE5-9B90-A7997A41E4F5}"/>
    <cellStyle name="20% - Accent4 8 2 2 2" xfId="4615" xr:uid="{BAA86F9A-3156-4C25-903F-6501D74DC8FC}"/>
    <cellStyle name="20% - Accent4 8 2 2 2 2" xfId="10061" xr:uid="{7443501D-87CD-4C47-8438-F8A68AAE5102}"/>
    <cellStyle name="20% - Accent4 8 2 2 3" xfId="7684" xr:uid="{3BFE650C-CFD1-472F-9E02-90BEEF0000F1}"/>
    <cellStyle name="20% - Accent4 8 2 3" xfId="4614" xr:uid="{70E5444F-C641-4C08-AA24-C01AEDC23236}"/>
    <cellStyle name="20% - Accent4 8 2 3 2" xfId="10060" xr:uid="{8B99402F-A620-49BC-8DF9-0D559B9B3AAB}"/>
    <cellStyle name="20% - Accent4 8 2 4" xfId="7683" xr:uid="{1CFAA31F-278D-4440-83CE-FE846E6E2B4B}"/>
    <cellStyle name="20% - Accent4 8 3" xfId="826" xr:uid="{27A5ACE6-E1E3-4A2B-BE61-C74FE7B3EB89}"/>
    <cellStyle name="20% - Accent4 8 3 2" xfId="4616" xr:uid="{C72E463A-8EED-42D0-B13C-872F4F1F55BC}"/>
    <cellStyle name="20% - Accent4 8 3 2 2" xfId="10062" xr:uid="{43683BF5-1275-4459-88A5-8BB0A60A3D4B}"/>
    <cellStyle name="20% - Accent4 8 3 3" xfId="7685" xr:uid="{AD747076-9809-423D-BDEC-8FB64D2D9754}"/>
    <cellStyle name="20% - Accent4 8 4" xfId="4613" xr:uid="{C5DE480F-844E-4830-B62C-991DD3F9C0E0}"/>
    <cellStyle name="20% - Accent4 8 4 2" xfId="10059" xr:uid="{7064085B-235A-47D9-A0CE-82E92249325E}"/>
    <cellStyle name="20% - Accent4 8 5" xfId="7682" xr:uid="{8608C29B-C34A-469A-8E3B-0DE2D87826A8}"/>
    <cellStyle name="20% - Accent4 9" xfId="827" xr:uid="{AF32D0CE-D955-4C0D-A7F6-B4C0F4700DB8}"/>
    <cellStyle name="20% - Accent4 9 2" xfId="828" xr:uid="{17F6C03A-76E7-4488-9E62-981FB92CB2AA}"/>
    <cellStyle name="20% - Accent4 9 2 2" xfId="4618" xr:uid="{41D43A80-80BB-4F30-A022-AC98E22A2711}"/>
    <cellStyle name="20% - Accent4 9 2 2 2" xfId="10064" xr:uid="{3C9EDF4C-0BBB-4FD6-AC80-83DF82B98C9B}"/>
    <cellStyle name="20% - Accent4 9 2 3" xfId="7687" xr:uid="{363517B9-D853-4130-A735-6643715F0B28}"/>
    <cellStyle name="20% - Accent4 9 3" xfId="4617" xr:uid="{127D8604-AF62-4355-9D91-D953DFD650DD}"/>
    <cellStyle name="20% - Accent4 9 3 2" xfId="10063" xr:uid="{D58C50B8-53BC-412A-BB90-F449DF10F531}"/>
    <cellStyle name="20% - Accent4 9 4" xfId="7686" xr:uid="{B081C856-509D-4946-BE4E-7C16A23E3412}"/>
    <cellStyle name="20% - Accent5" xfId="5" builtinId="46" hidden="1" customBuiltin="1"/>
    <cellStyle name="20% - Accent5" xfId="370" builtinId="46" customBuiltin="1"/>
    <cellStyle name="20% - Accent5 10" xfId="829" xr:uid="{F649B283-44C4-42A4-A1CE-985EA766CD9F}"/>
    <cellStyle name="20% - Accent5 10 2" xfId="830" xr:uid="{64DCC494-E7A3-40CC-A7CB-1574356177D1}"/>
    <cellStyle name="20% - Accent5 10 2 2" xfId="4620" xr:uid="{CF72BCC9-D2F5-4D91-B63D-2722B9F72247}"/>
    <cellStyle name="20% - Accent5 10 2 2 2" xfId="10066" xr:uid="{26A8B64E-C63D-4DDC-88B5-F593F2F2C481}"/>
    <cellStyle name="20% - Accent5 10 2 3" xfId="7689" xr:uid="{7894684A-B4C6-4C26-B700-97AD0A70BFDE}"/>
    <cellStyle name="20% - Accent5 10 3" xfId="4619" xr:uid="{C7FCAF24-7292-4812-88BF-0166518F991E}"/>
    <cellStyle name="20% - Accent5 10 3 2" xfId="10065" xr:uid="{B64DBAC5-E255-4145-AF78-D894809EE2A2}"/>
    <cellStyle name="20% - Accent5 10 4" xfId="7688" xr:uid="{074BE737-5F4A-4CDC-B1DB-7763D1F767AB}"/>
    <cellStyle name="20% - Accent5 11" xfId="831" xr:uid="{0F1ACD07-15F4-4DD7-92AF-86F73C904BCB}"/>
    <cellStyle name="20% - Accent5 11 2" xfId="4621" xr:uid="{013ADF20-555E-4B02-B6D4-E578C079562A}"/>
    <cellStyle name="20% - Accent5 11 2 2" xfId="10067" xr:uid="{DC6D1CC3-2469-42D2-916E-CF855C0ED47B}"/>
    <cellStyle name="20% - Accent5 11 3" xfId="7690" xr:uid="{AFB7F15C-DF62-4923-87AD-54E1F20EE915}"/>
    <cellStyle name="20% - Accent5 12" xfId="832" xr:uid="{9BD996C2-7696-4128-95B6-A2C5A3B2E318}"/>
    <cellStyle name="20% - Accent5 12 2" xfId="4622" xr:uid="{E6D394C3-7BA7-4590-A5B5-A96E95D8B8F3}"/>
    <cellStyle name="20% - Accent5 12 2 2" xfId="10068" xr:uid="{CF1AA305-30D0-482F-B11B-11CA598EABD0}"/>
    <cellStyle name="20% - Accent5 12 3" xfId="7691" xr:uid="{BCD59E8B-A267-4276-855D-D4FD9889ECCA}"/>
    <cellStyle name="20% - Accent5 13" xfId="4195" xr:uid="{C688CC47-0AC9-415D-9117-DD9A66CB2250}"/>
    <cellStyle name="20% - Accent5 13 2" xfId="9641" xr:uid="{BA0FD853-36C1-420A-8ED8-96BE5CBE3C91}"/>
    <cellStyle name="20% - Accent5 14" xfId="7263" xr:uid="{F288919C-3906-4D86-9FD0-42FC6541B7DF}"/>
    <cellStyle name="20% - Accent5 2" xfId="833" xr:uid="{0775A034-579C-439E-92F8-3C201E294C01}"/>
    <cellStyle name="20% - Accent5 2 2" xfId="834" xr:uid="{B8F10C6F-F4C7-45AE-A512-1329F69C982C}"/>
    <cellStyle name="20% - Accent5 2 2 2" xfId="835" xr:uid="{3717B095-F3D0-44FE-8714-0D14A599BDFD}"/>
    <cellStyle name="20% - Accent5 2 2 2 2" xfId="836" xr:uid="{FC63767A-97DE-4DBE-89D3-D06CEF842D16}"/>
    <cellStyle name="20% - Accent5 2 2 2 2 2" xfId="837" xr:uid="{971D7816-C9F4-40FE-9E37-428ED765516C}"/>
    <cellStyle name="20% - Accent5 2 2 2 2 2 2" xfId="4627" xr:uid="{0CC748C3-8BF2-4ECB-BFB4-E8403F2BCE2F}"/>
    <cellStyle name="20% - Accent5 2 2 2 2 2 2 2" xfId="10073" xr:uid="{89D0F786-7F75-4A9A-8BA8-A3F5C62DB198}"/>
    <cellStyle name="20% - Accent5 2 2 2 2 2 3" xfId="7696" xr:uid="{C45B3A87-023C-46A6-A606-F7DC56D0B76D}"/>
    <cellStyle name="20% - Accent5 2 2 2 2 3" xfId="4626" xr:uid="{FB922F33-6FA4-407E-9670-B9E4FB4787D6}"/>
    <cellStyle name="20% - Accent5 2 2 2 2 3 2" xfId="10072" xr:uid="{F6DBC729-A57A-4431-88AF-A353D9F596A4}"/>
    <cellStyle name="20% - Accent5 2 2 2 2 4" xfId="7695" xr:uid="{C4C3FC83-2070-415C-8AB4-49CDEF058C0C}"/>
    <cellStyle name="20% - Accent5 2 2 2 3" xfId="838" xr:uid="{AACDE7C5-CDEB-48AA-B73A-EBCB149171C2}"/>
    <cellStyle name="20% - Accent5 2 2 2 3 2" xfId="4628" xr:uid="{31D9CA7C-5A98-4C13-9EDA-C2C3EFC2FBBC}"/>
    <cellStyle name="20% - Accent5 2 2 2 3 2 2" xfId="10074" xr:uid="{3A2184C2-0182-4AD2-A30A-4283674C80F7}"/>
    <cellStyle name="20% - Accent5 2 2 2 3 3" xfId="7697" xr:uid="{022CE6CA-5A50-48E1-A2C0-3B9C2CD0B5BE}"/>
    <cellStyle name="20% - Accent5 2 2 2 4" xfId="4625" xr:uid="{AB7CCE95-97E4-4D2F-9253-D342BBF56029}"/>
    <cellStyle name="20% - Accent5 2 2 2 4 2" xfId="10071" xr:uid="{3FFA8103-919F-4730-8573-7906396FAA96}"/>
    <cellStyle name="20% - Accent5 2 2 2 5" xfId="7694" xr:uid="{8735BFF7-3FDC-4308-BC88-3A2BC9148FE4}"/>
    <cellStyle name="20% - Accent5 2 2 3" xfId="839" xr:uid="{376D9060-5C99-4A33-9053-AA4A3994703C}"/>
    <cellStyle name="20% - Accent5 2 2 3 2" xfId="840" xr:uid="{E41D5E32-1275-4882-80B4-DBCB77F1BD37}"/>
    <cellStyle name="20% - Accent5 2 2 3 2 2" xfId="4630" xr:uid="{A1C37C4D-F033-489E-B3B5-0526DCA7E220}"/>
    <cellStyle name="20% - Accent5 2 2 3 2 2 2" xfId="10076" xr:uid="{FEE47409-4CB6-48C1-B845-E64589543921}"/>
    <cellStyle name="20% - Accent5 2 2 3 2 3" xfId="7699" xr:uid="{DD58B4DA-7E59-442A-977C-4B72B68DD7D5}"/>
    <cellStyle name="20% - Accent5 2 2 3 3" xfId="4629" xr:uid="{028EF5F6-F355-4C20-855C-C86C702E5096}"/>
    <cellStyle name="20% - Accent5 2 2 3 3 2" xfId="10075" xr:uid="{82B0076D-4ED4-4F88-BC11-D0DFF46A3797}"/>
    <cellStyle name="20% - Accent5 2 2 3 4" xfId="7698" xr:uid="{7F15FA2A-56E8-40AE-9327-C10562DA9AA1}"/>
    <cellStyle name="20% - Accent5 2 2 4" xfId="841" xr:uid="{68ECFDFE-B401-468B-8698-9EC2C301BD43}"/>
    <cellStyle name="20% - Accent5 2 2 4 2" xfId="4631" xr:uid="{727DDF17-F199-44C7-A347-30EE6CB819EB}"/>
    <cellStyle name="20% - Accent5 2 2 4 2 2" xfId="10077" xr:uid="{F1AEED58-283D-4961-B040-1B0A4815B69E}"/>
    <cellStyle name="20% - Accent5 2 2 4 3" xfId="7700" xr:uid="{D3096E7B-BE7F-4B02-99E8-4A1CA6534423}"/>
    <cellStyle name="20% - Accent5 2 2 5" xfId="4624" xr:uid="{CFED1269-8401-4BB1-A73A-5F1774D28F20}"/>
    <cellStyle name="20% - Accent5 2 2 5 2" xfId="10070" xr:uid="{DD732EE6-0E44-4D1A-B62B-54544BDF7433}"/>
    <cellStyle name="20% - Accent5 2 2 6" xfId="7693" xr:uid="{1D2AD5B0-0548-429F-93F5-4CFA91B25E46}"/>
    <cellStyle name="20% - Accent5 2 3" xfId="842" xr:uid="{8D23250A-C892-42A9-8BDD-3A94E37AE700}"/>
    <cellStyle name="20% - Accent5 2 3 2" xfId="843" xr:uid="{1CC4D6DF-014A-4D2C-834F-8785A69FDE12}"/>
    <cellStyle name="20% - Accent5 2 3 2 2" xfId="844" xr:uid="{0F870864-FA4E-43CB-8C5A-1CB4990A5368}"/>
    <cellStyle name="20% - Accent5 2 3 2 2 2" xfId="845" xr:uid="{3ABC2DD2-ECF9-43F5-A73B-31081C98ACA9}"/>
    <cellStyle name="20% - Accent5 2 3 2 2 2 2" xfId="4635" xr:uid="{8DF37771-E532-42CF-A130-B3BDFC2880C5}"/>
    <cellStyle name="20% - Accent5 2 3 2 2 2 2 2" xfId="10081" xr:uid="{4E418333-CF68-4A6E-9EF7-8FD4A6EB78EA}"/>
    <cellStyle name="20% - Accent5 2 3 2 2 2 3" xfId="7704" xr:uid="{EF62E60C-D97A-4A7F-9402-042D921921DF}"/>
    <cellStyle name="20% - Accent5 2 3 2 2 3" xfId="4634" xr:uid="{4C2B41FA-E5FA-4475-A14C-B10B4FED524B}"/>
    <cellStyle name="20% - Accent5 2 3 2 2 3 2" xfId="10080" xr:uid="{7477E963-D0D8-472F-9CF0-9BECFB4BC09C}"/>
    <cellStyle name="20% - Accent5 2 3 2 2 4" xfId="7703" xr:uid="{5CE471A7-10F4-4E31-BC61-AA29DBF1B441}"/>
    <cellStyle name="20% - Accent5 2 3 2 3" xfId="846" xr:uid="{6C7B5050-DC1A-466E-9797-46117B3AABA4}"/>
    <cellStyle name="20% - Accent5 2 3 2 3 2" xfId="4636" xr:uid="{1C9F79D2-2D49-4DAA-8C32-DDBE3C624CFD}"/>
    <cellStyle name="20% - Accent5 2 3 2 3 2 2" xfId="10082" xr:uid="{4466CBCD-FE6F-454A-9AE4-7126DF20227B}"/>
    <cellStyle name="20% - Accent5 2 3 2 3 3" xfId="7705" xr:uid="{EBFCE270-F17C-4D0E-8F64-885B7A149580}"/>
    <cellStyle name="20% - Accent5 2 3 2 4" xfId="4633" xr:uid="{4083ADDC-6FFA-4D65-BB1A-123DE6C914F0}"/>
    <cellStyle name="20% - Accent5 2 3 2 4 2" xfId="10079" xr:uid="{FFEEF8C2-C8B5-4CAE-B58C-9123015DFC70}"/>
    <cellStyle name="20% - Accent5 2 3 2 5" xfId="7702" xr:uid="{CFF1176F-EBB3-45DB-A802-EA9DEBDEBC68}"/>
    <cellStyle name="20% - Accent5 2 3 3" xfId="847" xr:uid="{F5E39F03-41B8-44D3-8FD9-BA1911864D91}"/>
    <cellStyle name="20% - Accent5 2 3 3 2" xfId="848" xr:uid="{1E949A5A-AA5B-4C7A-AE8E-A5A1CD61B6D8}"/>
    <cellStyle name="20% - Accent5 2 3 3 2 2" xfId="4638" xr:uid="{49A80F7D-792D-4E3F-8237-B98E9BCC6FC2}"/>
    <cellStyle name="20% - Accent5 2 3 3 2 2 2" xfId="10084" xr:uid="{B2393CFC-CAF8-43D7-B638-E89801636E2A}"/>
    <cellStyle name="20% - Accent5 2 3 3 2 3" xfId="7707" xr:uid="{7CEEF81C-FCD5-40CE-A215-47AC1F6B9B37}"/>
    <cellStyle name="20% - Accent5 2 3 3 3" xfId="4637" xr:uid="{D14382B7-489E-4E5F-B70B-6B1B251C7D80}"/>
    <cellStyle name="20% - Accent5 2 3 3 3 2" xfId="10083" xr:uid="{013850AD-E80D-44B0-A345-AC3E902DF8DC}"/>
    <cellStyle name="20% - Accent5 2 3 3 4" xfId="7706" xr:uid="{C2923541-7875-4F32-8D84-079AC0D23E69}"/>
    <cellStyle name="20% - Accent5 2 3 4" xfId="849" xr:uid="{6C83EA51-A68A-45DD-82DE-5E0EA3223AAA}"/>
    <cellStyle name="20% - Accent5 2 3 4 2" xfId="4639" xr:uid="{F5FFBA21-CCFA-4F22-8836-B0E72952569A}"/>
    <cellStyle name="20% - Accent5 2 3 4 2 2" xfId="10085" xr:uid="{40AA1E99-ABFD-4109-B2EE-728E89354533}"/>
    <cellStyle name="20% - Accent5 2 3 4 3" xfId="7708" xr:uid="{0139CD92-8B30-4390-BB97-15CE1F84A58C}"/>
    <cellStyle name="20% - Accent5 2 3 5" xfId="3377" xr:uid="{AE7C2C0C-FB6B-465E-AD9D-D10D55E3DFC9}"/>
    <cellStyle name="20% - Accent5 2 3 5 2" xfId="5866" xr:uid="{25FEA761-E7E3-4DF3-99EE-0E99EA9ABC17}"/>
    <cellStyle name="20% - Accent5 2 3 5 2 2" xfId="11308" xr:uid="{F3E88DB4-8AAB-4C4F-9E6B-0BD40F5C0C21}"/>
    <cellStyle name="20% - Accent5 2 3 5 3" xfId="8924" xr:uid="{C05D5CB7-0819-494B-819B-3A7A6DA97040}"/>
    <cellStyle name="20% - Accent5 2 3 6" xfId="2072" xr:uid="{0D8164E6-ABE1-443E-B311-99A3702138B4}"/>
    <cellStyle name="20% - Accent5 2 3 7" xfId="4632" xr:uid="{C57FB9B6-333B-4798-99C3-E3D6AB90DEB2}"/>
    <cellStyle name="20% - Accent5 2 3 7 2" xfId="10078" xr:uid="{7F852A4A-E6BA-428B-B93B-2CAA698F775E}"/>
    <cellStyle name="20% - Accent5 2 3 8" xfId="7701" xr:uid="{4DF23798-CDCA-46A2-AC65-DA07BCE039F3}"/>
    <cellStyle name="20% - Accent5 2 4" xfId="850" xr:uid="{682D4C5A-D3D5-4CB8-92C6-80240F1A02A3}"/>
    <cellStyle name="20% - Accent5 2 4 2" xfId="851" xr:uid="{5DBF08DC-C01D-4E9F-AADD-9EA34547CF8C}"/>
    <cellStyle name="20% - Accent5 2 4 2 2" xfId="852" xr:uid="{E5210376-7540-4DD0-A0DC-93C2E5E58FF6}"/>
    <cellStyle name="20% - Accent5 2 4 2 2 2" xfId="4642" xr:uid="{02C70B3D-88C2-495D-AF32-443C371C8D3C}"/>
    <cellStyle name="20% - Accent5 2 4 2 2 2 2" xfId="10088" xr:uid="{05C24D4C-C3B9-4727-9668-9196EA4080BF}"/>
    <cellStyle name="20% - Accent5 2 4 2 2 3" xfId="7711" xr:uid="{5ACF9DBD-D82A-4AF2-9147-B539ACF5D916}"/>
    <cellStyle name="20% - Accent5 2 4 2 3" xfId="4641" xr:uid="{25AA71E0-2BB7-4837-A47F-CFEDF74EC572}"/>
    <cellStyle name="20% - Accent5 2 4 2 3 2" xfId="10087" xr:uid="{A2864550-B66A-45D7-9C8D-62EDBBEAC8F7}"/>
    <cellStyle name="20% - Accent5 2 4 2 4" xfId="7710" xr:uid="{BE4EF9DC-4D35-4A44-B67F-4FBBBA5610F2}"/>
    <cellStyle name="20% - Accent5 2 4 3" xfId="853" xr:uid="{1E2E6C22-29DE-44B2-B171-429E6C4C2FD1}"/>
    <cellStyle name="20% - Accent5 2 4 3 2" xfId="4643" xr:uid="{451C7D84-B250-4B1C-A74A-3A31E418D0C4}"/>
    <cellStyle name="20% - Accent5 2 4 3 2 2" xfId="10089" xr:uid="{3FC3F53C-8864-43F6-AB55-522BFCFC997C}"/>
    <cellStyle name="20% - Accent5 2 4 3 3" xfId="7712" xr:uid="{140520EE-E1CB-4DCB-AD84-5A86CAFB91C5}"/>
    <cellStyle name="20% - Accent5 2 4 4" xfId="3378" xr:uid="{D046C424-6014-46A4-8E79-D822718C3364}"/>
    <cellStyle name="20% - Accent5 2 4 4 2" xfId="5867" xr:uid="{D4E855BB-FDF7-435D-A121-B48ACD6A835D}"/>
    <cellStyle name="20% - Accent5 2 4 4 2 2" xfId="11309" xr:uid="{829C48A6-F70A-4D6A-A2F0-02737B242D6C}"/>
    <cellStyle name="20% - Accent5 2 4 4 3" xfId="8925" xr:uid="{9D3DC86A-FDB7-4BF9-B688-774092634528}"/>
    <cellStyle name="20% - Accent5 2 4 5" xfId="2071" xr:uid="{44F625C2-A8CA-45F8-8434-E36792739AD9}"/>
    <cellStyle name="20% - Accent5 2 4 6" xfId="4640" xr:uid="{E94F95AC-4B02-4683-B300-90474B40DFD6}"/>
    <cellStyle name="20% - Accent5 2 4 6 2" xfId="10086" xr:uid="{BC3F15F0-5C8B-4BDC-9054-8912CAAEEA40}"/>
    <cellStyle name="20% - Accent5 2 4 7" xfId="7709" xr:uid="{2AFB08EF-F840-45F2-B2A3-F4AEA34DB1A3}"/>
    <cellStyle name="20% - Accent5 2 5" xfId="854" xr:uid="{5934857A-0BEC-41A0-BB5A-CC24DE6526C1}"/>
    <cellStyle name="20% - Accent5 2 5 2" xfId="855" xr:uid="{B983B940-EF54-4FF7-9767-DAB097B51672}"/>
    <cellStyle name="20% - Accent5 2 5 2 2" xfId="4645" xr:uid="{ED643CD7-226D-4719-B0DE-6FBF0049EE49}"/>
    <cellStyle name="20% - Accent5 2 5 2 2 2" xfId="10091" xr:uid="{8F0F9B19-E616-49D3-9752-B09FB04858F3}"/>
    <cellStyle name="20% - Accent5 2 5 2 3" xfId="7714" xr:uid="{CF9F2CA7-7E1E-47CC-A17F-2AEA0FBFBF48}"/>
    <cellStyle name="20% - Accent5 2 5 3" xfId="4644" xr:uid="{7D3F2509-F1A8-4A4F-9DCD-CA598C623721}"/>
    <cellStyle name="20% - Accent5 2 5 3 2" xfId="10090" xr:uid="{0221AD17-0534-4B42-89E6-BD14F0BD909F}"/>
    <cellStyle name="20% - Accent5 2 5 4" xfId="7713" xr:uid="{F954A39A-4EA3-4709-8E65-A18265AD8546}"/>
    <cellStyle name="20% - Accent5 2 6" xfId="856" xr:uid="{14DB6889-03D4-469D-9057-DDC2A4A1445C}"/>
    <cellStyle name="20% - Accent5 2 6 2" xfId="4646" xr:uid="{A7DE01BF-6F0A-488D-AB2E-0640D636D0E7}"/>
    <cellStyle name="20% - Accent5 2 6 2 2" xfId="10092" xr:uid="{E47736E8-94CC-4033-B70F-67BB9FBB2412}"/>
    <cellStyle name="20% - Accent5 2 6 3" xfId="7715" xr:uid="{333C895A-BCAE-49A9-B18E-258A1C3670CD}"/>
    <cellStyle name="20% - Accent5 2 7" xfId="857" xr:uid="{B70E3C66-3FD4-4C5E-ACA4-C95F85B9CEF8}"/>
    <cellStyle name="20% - Accent5 2 8" xfId="4623" xr:uid="{E0CBB1A6-81CD-4192-A13C-F420AD60B5E5}"/>
    <cellStyle name="20% - Accent5 2 8 2" xfId="10069" xr:uid="{F54BFF95-2EF5-4536-A0F2-0D29E18516F4}"/>
    <cellStyle name="20% - Accent5 2 9" xfId="7692" xr:uid="{3FF82E68-E88F-46AC-B558-E5086E50C89F}"/>
    <cellStyle name="20% - Accent5 3" xfId="858" xr:uid="{F7A6A1DD-E53A-4D5D-A1F8-DD75A4513CBF}"/>
    <cellStyle name="20% - Accent5 3 2" xfId="859" xr:uid="{56699D8A-684B-4461-86F3-5B05F9EB2A33}"/>
    <cellStyle name="20% - Accent5 3 2 2" xfId="860" xr:uid="{2C90059E-6E13-4A43-829B-99310DDF138E}"/>
    <cellStyle name="20% - Accent5 3 2 2 2" xfId="861" xr:uid="{5383687D-3DFB-4553-9ED5-9CE425E85846}"/>
    <cellStyle name="20% - Accent5 3 2 2 2 2" xfId="862" xr:uid="{53D0995B-334D-44E3-B830-606C095A2D64}"/>
    <cellStyle name="20% - Accent5 3 2 2 2 2 2" xfId="4651" xr:uid="{49957DBB-428C-4E1B-9891-30946FB7470D}"/>
    <cellStyle name="20% - Accent5 3 2 2 2 2 2 2" xfId="10097" xr:uid="{41DAB3DC-3079-4F1F-BD2D-C54474E307E4}"/>
    <cellStyle name="20% - Accent5 3 2 2 2 2 3" xfId="7720" xr:uid="{D1C328F3-FE34-4428-B8F4-25FC8D66F0F8}"/>
    <cellStyle name="20% - Accent5 3 2 2 2 3" xfId="4650" xr:uid="{EF7D021C-F800-4271-ADA6-495CE6678E20}"/>
    <cellStyle name="20% - Accent5 3 2 2 2 3 2" xfId="10096" xr:uid="{41B53718-A89C-458C-B5FB-0B9D39C3232D}"/>
    <cellStyle name="20% - Accent5 3 2 2 2 4" xfId="7719" xr:uid="{2D89E0EA-6403-45C7-8D76-5E7EACECE5C6}"/>
    <cellStyle name="20% - Accent5 3 2 2 3" xfId="863" xr:uid="{4486663C-B219-4AE2-A963-05C13BFBDFE3}"/>
    <cellStyle name="20% - Accent5 3 2 2 3 2" xfId="4652" xr:uid="{8957CED3-8892-4DBB-9F0E-281CE2493FA1}"/>
    <cellStyle name="20% - Accent5 3 2 2 3 2 2" xfId="10098" xr:uid="{12E42780-5D0C-405E-BBDE-CF441322D465}"/>
    <cellStyle name="20% - Accent5 3 2 2 3 3" xfId="7721" xr:uid="{0AE006F2-5FB3-4775-9E5E-13D62709B94C}"/>
    <cellStyle name="20% - Accent5 3 2 2 4" xfId="4649" xr:uid="{B5572CF4-4817-4944-8CCE-88AA112007C7}"/>
    <cellStyle name="20% - Accent5 3 2 2 4 2" xfId="10095" xr:uid="{ACF4BB5F-EC0C-4D71-B175-4C53074D5610}"/>
    <cellStyle name="20% - Accent5 3 2 2 5" xfId="7718" xr:uid="{395A8375-EF04-4A43-8629-2BEDF4727659}"/>
    <cellStyle name="20% - Accent5 3 2 3" xfId="864" xr:uid="{1F45A276-60D2-42E3-A223-30FE9F88DC55}"/>
    <cellStyle name="20% - Accent5 3 2 3 2" xfId="865" xr:uid="{35E9F185-A331-43BA-A5DA-E6659FC0A6B4}"/>
    <cellStyle name="20% - Accent5 3 2 3 2 2" xfId="4654" xr:uid="{0C551443-88A6-417A-AEFA-9C8992438982}"/>
    <cellStyle name="20% - Accent5 3 2 3 2 2 2" xfId="10100" xr:uid="{092A3337-B181-4114-99BA-4EED1CC52A85}"/>
    <cellStyle name="20% - Accent5 3 2 3 2 3" xfId="7723" xr:uid="{BA2B597B-1635-47F7-B346-8EF10A5BCBEA}"/>
    <cellStyle name="20% - Accent5 3 2 3 3" xfId="4653" xr:uid="{BA969C33-157F-4701-86E8-281AF9C55D82}"/>
    <cellStyle name="20% - Accent5 3 2 3 3 2" xfId="10099" xr:uid="{B8092795-1697-4D07-861B-DFF8FB28FA3D}"/>
    <cellStyle name="20% - Accent5 3 2 3 4" xfId="7722" xr:uid="{3F7EDE0A-43C2-4DBB-B604-83019C9B852C}"/>
    <cellStyle name="20% - Accent5 3 2 4" xfId="866" xr:uid="{63CF3580-5E14-4B8D-86AC-48ECCD96AA3A}"/>
    <cellStyle name="20% - Accent5 3 2 4 2" xfId="4655" xr:uid="{98E3DD46-5F8B-45E5-9508-9AFC26C398B5}"/>
    <cellStyle name="20% - Accent5 3 2 4 2 2" xfId="10101" xr:uid="{74DAC308-EDBA-4CBB-8434-D19AE9AFB5E3}"/>
    <cellStyle name="20% - Accent5 3 2 4 3" xfId="7724" xr:uid="{E2435CC8-8786-435D-B139-B0AE723CC958}"/>
    <cellStyle name="20% - Accent5 3 2 5" xfId="3379" xr:uid="{1C279594-9249-4707-85A3-87BD523D620F}"/>
    <cellStyle name="20% - Accent5 3 2 5 2" xfId="5868" xr:uid="{6EFFE522-F58E-4387-8527-450C24848E62}"/>
    <cellStyle name="20% - Accent5 3 2 5 2 2" xfId="11310" xr:uid="{5151269F-C2E0-4973-A05B-31959EBE4CEA}"/>
    <cellStyle name="20% - Accent5 3 2 5 3" xfId="8926" xr:uid="{02B8F300-649B-4110-864F-C9254206084C}"/>
    <cellStyle name="20% - Accent5 3 2 6" xfId="2073" xr:uid="{A934E61D-A6FB-4A82-97DC-3F52A1D3C528}"/>
    <cellStyle name="20% - Accent5 3 2 7" xfId="4648" xr:uid="{16865904-F39D-4BB0-8DAE-06619935C8B7}"/>
    <cellStyle name="20% - Accent5 3 2 7 2" xfId="10094" xr:uid="{6B403831-B396-4497-8987-47C2D1A4E5BE}"/>
    <cellStyle name="20% - Accent5 3 2 8" xfId="7717" xr:uid="{5DFC773F-8E38-48BC-8082-4C0AFCDCC344}"/>
    <cellStyle name="20% - Accent5 3 3" xfId="867" xr:uid="{353C26A3-8000-42F8-A262-4674026F0CCE}"/>
    <cellStyle name="20% - Accent5 3 3 2" xfId="868" xr:uid="{F29017A7-8DC8-4618-A8DD-E13E8FD88FB6}"/>
    <cellStyle name="20% - Accent5 3 3 2 2" xfId="869" xr:uid="{71F746C4-C6EA-4CE9-BB97-D65B2F049392}"/>
    <cellStyle name="20% - Accent5 3 3 2 2 2" xfId="870" xr:uid="{F5AF7A3C-8530-44CD-812D-2D3223A8CFC4}"/>
    <cellStyle name="20% - Accent5 3 3 2 2 2 2" xfId="4659" xr:uid="{6CB2C66C-9178-40A3-98D9-9CA674C54248}"/>
    <cellStyle name="20% - Accent5 3 3 2 2 2 2 2" xfId="10105" xr:uid="{703AB393-1B87-4AE2-BDEB-2C09A4D89161}"/>
    <cellStyle name="20% - Accent5 3 3 2 2 2 3" xfId="7728" xr:uid="{B5469D2C-29DC-410E-9A70-D7DDE0E30AD6}"/>
    <cellStyle name="20% - Accent5 3 3 2 2 3" xfId="4658" xr:uid="{6A0BA3E8-3949-4620-8225-153A27622352}"/>
    <cellStyle name="20% - Accent5 3 3 2 2 3 2" xfId="10104" xr:uid="{C8E2C99F-FAE3-4085-9FE3-7EB40C01D737}"/>
    <cellStyle name="20% - Accent5 3 3 2 2 4" xfId="7727" xr:uid="{4599EF04-3F53-446E-9661-69D9C0EC4363}"/>
    <cellStyle name="20% - Accent5 3 3 2 3" xfId="871" xr:uid="{345C5362-349A-4F77-B256-C771B422308D}"/>
    <cellStyle name="20% - Accent5 3 3 2 3 2" xfId="4660" xr:uid="{7BEE2BD6-1768-4DA5-B03B-0AACA5FF0652}"/>
    <cellStyle name="20% - Accent5 3 3 2 3 2 2" xfId="10106" xr:uid="{5169EA8A-F06D-478B-B089-D1D226076882}"/>
    <cellStyle name="20% - Accent5 3 3 2 3 3" xfId="7729" xr:uid="{7846230E-E68F-442A-9EA3-228CA229F48E}"/>
    <cellStyle name="20% - Accent5 3 3 2 4" xfId="4657" xr:uid="{82317B71-366D-4748-BE2D-CF9B1E50E4E4}"/>
    <cellStyle name="20% - Accent5 3 3 2 4 2" xfId="10103" xr:uid="{6FC368BC-4C93-415F-AA7C-15B88899374C}"/>
    <cellStyle name="20% - Accent5 3 3 2 5" xfId="7726" xr:uid="{E9CE0BCD-59EB-43F0-9468-324F31EFB857}"/>
    <cellStyle name="20% - Accent5 3 3 3" xfId="872" xr:uid="{5176F541-D89F-4EFF-BC29-8524EA6A87D4}"/>
    <cellStyle name="20% - Accent5 3 3 3 2" xfId="873" xr:uid="{89D9513B-54EC-408C-B0D6-1BCC43EF10AD}"/>
    <cellStyle name="20% - Accent5 3 3 3 2 2" xfId="4662" xr:uid="{AFCCFEDB-9E73-4702-8248-423245751937}"/>
    <cellStyle name="20% - Accent5 3 3 3 2 2 2" xfId="10108" xr:uid="{006686A5-D06D-42ED-8C83-8B50E9CA90C9}"/>
    <cellStyle name="20% - Accent5 3 3 3 2 3" xfId="7731" xr:uid="{79E0CCBF-E99F-4924-AB08-4C0E2F130583}"/>
    <cellStyle name="20% - Accent5 3 3 3 3" xfId="4661" xr:uid="{7EF7062D-6E99-4D34-8B44-5C8F1D2F04E8}"/>
    <cellStyle name="20% - Accent5 3 3 3 3 2" xfId="10107" xr:uid="{03B020A9-1D12-4623-9B0C-58D4A2D0204E}"/>
    <cellStyle name="20% - Accent5 3 3 3 4" xfId="7730" xr:uid="{D2500E46-9F8E-4C7D-AB5B-71343B2BEBAD}"/>
    <cellStyle name="20% - Accent5 3 3 4" xfId="874" xr:uid="{37AE9221-2115-4EAA-8D7E-925D59462B65}"/>
    <cellStyle name="20% - Accent5 3 3 4 2" xfId="4663" xr:uid="{17F5CFC2-9212-4B53-8D92-3A34E195C63D}"/>
    <cellStyle name="20% - Accent5 3 3 4 2 2" xfId="10109" xr:uid="{0837C502-8D0E-4400-A5E4-F535DCA44B9B}"/>
    <cellStyle name="20% - Accent5 3 3 4 3" xfId="7732" xr:uid="{E6BDE248-F7EA-4B47-941B-9D26F8C7D646}"/>
    <cellStyle name="20% - Accent5 3 3 5" xfId="4656" xr:uid="{5B7C43B2-B791-425C-A9F0-70EC974C614B}"/>
    <cellStyle name="20% - Accent5 3 3 5 2" xfId="10102" xr:uid="{20772D7F-2423-46B0-B39A-075E7C1F7292}"/>
    <cellStyle name="20% - Accent5 3 3 6" xfId="7725" xr:uid="{DC12BE99-D7C1-49FC-A753-D2F554A5CAB6}"/>
    <cellStyle name="20% - Accent5 3 4" xfId="875" xr:uid="{4EEDEE80-6744-4E96-80C6-36CC8B54DD79}"/>
    <cellStyle name="20% - Accent5 3 4 2" xfId="876" xr:uid="{C2463D53-674A-4156-8577-DE882B0D345A}"/>
    <cellStyle name="20% - Accent5 3 4 2 2" xfId="877" xr:uid="{1CF39E15-C457-4B39-BD2C-DEA0800ADF77}"/>
    <cellStyle name="20% - Accent5 3 4 2 2 2" xfId="4666" xr:uid="{0CDD7EDF-C365-4AE2-8948-1CA3614760D1}"/>
    <cellStyle name="20% - Accent5 3 4 2 2 2 2" xfId="10112" xr:uid="{FE68B702-74D3-41C5-A958-39C7A1EC0E0E}"/>
    <cellStyle name="20% - Accent5 3 4 2 2 3" xfId="7735" xr:uid="{02AD6373-36A5-418A-8E2D-3E4E0E5ECAE5}"/>
    <cellStyle name="20% - Accent5 3 4 2 3" xfId="4665" xr:uid="{9D7937F0-FA5C-4BAB-9E5B-EEB3DDEAFB4D}"/>
    <cellStyle name="20% - Accent5 3 4 2 3 2" xfId="10111" xr:uid="{F59A9326-5798-4F34-8ACF-4E9EC87EDC33}"/>
    <cellStyle name="20% - Accent5 3 4 2 4" xfId="7734" xr:uid="{44BA76E0-9D91-45B3-89DE-874E8802DDD2}"/>
    <cellStyle name="20% - Accent5 3 4 3" xfId="878" xr:uid="{3ADD9A42-6BEB-459C-BCB0-EF17B41F1A94}"/>
    <cellStyle name="20% - Accent5 3 4 3 2" xfId="4667" xr:uid="{B20BCF53-777D-4978-9655-223BC1B08F33}"/>
    <cellStyle name="20% - Accent5 3 4 3 2 2" xfId="10113" xr:uid="{2E5BA992-05F0-4108-BF2C-ED30E0B24969}"/>
    <cellStyle name="20% - Accent5 3 4 3 3" xfId="7736" xr:uid="{9ABDED22-6E98-4BDB-AA51-D58BF4804C00}"/>
    <cellStyle name="20% - Accent5 3 4 4" xfId="4664" xr:uid="{62CF1D3F-7601-412D-B915-59B6D5C3F113}"/>
    <cellStyle name="20% - Accent5 3 4 4 2" xfId="10110" xr:uid="{A26B1CBB-72E5-479F-B83C-A2CCBD5F89F2}"/>
    <cellStyle name="20% - Accent5 3 4 5" xfId="7733" xr:uid="{5303735E-9D2D-4448-993A-A5AF4E571F4C}"/>
    <cellStyle name="20% - Accent5 3 5" xfId="879" xr:uid="{FBB4FD0C-C684-4566-8328-EAB82C03B473}"/>
    <cellStyle name="20% - Accent5 3 5 2" xfId="880" xr:uid="{6A20420D-D0FB-49DD-B2E0-2EAF5A4705FE}"/>
    <cellStyle name="20% - Accent5 3 5 2 2" xfId="4669" xr:uid="{09499B97-1F17-4BFA-A3F1-FF55194C2B72}"/>
    <cellStyle name="20% - Accent5 3 5 2 2 2" xfId="10115" xr:uid="{E047AA7B-90B2-456E-8938-E23C5E39565D}"/>
    <cellStyle name="20% - Accent5 3 5 2 3" xfId="7738" xr:uid="{1986CA3B-7393-42C2-AFA3-63EA54EF8849}"/>
    <cellStyle name="20% - Accent5 3 5 3" xfId="4668" xr:uid="{1F39C43D-86AD-4B23-A23D-C035904A6097}"/>
    <cellStyle name="20% - Accent5 3 5 3 2" xfId="10114" xr:uid="{81662918-706F-402D-8F58-A6C2FA8EBF56}"/>
    <cellStyle name="20% - Accent5 3 5 4" xfId="7737" xr:uid="{AF89AB30-85F4-4C2D-B3A9-181B9BDDAADF}"/>
    <cellStyle name="20% - Accent5 3 6" xfId="881" xr:uid="{40FCD7A6-14BF-4918-9B49-48E4AEFD8189}"/>
    <cellStyle name="20% - Accent5 3 6 2" xfId="4670" xr:uid="{54929FA3-7535-43D9-BBAC-10AF0B755D71}"/>
    <cellStyle name="20% - Accent5 3 6 2 2" xfId="10116" xr:uid="{2037FE0C-08DC-4FA3-9058-5DDD578C3DFE}"/>
    <cellStyle name="20% - Accent5 3 6 3" xfId="7739" xr:uid="{7FDC33ED-003B-41AC-A9C1-092B653B8761}"/>
    <cellStyle name="20% - Accent5 3 7" xfId="4647" xr:uid="{6DA6978B-C151-4D21-B2AC-AAEA34C5F6F0}"/>
    <cellStyle name="20% - Accent5 3 7 2" xfId="10093" xr:uid="{A49A4D98-41D5-41C3-AB38-279C94F2DFF5}"/>
    <cellStyle name="20% - Accent5 3 8" xfId="7716" xr:uid="{7D021617-480F-4680-893E-CCA18398AE04}"/>
    <cellStyle name="20% - Accent5 4" xfId="882" xr:uid="{B5E304CF-9F50-4DC7-B856-B086F88E9BC3}"/>
    <cellStyle name="20% - Accent5 4 2" xfId="883" xr:uid="{846D87AA-1D73-48C6-9AD9-1E9CA4CF12C0}"/>
    <cellStyle name="20% - Accent5 4 2 2" xfId="884" xr:uid="{714D5CFD-13B9-4D66-8350-AC11578039EB}"/>
    <cellStyle name="20% - Accent5 4 2 2 2" xfId="885" xr:uid="{8F0594BF-F943-46FA-AA22-F63C69055717}"/>
    <cellStyle name="20% - Accent5 4 2 2 2 2" xfId="886" xr:uid="{9C20794C-B146-4B38-9A7C-154CDC3D84F7}"/>
    <cellStyle name="20% - Accent5 4 2 2 2 2 2" xfId="4675" xr:uid="{BE847490-0261-4650-A9E4-9435F1E9DF1D}"/>
    <cellStyle name="20% - Accent5 4 2 2 2 2 2 2" xfId="10121" xr:uid="{2894B24F-7FAD-4D85-AC7D-C50C79D5F079}"/>
    <cellStyle name="20% - Accent5 4 2 2 2 2 3" xfId="7744" xr:uid="{DDBCA844-DEB1-458A-8214-576562EFB748}"/>
    <cellStyle name="20% - Accent5 4 2 2 2 3" xfId="4674" xr:uid="{F31CE0DA-F278-41CC-BCAF-E86A3F964739}"/>
    <cellStyle name="20% - Accent5 4 2 2 2 3 2" xfId="10120" xr:uid="{CAABC871-CAEB-466A-B737-18F98D22C666}"/>
    <cellStyle name="20% - Accent5 4 2 2 2 4" xfId="7743" xr:uid="{5D3E6078-3103-44DD-98AF-A586697F6731}"/>
    <cellStyle name="20% - Accent5 4 2 2 3" xfId="887" xr:uid="{7E76957E-D485-4F31-B72E-B817AA6BB9A5}"/>
    <cellStyle name="20% - Accent5 4 2 2 3 2" xfId="4676" xr:uid="{9928EDA4-C345-43E7-82AD-C6690E37ED9D}"/>
    <cellStyle name="20% - Accent5 4 2 2 3 2 2" xfId="10122" xr:uid="{FC43D509-1F4C-4ABC-8B86-121B4CBDC26D}"/>
    <cellStyle name="20% - Accent5 4 2 2 3 3" xfId="7745" xr:uid="{56EB6945-5C3D-4405-90EC-08C269FADD47}"/>
    <cellStyle name="20% - Accent5 4 2 2 4" xfId="4673" xr:uid="{77326F8E-130C-40D9-9464-F783103089D5}"/>
    <cellStyle name="20% - Accent5 4 2 2 4 2" xfId="10119" xr:uid="{4DDA8554-C41A-423F-BE72-407135C97D10}"/>
    <cellStyle name="20% - Accent5 4 2 2 5" xfId="7742" xr:uid="{0B47083D-AF91-49DA-8757-439DB4526596}"/>
    <cellStyle name="20% - Accent5 4 2 3" xfId="888" xr:uid="{6DE778A2-1EAD-438F-A958-BCCF1A93713C}"/>
    <cellStyle name="20% - Accent5 4 2 3 2" xfId="889" xr:uid="{116F4F00-C400-4423-9046-95AF22AC8657}"/>
    <cellStyle name="20% - Accent5 4 2 3 2 2" xfId="4678" xr:uid="{BF28D002-E78F-4916-9091-34FE2D2BA3E3}"/>
    <cellStyle name="20% - Accent5 4 2 3 2 2 2" xfId="10124" xr:uid="{8F3453A9-2230-442F-9A30-1FE530CAEBB6}"/>
    <cellStyle name="20% - Accent5 4 2 3 2 3" xfId="7747" xr:uid="{5229BD9C-3FC2-4677-8530-DAF37F8CD587}"/>
    <cellStyle name="20% - Accent5 4 2 3 3" xfId="4677" xr:uid="{472FACA8-056F-41DC-8116-55083EAD528C}"/>
    <cellStyle name="20% - Accent5 4 2 3 3 2" xfId="10123" xr:uid="{63FE9A02-0F85-4454-8A3C-53CFE490FAF8}"/>
    <cellStyle name="20% - Accent5 4 2 3 4" xfId="7746" xr:uid="{4F5789C1-EDD9-4885-B740-E9F21E5443A2}"/>
    <cellStyle name="20% - Accent5 4 2 4" xfId="890" xr:uid="{EB953C39-1B8B-4A9C-B8CF-6FB15FB8B9EE}"/>
    <cellStyle name="20% - Accent5 4 2 4 2" xfId="4679" xr:uid="{A13FB186-2FB9-46C0-991A-A158CF07F6EE}"/>
    <cellStyle name="20% - Accent5 4 2 4 2 2" xfId="10125" xr:uid="{9204ED02-4BFE-440D-92E6-25C075A8F447}"/>
    <cellStyle name="20% - Accent5 4 2 4 3" xfId="7748" xr:uid="{FFB0AE48-12E9-4D85-BC2E-C58DF97E87AA}"/>
    <cellStyle name="20% - Accent5 4 2 5" xfId="4672" xr:uid="{AF4AC250-A187-4246-99AA-B36C3A243A99}"/>
    <cellStyle name="20% - Accent5 4 2 5 2" xfId="10118" xr:uid="{A10A83EE-48DC-4ABD-8FE7-17BFF773DB3D}"/>
    <cellStyle name="20% - Accent5 4 2 6" xfId="7741" xr:uid="{38F79C2C-0018-44F6-B43B-96F19DC10EEE}"/>
    <cellStyle name="20% - Accent5 4 3" xfId="891" xr:uid="{7F4071BE-8CAE-4541-BC93-4E41264EE01F}"/>
    <cellStyle name="20% - Accent5 4 3 2" xfId="892" xr:uid="{C4CC4E04-245B-4CC0-84CA-C1BD6B15BD8C}"/>
    <cellStyle name="20% - Accent5 4 3 2 2" xfId="893" xr:uid="{24883BEB-9D28-41AD-BE40-A09ABCDC66EC}"/>
    <cellStyle name="20% - Accent5 4 3 2 2 2" xfId="894" xr:uid="{2B81D9DE-B33B-426C-AF54-6F22CD002AFC}"/>
    <cellStyle name="20% - Accent5 4 3 2 2 2 2" xfId="4683" xr:uid="{1AC74EF3-8F30-41C4-8EC6-25E56F05598A}"/>
    <cellStyle name="20% - Accent5 4 3 2 2 2 2 2" xfId="10129" xr:uid="{B449C374-507B-4721-BEDD-DBC353784730}"/>
    <cellStyle name="20% - Accent5 4 3 2 2 2 3" xfId="7752" xr:uid="{898F58B8-A5CD-457B-BC16-FAD61E8E477A}"/>
    <cellStyle name="20% - Accent5 4 3 2 2 3" xfId="4682" xr:uid="{DDBECF07-2E3E-4BE2-BEB0-DEF428329060}"/>
    <cellStyle name="20% - Accent5 4 3 2 2 3 2" xfId="10128" xr:uid="{A8A16296-31D6-458A-9454-52B0BB37E79E}"/>
    <cellStyle name="20% - Accent5 4 3 2 2 4" xfId="7751" xr:uid="{90AB0913-6DD3-4675-A7BF-42CBA0DFCADB}"/>
    <cellStyle name="20% - Accent5 4 3 2 3" xfId="895" xr:uid="{E652391D-8E72-49A4-B87D-DE69B75C7EEC}"/>
    <cellStyle name="20% - Accent5 4 3 2 3 2" xfId="4684" xr:uid="{4E81D03D-04A4-4B62-B4F0-6A4FA2506993}"/>
    <cellStyle name="20% - Accent5 4 3 2 3 2 2" xfId="10130" xr:uid="{310489F1-7424-4F7B-8BF4-2C3AE665DFEE}"/>
    <cellStyle name="20% - Accent5 4 3 2 3 3" xfId="7753" xr:uid="{545E0ED9-DCC1-4953-85FA-D0D8C597A9ED}"/>
    <cellStyle name="20% - Accent5 4 3 2 4" xfId="4681" xr:uid="{8FCB0B5D-5587-4BD7-9836-316C8D308ED6}"/>
    <cellStyle name="20% - Accent5 4 3 2 4 2" xfId="10127" xr:uid="{2D9967F8-BE75-426E-9493-BF83AAF04F5B}"/>
    <cellStyle name="20% - Accent5 4 3 2 5" xfId="7750" xr:uid="{FFDFC0E8-84BF-4F96-8652-1A52B6F516B5}"/>
    <cellStyle name="20% - Accent5 4 3 3" xfId="896" xr:uid="{4872550D-7692-45C8-8191-B2AD96635FF0}"/>
    <cellStyle name="20% - Accent5 4 3 3 2" xfId="897" xr:uid="{0D213916-0893-4E76-BBA1-2CD6178121B9}"/>
    <cellStyle name="20% - Accent5 4 3 3 2 2" xfId="4686" xr:uid="{58BD0690-D52A-4DB1-AD24-3675D5C4DEE1}"/>
    <cellStyle name="20% - Accent5 4 3 3 2 2 2" xfId="10132" xr:uid="{DF7678C0-316C-4DA2-9B58-4333E78FDF2C}"/>
    <cellStyle name="20% - Accent5 4 3 3 2 3" xfId="7755" xr:uid="{EC575D13-8DC7-4837-B14A-0599E5CB949F}"/>
    <cellStyle name="20% - Accent5 4 3 3 3" xfId="4685" xr:uid="{C908ADA3-BA92-4E03-8CB3-AE88A60162B2}"/>
    <cellStyle name="20% - Accent5 4 3 3 3 2" xfId="10131" xr:uid="{FC928C0A-BEA8-480F-A793-AEE32D661C3C}"/>
    <cellStyle name="20% - Accent5 4 3 3 4" xfId="7754" xr:uid="{DE3E83B8-E53F-4C7C-9183-FCDA4F852D49}"/>
    <cellStyle name="20% - Accent5 4 3 4" xfId="898" xr:uid="{587F77C8-79B7-4D39-9A60-66CC985CD4D5}"/>
    <cellStyle name="20% - Accent5 4 3 4 2" xfId="4687" xr:uid="{7B3B45ED-13EB-4F98-AC74-87F181CDD944}"/>
    <cellStyle name="20% - Accent5 4 3 4 2 2" xfId="10133" xr:uid="{26AD5371-211B-4DE0-BD1B-516C60B5B1B2}"/>
    <cellStyle name="20% - Accent5 4 3 4 3" xfId="7756" xr:uid="{F2C6112D-10CD-4457-8525-D379E06FF7AB}"/>
    <cellStyle name="20% - Accent5 4 3 5" xfId="4680" xr:uid="{62E6DFBC-1EE4-4932-B9FA-7500CE08E4AD}"/>
    <cellStyle name="20% - Accent5 4 3 5 2" xfId="10126" xr:uid="{88318A0A-5F56-4F7D-80B3-A08CB5C4D448}"/>
    <cellStyle name="20% - Accent5 4 3 6" xfId="7749" xr:uid="{AD582BA5-7C9E-4424-8CFC-BCEEF3708196}"/>
    <cellStyle name="20% - Accent5 4 4" xfId="899" xr:uid="{EB7F80FC-5277-4C9F-8E74-A81649A30E41}"/>
    <cellStyle name="20% - Accent5 4 4 2" xfId="900" xr:uid="{1AC6A571-F6DD-45F8-BF98-9D852B57107C}"/>
    <cellStyle name="20% - Accent5 4 4 2 2" xfId="901" xr:uid="{D7353BFE-A34B-4B11-9C32-8A4D8D50AA62}"/>
    <cellStyle name="20% - Accent5 4 4 2 2 2" xfId="4690" xr:uid="{E23EEEAF-C520-43F8-9FC5-682F79E610CB}"/>
    <cellStyle name="20% - Accent5 4 4 2 2 2 2" xfId="10136" xr:uid="{77B0E77D-DC59-4D56-B46E-C4A481F41390}"/>
    <cellStyle name="20% - Accent5 4 4 2 2 3" xfId="7759" xr:uid="{CC4B12B1-7753-4218-B060-2934D38B9EFE}"/>
    <cellStyle name="20% - Accent5 4 4 2 3" xfId="4689" xr:uid="{0B0422C3-69CD-4D21-AD4E-3D766C651F01}"/>
    <cellStyle name="20% - Accent5 4 4 2 3 2" xfId="10135" xr:uid="{37F4B81F-646F-417D-926F-3DE2B82FB14B}"/>
    <cellStyle name="20% - Accent5 4 4 2 4" xfId="7758" xr:uid="{C765421F-4796-4F8D-8193-CC20A43E9517}"/>
    <cellStyle name="20% - Accent5 4 4 3" xfId="902" xr:uid="{4918DB5D-3B3E-4773-B2EF-8836A4983A0B}"/>
    <cellStyle name="20% - Accent5 4 4 3 2" xfId="4691" xr:uid="{B0AE0B9E-A25B-494D-B9A8-F4D70DA8CECD}"/>
    <cellStyle name="20% - Accent5 4 4 3 2 2" xfId="10137" xr:uid="{EA889F4B-238E-479A-A1BD-BB2689CEE754}"/>
    <cellStyle name="20% - Accent5 4 4 3 3" xfId="7760" xr:uid="{0F42458F-2742-4D21-8A67-616B94242AC8}"/>
    <cellStyle name="20% - Accent5 4 4 4" xfId="4688" xr:uid="{83C4EC60-6DCE-4474-BBCA-09C8008CD69C}"/>
    <cellStyle name="20% - Accent5 4 4 4 2" xfId="10134" xr:uid="{5F9E44BC-63B4-4004-BB23-99EFF70BB8D6}"/>
    <cellStyle name="20% - Accent5 4 4 5" xfId="7757" xr:uid="{F8A81D64-8D05-4D2A-8E17-2141F8416230}"/>
    <cellStyle name="20% - Accent5 4 5" xfId="903" xr:uid="{27C915D3-B822-4CBA-AC8F-8FC01398DA0A}"/>
    <cellStyle name="20% - Accent5 4 5 2" xfId="904" xr:uid="{87F8B62B-396D-4D69-837F-A7E140992AAE}"/>
    <cellStyle name="20% - Accent5 4 5 2 2" xfId="4693" xr:uid="{2F669CC1-4DBD-4B6E-A5E2-EB55EC7B9C1F}"/>
    <cellStyle name="20% - Accent5 4 5 2 2 2" xfId="10139" xr:uid="{89DE5D79-D057-49F0-B872-4F7EC69636B6}"/>
    <cellStyle name="20% - Accent5 4 5 2 3" xfId="7762" xr:uid="{F3A2898F-DDF9-44B3-9F27-2BF7F53484B8}"/>
    <cellStyle name="20% - Accent5 4 5 3" xfId="4692" xr:uid="{F029C0BF-01C9-4ED9-B42F-10168FF26276}"/>
    <cellStyle name="20% - Accent5 4 5 3 2" xfId="10138" xr:uid="{F4CF82D4-644B-40D7-A1BC-F121EC1079AC}"/>
    <cellStyle name="20% - Accent5 4 5 4" xfId="7761" xr:uid="{4DBC3023-13F7-4F33-A185-3BD665ABD882}"/>
    <cellStyle name="20% - Accent5 4 6" xfId="905" xr:uid="{13378E40-BB76-469B-9732-B322D69520EE}"/>
    <cellStyle name="20% - Accent5 4 6 2" xfId="4694" xr:uid="{AA617454-B8D6-4F22-B1E5-C1EAD713FCB1}"/>
    <cellStyle name="20% - Accent5 4 6 2 2" xfId="10140" xr:uid="{47048044-640A-47D3-AC63-37C814DDD3B2}"/>
    <cellStyle name="20% - Accent5 4 6 3" xfId="7763" xr:uid="{FC7E3CD0-8389-4AA4-8398-B1678B2CD137}"/>
    <cellStyle name="20% - Accent5 4 7" xfId="4671" xr:uid="{587707BA-6B82-4BB3-B94D-2384106996C8}"/>
    <cellStyle name="20% - Accent5 4 7 2" xfId="10117" xr:uid="{F6A2A534-2490-4739-88EF-556A0A9246E2}"/>
    <cellStyle name="20% - Accent5 4 8" xfId="7740" xr:uid="{E7C504E7-DC79-42EE-B064-B32E5ADE11C5}"/>
    <cellStyle name="20% - Accent5 5" xfId="906" xr:uid="{82C78689-B026-4F73-905D-1079BB218A84}"/>
    <cellStyle name="20% - Accent5 5 2" xfId="907" xr:uid="{42BAD972-DF35-473E-8A3D-A3EBB4AFA92F}"/>
    <cellStyle name="20% - Accent5 5 2 2" xfId="908" xr:uid="{638307C6-1D93-4481-8961-D9C563E26B59}"/>
    <cellStyle name="20% - Accent5 5 2 2 2" xfId="909" xr:uid="{C42A70EA-2C16-42AB-BB07-0C214E9EB913}"/>
    <cellStyle name="20% - Accent5 5 2 2 2 2" xfId="4698" xr:uid="{1938D1FE-8F51-4F93-8256-EA1F39462771}"/>
    <cellStyle name="20% - Accent5 5 2 2 2 2 2" xfId="10144" xr:uid="{8640F76F-03FB-45D6-AF32-827F46F3E2F7}"/>
    <cellStyle name="20% - Accent5 5 2 2 2 3" xfId="7767" xr:uid="{44EFF3B1-D274-43EC-BDF8-9E76D70E4032}"/>
    <cellStyle name="20% - Accent5 5 2 2 3" xfId="4697" xr:uid="{D4741B65-2EBA-4582-90ED-87140E4EB9F9}"/>
    <cellStyle name="20% - Accent5 5 2 2 3 2" xfId="10143" xr:uid="{08DDC311-7571-403A-B330-E24DF4376CB0}"/>
    <cellStyle name="20% - Accent5 5 2 2 4" xfId="7766" xr:uid="{4DA39C33-DA60-426E-87AF-AC0BC5BC1C69}"/>
    <cellStyle name="20% - Accent5 5 2 3" xfId="910" xr:uid="{320F303E-C36A-449A-B126-D070D7102911}"/>
    <cellStyle name="20% - Accent5 5 2 3 2" xfId="4699" xr:uid="{8C9864C0-ED4D-4616-9095-378B813D935E}"/>
    <cellStyle name="20% - Accent5 5 2 3 2 2" xfId="10145" xr:uid="{C96D5123-25FD-437C-A071-148BDDDC5FA0}"/>
    <cellStyle name="20% - Accent5 5 2 3 3" xfId="7768" xr:uid="{9F97D39B-CDA0-4288-A46D-72D083F84278}"/>
    <cellStyle name="20% - Accent5 5 2 4" xfId="4696" xr:uid="{577576C7-6D42-4E54-8496-9F20651A0305}"/>
    <cellStyle name="20% - Accent5 5 2 4 2" xfId="10142" xr:uid="{F2E0FC3F-8D1F-4F45-B31B-F88587A020E4}"/>
    <cellStyle name="20% - Accent5 5 2 5" xfId="7765" xr:uid="{3BD6FE3A-9175-4AAE-8D42-A604A2240E11}"/>
    <cellStyle name="20% - Accent5 5 3" xfId="911" xr:uid="{CD515BD5-7131-4909-8E67-E97C1E30BB41}"/>
    <cellStyle name="20% - Accent5 5 3 2" xfId="912" xr:uid="{0BD93AF5-2880-4D7C-B83D-C11049BAC2D5}"/>
    <cellStyle name="20% - Accent5 5 3 2 2" xfId="4701" xr:uid="{9B1C8784-E0FD-4897-845B-AE29968F3DEE}"/>
    <cellStyle name="20% - Accent5 5 3 2 2 2" xfId="10147" xr:uid="{FFAE6EE6-9FC1-46B8-B1B0-34EB0307585E}"/>
    <cellStyle name="20% - Accent5 5 3 2 3" xfId="7770" xr:uid="{7F5E625B-A5DE-4B8C-9A40-9C6CABD17B50}"/>
    <cellStyle name="20% - Accent5 5 3 3" xfId="4700" xr:uid="{E173C740-07CD-4DF2-9462-157C5504D92B}"/>
    <cellStyle name="20% - Accent5 5 3 3 2" xfId="10146" xr:uid="{61CB1318-A3D9-4A41-A023-759740D623CB}"/>
    <cellStyle name="20% - Accent5 5 3 4" xfId="7769" xr:uid="{7AA37417-E040-441B-BEF2-D34954B30F51}"/>
    <cellStyle name="20% - Accent5 5 4" xfId="913" xr:uid="{DCBA0CA6-094C-4975-AD14-0D5B6EC87A94}"/>
    <cellStyle name="20% - Accent5 5 4 2" xfId="4702" xr:uid="{3EAEC947-0C5C-4D26-9AAC-B9FD1AAE14D8}"/>
    <cellStyle name="20% - Accent5 5 4 2 2" xfId="10148" xr:uid="{37C2F600-6402-47AD-B4FE-CED41EB85102}"/>
    <cellStyle name="20% - Accent5 5 4 3" xfId="7771" xr:uid="{D0F95190-100F-40BF-B461-C200B78FA652}"/>
    <cellStyle name="20% - Accent5 5 5" xfId="4695" xr:uid="{51D97A1E-7150-4B02-9652-B778D15AF388}"/>
    <cellStyle name="20% - Accent5 5 5 2" xfId="10141" xr:uid="{D1F7A5BD-6231-456A-B2AC-9F2561843D12}"/>
    <cellStyle name="20% - Accent5 5 6" xfId="7764" xr:uid="{331A8D1C-7D50-4C36-B767-B0E1411F4528}"/>
    <cellStyle name="20% - Accent5 6" xfId="914" xr:uid="{C99BD7BF-5EAF-4F72-86F7-26511B190F72}"/>
    <cellStyle name="20% - Accent5 6 2" xfId="915" xr:uid="{254C9ABA-3438-4205-AE97-79259DB97B8D}"/>
    <cellStyle name="20% - Accent5 6 2 2" xfId="916" xr:uid="{3DF437B0-82C0-4145-90E0-90D15ADB14F1}"/>
    <cellStyle name="20% - Accent5 6 2 2 2" xfId="917" xr:uid="{29D68410-8DC7-4630-A155-78C31C68A1B6}"/>
    <cellStyle name="20% - Accent5 6 2 2 2 2" xfId="4706" xr:uid="{65517122-2761-444C-9F21-7210063E8DF8}"/>
    <cellStyle name="20% - Accent5 6 2 2 2 2 2" xfId="10152" xr:uid="{A49CF2AF-6F37-4E36-89F0-230542D687DA}"/>
    <cellStyle name="20% - Accent5 6 2 2 2 3" xfId="7775" xr:uid="{92E57580-08CC-4A28-A2D6-6713F4C9B7EF}"/>
    <cellStyle name="20% - Accent5 6 2 2 3" xfId="4705" xr:uid="{2EE2B81C-08CC-43BE-9839-0EE5DA1818E0}"/>
    <cellStyle name="20% - Accent5 6 2 2 3 2" xfId="10151" xr:uid="{A684E7B2-47EF-4A37-8284-6F4DAE4BD9D8}"/>
    <cellStyle name="20% - Accent5 6 2 2 4" xfId="7774" xr:uid="{5AC940D8-8F45-4C32-A2EC-16F1A068CACD}"/>
    <cellStyle name="20% - Accent5 6 2 3" xfId="918" xr:uid="{7028EFD8-2D96-4DCA-9161-36D9F17BCFD8}"/>
    <cellStyle name="20% - Accent5 6 2 3 2" xfId="4707" xr:uid="{832A4DCD-00E4-495B-9F2C-470193E4199D}"/>
    <cellStyle name="20% - Accent5 6 2 3 2 2" xfId="10153" xr:uid="{6C2CB51A-2378-4A84-87D3-A12862129C67}"/>
    <cellStyle name="20% - Accent5 6 2 3 3" xfId="7776" xr:uid="{538662B3-0BFC-4419-A280-15F21C1DB90C}"/>
    <cellStyle name="20% - Accent5 6 2 4" xfId="4704" xr:uid="{91C55DFF-F155-4DE8-87B7-5F48271E67E9}"/>
    <cellStyle name="20% - Accent5 6 2 4 2" xfId="10150" xr:uid="{7C01BA80-3689-4CF0-A144-DFC1DD2125A7}"/>
    <cellStyle name="20% - Accent5 6 2 5" xfId="7773" xr:uid="{25AC9693-00D8-4208-A0F0-DDCCF2FAA3C6}"/>
    <cellStyle name="20% - Accent5 6 3" xfId="919" xr:uid="{273ABDD6-3F6E-4548-8CBB-62388E16A7E8}"/>
    <cellStyle name="20% - Accent5 6 3 2" xfId="920" xr:uid="{43A5C21C-56D2-4BB2-9A0A-8B5B0E564229}"/>
    <cellStyle name="20% - Accent5 6 3 2 2" xfId="4709" xr:uid="{3D872EBF-9F9B-4BF5-8641-D00A08DD6820}"/>
    <cellStyle name="20% - Accent5 6 3 2 2 2" xfId="10155" xr:uid="{5D7C6C25-E841-4C06-B02D-F36D7A15454A}"/>
    <cellStyle name="20% - Accent5 6 3 2 3" xfId="7778" xr:uid="{B4191486-D60F-4BE8-A10F-5D908A13CE2D}"/>
    <cellStyle name="20% - Accent5 6 3 3" xfId="4708" xr:uid="{D86F293E-C2EC-43CA-A7C5-2751F7482597}"/>
    <cellStyle name="20% - Accent5 6 3 3 2" xfId="10154" xr:uid="{E1DDBB85-1401-4576-8CEF-1639C738BDFA}"/>
    <cellStyle name="20% - Accent5 6 3 4" xfId="7777" xr:uid="{BE79D2D3-E47D-4CB4-ACFB-6B232BAFE87E}"/>
    <cellStyle name="20% - Accent5 6 4" xfId="921" xr:uid="{C68D3DD8-4603-4622-B7BE-C0E66E851A91}"/>
    <cellStyle name="20% - Accent5 6 4 2" xfId="4710" xr:uid="{06F556FC-E2BE-4816-935C-80C1DEFE912B}"/>
    <cellStyle name="20% - Accent5 6 4 2 2" xfId="10156" xr:uid="{C70869B6-1CEC-46B9-925D-E43729C4E2A7}"/>
    <cellStyle name="20% - Accent5 6 4 3" xfId="7779" xr:uid="{8BF16525-BE0E-418B-9072-6AFF9784EDBC}"/>
    <cellStyle name="20% - Accent5 6 5" xfId="4703" xr:uid="{91CABB89-972D-4EE3-8BC6-BF3090F7E6E5}"/>
    <cellStyle name="20% - Accent5 6 5 2" xfId="10149" xr:uid="{FC6F97EA-6A5A-488C-BF5C-36A2D4A5B45F}"/>
    <cellStyle name="20% - Accent5 6 6" xfId="7772" xr:uid="{EDE32E7D-21F9-481E-9A62-904AE1A3D179}"/>
    <cellStyle name="20% - Accent5 7" xfId="922" xr:uid="{6C3E48DE-45FA-4E69-A5D8-81DF35D84DD9}"/>
    <cellStyle name="20% - Accent5 7 2" xfId="923" xr:uid="{DE65F44E-E5BD-4EAB-9B7E-8F261880CC5E}"/>
    <cellStyle name="20% - Accent5 7 2 2" xfId="924" xr:uid="{FCA7A9F6-1538-420D-B303-D5D9E1B59DBA}"/>
    <cellStyle name="20% - Accent5 7 2 2 2" xfId="4713" xr:uid="{C88D6600-14CD-4259-A08E-B93C286AA883}"/>
    <cellStyle name="20% - Accent5 7 2 2 2 2" xfId="10159" xr:uid="{B7873229-C190-42BE-9479-8499FD48D72B}"/>
    <cellStyle name="20% - Accent5 7 2 2 3" xfId="7782" xr:uid="{03246744-998F-4580-A2EB-E6E118870778}"/>
    <cellStyle name="20% - Accent5 7 2 3" xfId="4712" xr:uid="{0133558C-FA79-4784-9AC2-DF23DC20D0F5}"/>
    <cellStyle name="20% - Accent5 7 2 3 2" xfId="10158" xr:uid="{FC8E8EB4-790D-4311-B498-249A7F923010}"/>
    <cellStyle name="20% - Accent5 7 2 4" xfId="7781" xr:uid="{3FC8D451-01C2-40A9-BF02-AFAA84CA999E}"/>
    <cellStyle name="20% - Accent5 7 3" xfId="925" xr:uid="{544F5FAA-E573-453D-88EF-E84F1FC1D1C9}"/>
    <cellStyle name="20% - Accent5 7 3 2" xfId="4714" xr:uid="{2D5A7ED0-1117-4807-A319-117BCE07BEFF}"/>
    <cellStyle name="20% - Accent5 7 3 2 2" xfId="10160" xr:uid="{9AF9D7D8-4317-478D-BCA7-6ABDCE470E2B}"/>
    <cellStyle name="20% - Accent5 7 3 3" xfId="7783" xr:uid="{EBF77B17-9BCE-49A4-94AC-C42B71B7EA48}"/>
    <cellStyle name="20% - Accent5 7 4" xfId="4711" xr:uid="{D9FA3F42-415E-4F54-B892-E95DEDD7F832}"/>
    <cellStyle name="20% - Accent5 7 4 2" xfId="10157" xr:uid="{8D63322E-2D91-42D8-A1C1-82034C09DF39}"/>
    <cellStyle name="20% - Accent5 7 5" xfId="7780" xr:uid="{A2EC78A9-1448-42E9-98E8-801489575755}"/>
    <cellStyle name="20% - Accent5 8" xfId="926" xr:uid="{7231A14F-ADB5-4C78-BECB-392FF332510D}"/>
    <cellStyle name="20% - Accent5 8 2" xfId="927" xr:uid="{79D022C5-8893-4686-BD29-FBC6FB3FCD76}"/>
    <cellStyle name="20% - Accent5 8 2 2" xfId="928" xr:uid="{C85A8052-BDEA-442B-A1B2-FCA4740260F7}"/>
    <cellStyle name="20% - Accent5 8 2 2 2" xfId="4717" xr:uid="{DEC21D23-BDCC-40E1-A5E9-FC4728A5DA9A}"/>
    <cellStyle name="20% - Accent5 8 2 2 2 2" xfId="10163" xr:uid="{3E485CCC-C6B1-42A6-9FC8-0835A81FE4FA}"/>
    <cellStyle name="20% - Accent5 8 2 2 3" xfId="7786" xr:uid="{4DBAD7DA-C5AE-4259-B47E-9576F4475C2E}"/>
    <cellStyle name="20% - Accent5 8 2 3" xfId="4716" xr:uid="{3856606D-9922-487C-AB17-5CDD2F353993}"/>
    <cellStyle name="20% - Accent5 8 2 3 2" xfId="10162" xr:uid="{8C91D737-EBFA-4560-A6CF-B7EA7B38A89A}"/>
    <cellStyle name="20% - Accent5 8 2 4" xfId="7785" xr:uid="{462C8495-8010-4992-9AAA-BB0B2BAB9B48}"/>
    <cellStyle name="20% - Accent5 8 3" xfId="929" xr:uid="{E1F4F171-4F34-4101-9959-D5ED78E8D794}"/>
    <cellStyle name="20% - Accent5 8 3 2" xfId="4718" xr:uid="{83159F9E-25AC-4EEF-A03E-2C64CE424FAA}"/>
    <cellStyle name="20% - Accent5 8 3 2 2" xfId="10164" xr:uid="{3D60EE70-078A-474C-B79D-B7F696F902AC}"/>
    <cellStyle name="20% - Accent5 8 3 3" xfId="7787" xr:uid="{746DD506-4F8B-4D61-A7FF-B7D670D60637}"/>
    <cellStyle name="20% - Accent5 8 4" xfId="4715" xr:uid="{A027255A-EE68-4C15-BD11-B03906B0AFA4}"/>
    <cellStyle name="20% - Accent5 8 4 2" xfId="10161" xr:uid="{5014642D-6E6A-4433-AA63-4EFB20F17598}"/>
    <cellStyle name="20% - Accent5 8 5" xfId="7784" xr:uid="{59144C70-E577-4843-98C1-D9FA37D593FA}"/>
    <cellStyle name="20% - Accent5 9" xfId="930" xr:uid="{CF7F9AD1-E657-418F-84E6-DB16E179B240}"/>
    <cellStyle name="20% - Accent5 9 2" xfId="931" xr:uid="{F614616A-F7B8-41C5-94E8-AB51310F429E}"/>
    <cellStyle name="20% - Accent5 9 2 2" xfId="4720" xr:uid="{E3ED1203-881E-4E94-A6DC-04CD8F421BDE}"/>
    <cellStyle name="20% - Accent5 9 2 2 2" xfId="10166" xr:uid="{529E3DF0-6AD4-4BE4-B8CF-CBBB84E32138}"/>
    <cellStyle name="20% - Accent5 9 2 3" xfId="7789" xr:uid="{C12E3C0D-FC42-4D8D-80DD-A38BB5EA6AB5}"/>
    <cellStyle name="20% - Accent5 9 3" xfId="4719" xr:uid="{64751E43-B40D-426D-83D8-D19E67EE345D}"/>
    <cellStyle name="20% - Accent5 9 3 2" xfId="10165" xr:uid="{0BEE0F0A-C9A4-4B41-8C03-C4E5E6EC2470}"/>
    <cellStyle name="20% - Accent5 9 4" xfId="7788" xr:uid="{D1034CC5-A04E-4F18-AD13-B5E0A62BE7D8}"/>
    <cellStyle name="20% - Accent6" xfId="6" builtinId="50" hidden="1" customBuiltin="1"/>
    <cellStyle name="20% - Accent6" xfId="374" builtinId="50" customBuiltin="1"/>
    <cellStyle name="20% - Accent6 10" xfId="932" xr:uid="{BC8B12A3-742F-4B0F-903F-DA9BE55ABE70}"/>
    <cellStyle name="20% - Accent6 10 2" xfId="933" xr:uid="{848C0BD5-2E2F-4301-B8BB-F1AFB29A2D7D}"/>
    <cellStyle name="20% - Accent6 10 2 2" xfId="4722" xr:uid="{7E0E1950-D3BE-441E-BF4C-BE220AFFC98E}"/>
    <cellStyle name="20% - Accent6 10 2 2 2" xfId="10168" xr:uid="{E1B9117B-1524-4175-85CA-99E455D55B99}"/>
    <cellStyle name="20% - Accent6 10 2 3" xfId="7791" xr:uid="{AC4B2A20-A8A1-4E31-8AA0-9F9E8B94B56C}"/>
    <cellStyle name="20% - Accent6 10 3" xfId="4721" xr:uid="{85808054-A3CF-4823-B3F5-388B6C103977}"/>
    <cellStyle name="20% - Accent6 10 3 2" xfId="10167" xr:uid="{9F76B5D3-64CD-4765-896E-C2377B9E6E44}"/>
    <cellStyle name="20% - Accent6 10 4" xfId="7790" xr:uid="{839CA35E-08DD-4FE7-9F76-BAEDCC03E6CA}"/>
    <cellStyle name="20% - Accent6 11" xfId="934" xr:uid="{5E4F1729-F620-43A0-8573-55189B2AA444}"/>
    <cellStyle name="20% - Accent6 11 2" xfId="4723" xr:uid="{7D3B3EC7-B5BD-4390-8096-000D288D44E2}"/>
    <cellStyle name="20% - Accent6 11 2 2" xfId="10169" xr:uid="{BD915AD1-074A-46F6-9809-52D876A1ED61}"/>
    <cellStyle name="20% - Accent6 11 3" xfId="7792" xr:uid="{3B89B1CE-FF18-4EA3-82C7-F2347697DC97}"/>
    <cellStyle name="20% - Accent6 12" xfId="935" xr:uid="{24FC722D-198B-4E02-BE17-524B0F4DD423}"/>
    <cellStyle name="20% - Accent6 12 2" xfId="4724" xr:uid="{591148AB-D38D-4836-8096-4D35C4BD2FF7}"/>
    <cellStyle name="20% - Accent6 12 2 2" xfId="10170" xr:uid="{675F6174-16D6-487E-93E5-70292B6B9E28}"/>
    <cellStyle name="20% - Accent6 12 3" xfId="7793" xr:uid="{E460F51F-0308-47CB-95D7-F2D4D5C9926F}"/>
    <cellStyle name="20% - Accent6 13" xfId="4198" xr:uid="{811809E1-78BF-4492-B203-8D4F5BA9D04B}"/>
    <cellStyle name="20% - Accent6 13 2" xfId="9644" xr:uid="{6972AA29-AC25-4311-B83E-2A831A0E6A06}"/>
    <cellStyle name="20% - Accent6 14" xfId="7266" xr:uid="{52ED27DA-877D-41CA-9F46-BEAFD50EBC60}"/>
    <cellStyle name="20% - Accent6 2" xfId="936" xr:uid="{911DA251-70C6-45E3-8292-97C9723FDB15}"/>
    <cellStyle name="20% - Accent6 2 10" xfId="4725" xr:uid="{E8676206-44D0-49CF-82D0-84B4825D7E25}"/>
    <cellStyle name="20% - Accent6 2 10 2" xfId="10171" xr:uid="{8CBFD297-5BDD-4104-AA1E-27C521A369CF}"/>
    <cellStyle name="20% - Accent6 2 11" xfId="7794" xr:uid="{F373E199-A70F-4A79-9C5F-6B00BD7BE359}"/>
    <cellStyle name="20% - Accent6 2 2" xfId="937" xr:uid="{A1BD7A39-C846-413B-8ED7-6D6E1BBD865B}"/>
    <cellStyle name="20% - Accent6 2 2 2" xfId="938" xr:uid="{ADCD76F4-35A1-45FF-8C25-1F6B171263CD}"/>
    <cellStyle name="20% - Accent6 2 2 2 2" xfId="939" xr:uid="{F4A6C8AA-2C1E-4712-8855-9CCC162699C5}"/>
    <cellStyle name="20% - Accent6 2 2 2 2 2" xfId="940" xr:uid="{2A1FF6CB-F314-40C9-B7BD-34876FCD191E}"/>
    <cellStyle name="20% - Accent6 2 2 2 2 2 2" xfId="4729" xr:uid="{A96DDB56-B7A2-4547-B0E5-BDE747B49ECB}"/>
    <cellStyle name="20% - Accent6 2 2 2 2 2 2 2" xfId="10175" xr:uid="{F39301C7-07F1-4929-8936-92E89DBCD389}"/>
    <cellStyle name="20% - Accent6 2 2 2 2 2 3" xfId="7798" xr:uid="{B7555AB2-F422-49A9-BA73-DD6B2BA94760}"/>
    <cellStyle name="20% - Accent6 2 2 2 2 3" xfId="4728" xr:uid="{C7C8B94A-80B8-44C7-A4CF-FB094ABAB584}"/>
    <cellStyle name="20% - Accent6 2 2 2 2 3 2" xfId="10174" xr:uid="{C335BEF8-373A-4AB9-B1E7-FC19185C4424}"/>
    <cellStyle name="20% - Accent6 2 2 2 2 4" xfId="7797" xr:uid="{EE849CC5-72C5-4576-BEAD-9C20EB4147E8}"/>
    <cellStyle name="20% - Accent6 2 2 2 3" xfId="941" xr:uid="{CBAB1045-FF1C-47D7-8D8C-5212905B6504}"/>
    <cellStyle name="20% - Accent6 2 2 2 3 2" xfId="4730" xr:uid="{C88A4071-B6B4-4247-B8BE-9E73B05E3801}"/>
    <cellStyle name="20% - Accent6 2 2 2 3 2 2" xfId="10176" xr:uid="{0865758E-BADA-4E4A-8975-DA2323908914}"/>
    <cellStyle name="20% - Accent6 2 2 2 3 3" xfId="7799" xr:uid="{3D3C7594-6C09-4D67-8314-36960B7B2C48}"/>
    <cellStyle name="20% - Accent6 2 2 2 4" xfId="4727" xr:uid="{61E54171-D1CC-4A51-9BC6-DB7271F4C0F9}"/>
    <cellStyle name="20% - Accent6 2 2 2 4 2" xfId="10173" xr:uid="{7B01CC35-1611-47BC-88E1-E50FBD59A874}"/>
    <cellStyle name="20% - Accent6 2 2 2 5" xfId="7796" xr:uid="{8356A6EB-8E24-42C4-A500-3488DAD361A4}"/>
    <cellStyle name="20% - Accent6 2 2 3" xfId="942" xr:uid="{1B2BF665-EB18-40E8-A83E-3A1773D7B928}"/>
    <cellStyle name="20% - Accent6 2 2 3 2" xfId="943" xr:uid="{80C8C8B0-EB9E-4AEE-86B6-73AF38A2F817}"/>
    <cellStyle name="20% - Accent6 2 2 3 2 2" xfId="4732" xr:uid="{E5291FD1-9B2F-4676-8BE8-F67295A79709}"/>
    <cellStyle name="20% - Accent6 2 2 3 2 2 2" xfId="10178" xr:uid="{71A9AAD7-7DDC-4E5D-A76D-E50E6D77FFC7}"/>
    <cellStyle name="20% - Accent6 2 2 3 2 3" xfId="7801" xr:uid="{65724966-7F39-4A87-AA70-696FA37F28D2}"/>
    <cellStyle name="20% - Accent6 2 2 3 3" xfId="4731" xr:uid="{C2CE5E5A-9627-43B2-804E-9702C9693829}"/>
    <cellStyle name="20% - Accent6 2 2 3 3 2" xfId="10177" xr:uid="{4AAF2F56-9335-4479-A51B-C8C7A93D559F}"/>
    <cellStyle name="20% - Accent6 2 2 3 4" xfId="7800" xr:uid="{FD64197D-9B5F-43DE-ACEC-B70E78131E91}"/>
    <cellStyle name="20% - Accent6 2 2 4" xfId="944" xr:uid="{637AE27B-A581-4734-99CE-73DD84DA832A}"/>
    <cellStyle name="20% - Accent6 2 2 4 2" xfId="4733" xr:uid="{018B5B29-0118-4E96-A361-A5F4B2D7F9F0}"/>
    <cellStyle name="20% - Accent6 2 2 4 2 2" xfId="10179" xr:uid="{F67B06B0-C987-4430-9F61-8E6705AF698C}"/>
    <cellStyle name="20% - Accent6 2 2 4 3" xfId="7802" xr:uid="{A3BB2D13-32A3-4AA9-A679-99ACF0EF75EF}"/>
    <cellStyle name="20% - Accent6 2 2 5" xfId="945" xr:uid="{7A2FCD4D-489D-4452-ACEC-A017F68FAE7A}"/>
    <cellStyle name="20% - Accent6 2 2 6" xfId="4726" xr:uid="{D598E534-AC20-4E88-A095-6C1CD6C0F40F}"/>
    <cellStyle name="20% - Accent6 2 2 6 2" xfId="10172" xr:uid="{F0C32CE1-6CE6-4921-9CB8-DA17A8BA104C}"/>
    <cellStyle name="20% - Accent6 2 2 7" xfId="7795" xr:uid="{A61E2C09-F6BB-4E36-B06A-024AB800CBFD}"/>
    <cellStyle name="20% - Accent6 2 3" xfId="946" xr:uid="{9C131C89-0085-4B3E-900B-D24BDBD846D5}"/>
    <cellStyle name="20% - Accent6 2 3 2" xfId="947" xr:uid="{957C9A77-0B70-4624-8AF5-3997625537E0}"/>
    <cellStyle name="20% - Accent6 2 3 2 2" xfId="948" xr:uid="{52175CCC-18C0-49F2-8054-7299A311C4A4}"/>
    <cellStyle name="20% - Accent6 2 3 2 2 2" xfId="949" xr:uid="{B8FFB68A-BE86-42FF-BA63-F8DC269CF380}"/>
    <cellStyle name="20% - Accent6 2 3 2 2 2 2" xfId="4737" xr:uid="{23549831-0034-47D0-9B25-812CB6F4831F}"/>
    <cellStyle name="20% - Accent6 2 3 2 2 2 2 2" xfId="10183" xr:uid="{DCE48858-3F2E-4213-BFA5-0A9A424C1618}"/>
    <cellStyle name="20% - Accent6 2 3 2 2 2 3" xfId="7806" xr:uid="{591C5623-D49B-4A00-9244-BF5A00365F9B}"/>
    <cellStyle name="20% - Accent6 2 3 2 2 3" xfId="4736" xr:uid="{219C8444-7183-4F49-8705-7B78E7AAA306}"/>
    <cellStyle name="20% - Accent6 2 3 2 2 3 2" xfId="10182" xr:uid="{ED777A64-CC5C-4E06-AA0D-AD8BC3CBE3BB}"/>
    <cellStyle name="20% - Accent6 2 3 2 2 4" xfId="7805" xr:uid="{02343A25-E9EE-4FA6-9A9E-7072B6DAF9D0}"/>
    <cellStyle name="20% - Accent6 2 3 2 3" xfId="950" xr:uid="{6CCA1EBD-DE29-4BA7-8328-055371142B6B}"/>
    <cellStyle name="20% - Accent6 2 3 2 3 2" xfId="4738" xr:uid="{3D4B16F2-BD91-43AD-B8A0-F2BD22D5356F}"/>
    <cellStyle name="20% - Accent6 2 3 2 3 2 2" xfId="10184" xr:uid="{995A2390-F727-431D-926C-CD5FB7E8E713}"/>
    <cellStyle name="20% - Accent6 2 3 2 3 3" xfId="7807" xr:uid="{D781C56D-BC67-4EF8-90A0-911B29B76CA8}"/>
    <cellStyle name="20% - Accent6 2 3 2 4" xfId="4735" xr:uid="{7AB661AF-5C4D-483C-9A3E-B15F2501FD9B}"/>
    <cellStyle name="20% - Accent6 2 3 2 4 2" xfId="10181" xr:uid="{CD7F4863-FC04-439E-A14D-A100EA598B3B}"/>
    <cellStyle name="20% - Accent6 2 3 2 5" xfId="7804" xr:uid="{E94F1596-1907-476C-9264-F1302965046B}"/>
    <cellStyle name="20% - Accent6 2 3 3" xfId="951" xr:uid="{16628D51-5FD2-4239-B728-7C2381045847}"/>
    <cellStyle name="20% - Accent6 2 3 3 2" xfId="952" xr:uid="{DE612F7B-A01D-4780-BCDD-FB6B1661B9AA}"/>
    <cellStyle name="20% - Accent6 2 3 3 2 2" xfId="4740" xr:uid="{A739573F-FF19-4FE5-B32B-96BF1AEA699C}"/>
    <cellStyle name="20% - Accent6 2 3 3 2 2 2" xfId="10186" xr:uid="{3F6421F2-F29F-4A28-BD96-18286318D6FE}"/>
    <cellStyle name="20% - Accent6 2 3 3 2 3" xfId="7809" xr:uid="{6B877FC5-7E04-467F-8A62-3E317A7F8597}"/>
    <cellStyle name="20% - Accent6 2 3 3 3" xfId="4739" xr:uid="{04C5AEE1-761C-4820-9136-B09D4E3ACF30}"/>
    <cellStyle name="20% - Accent6 2 3 3 3 2" xfId="10185" xr:uid="{BE741DF6-6C71-40A1-894B-C0EEB12884F2}"/>
    <cellStyle name="20% - Accent6 2 3 3 4" xfId="7808" xr:uid="{8E9A9FDD-179F-42E9-9A7D-F8E0C0F74735}"/>
    <cellStyle name="20% - Accent6 2 3 4" xfId="953" xr:uid="{EF1D571E-EAFD-4C1A-98F0-243C5B0DC2CF}"/>
    <cellStyle name="20% - Accent6 2 3 4 2" xfId="4741" xr:uid="{D2DD0DEF-DBA8-402C-890D-481D6ABC78A1}"/>
    <cellStyle name="20% - Accent6 2 3 4 2 2" xfId="10187" xr:uid="{7FAE4839-84AF-4484-AF76-9607B0F68C5C}"/>
    <cellStyle name="20% - Accent6 2 3 4 3" xfId="7810" xr:uid="{CCE62856-99A0-40F0-9CF8-5A541A28A9A4}"/>
    <cellStyle name="20% - Accent6 2 3 5" xfId="954" xr:uid="{9A4E8983-F167-4E9F-B10F-90CEEF41C2A4}"/>
    <cellStyle name="20% - Accent6 2 3 6" xfId="3380" xr:uid="{839EF26D-253A-4E09-9272-8C2EE939A611}"/>
    <cellStyle name="20% - Accent6 2 3 6 2" xfId="5869" xr:uid="{0FDEA65E-6A41-4180-B9B3-D7EEABFED75C}"/>
    <cellStyle name="20% - Accent6 2 3 6 2 2" xfId="11311" xr:uid="{3DCC0B39-2B5A-44E7-9A56-85084B925EE9}"/>
    <cellStyle name="20% - Accent6 2 3 6 3" xfId="8927" xr:uid="{46B6C7C4-C479-49C3-A4E4-B1615E6A480F}"/>
    <cellStyle name="20% - Accent6 2 3 7" xfId="2075" xr:uid="{71226F9F-82E8-4C4B-8678-8BD1646D8ED1}"/>
    <cellStyle name="20% - Accent6 2 3 8" xfId="4734" xr:uid="{F8E9EC85-BAD0-4DCA-BC35-891EBB49112A}"/>
    <cellStyle name="20% - Accent6 2 3 8 2" xfId="10180" xr:uid="{A1D21677-2210-473E-B53D-36CBCE27D2D2}"/>
    <cellStyle name="20% - Accent6 2 3 9" xfId="7803" xr:uid="{504E1ADA-8296-4FFE-A230-CE8C0BF6EFD9}"/>
    <cellStyle name="20% - Accent6 2 4" xfId="955" xr:uid="{125E5C7E-D775-4864-8783-BDD83C9740C1}"/>
    <cellStyle name="20% - Accent6 2 4 2" xfId="956" xr:uid="{B86DF1B8-B14D-44EA-9926-75EB00386250}"/>
    <cellStyle name="20% - Accent6 2 4 2 2" xfId="957" xr:uid="{03121EC9-0072-4A75-B631-7F8ACEA95E85}"/>
    <cellStyle name="20% - Accent6 2 4 2 2 2" xfId="4744" xr:uid="{AA15D196-E4AF-4F02-9E9C-15AF3BCEE271}"/>
    <cellStyle name="20% - Accent6 2 4 2 2 2 2" xfId="10190" xr:uid="{32C85F86-F7D5-4904-BDA2-229D0A3D008B}"/>
    <cellStyle name="20% - Accent6 2 4 2 2 3" xfId="7813" xr:uid="{BB1F4B0F-F51E-43B3-868B-826CBC8CB977}"/>
    <cellStyle name="20% - Accent6 2 4 2 3" xfId="4743" xr:uid="{0CD72F7E-08EC-45CF-A653-AB8FA6BCE8A6}"/>
    <cellStyle name="20% - Accent6 2 4 2 3 2" xfId="10189" xr:uid="{71E6AAF2-F269-440D-AD0E-4D4367A5D0A5}"/>
    <cellStyle name="20% - Accent6 2 4 2 4" xfId="7812" xr:uid="{2C4225C4-28EA-441F-A602-6301B29F799F}"/>
    <cellStyle name="20% - Accent6 2 4 3" xfId="958" xr:uid="{F525AABC-768A-4C9D-9014-E614F5C28947}"/>
    <cellStyle name="20% - Accent6 2 4 3 2" xfId="4745" xr:uid="{4D35FFDE-FC70-4C11-8652-F9B6A5A888DF}"/>
    <cellStyle name="20% - Accent6 2 4 3 2 2" xfId="10191" xr:uid="{98A40AAA-5D3C-4B70-B7D2-B0D70991B32B}"/>
    <cellStyle name="20% - Accent6 2 4 3 3" xfId="7814" xr:uid="{FB23B20C-1246-457B-9694-F02307BB3A75}"/>
    <cellStyle name="20% - Accent6 2 4 4" xfId="959" xr:uid="{479138AF-7664-4512-8A99-04CF743369B5}"/>
    <cellStyle name="20% - Accent6 2 4 5" xfId="3381" xr:uid="{A68C4DC5-A6D8-48A4-82DE-0CAD42FCF8D0}"/>
    <cellStyle name="20% - Accent6 2 4 5 2" xfId="5870" xr:uid="{E244893F-7012-4B65-9E47-EDABE37AD270}"/>
    <cellStyle name="20% - Accent6 2 4 5 2 2" xfId="11312" xr:uid="{5D70C8AC-25BE-48B9-94ED-B5639B5B6CB2}"/>
    <cellStyle name="20% - Accent6 2 4 5 3" xfId="8928" xr:uid="{EA8E2467-6E06-48E7-AA42-8DED6E0090C0}"/>
    <cellStyle name="20% - Accent6 2 4 6" xfId="2074" xr:uid="{57ABA0A7-5DB7-4EA4-A1BA-619E5B185638}"/>
    <cellStyle name="20% - Accent6 2 4 7" xfId="4742" xr:uid="{6BFF20CF-4769-4094-A482-99F703461202}"/>
    <cellStyle name="20% - Accent6 2 4 7 2" xfId="10188" xr:uid="{E25DEE49-0BE1-4E22-8B89-E0B3E1F300E6}"/>
    <cellStyle name="20% - Accent6 2 4 8" xfId="7811" xr:uid="{E0730BA4-68E1-4013-8CE3-2345659705E5}"/>
    <cellStyle name="20% - Accent6 2 5" xfId="960" xr:uid="{A6484037-E9C4-42B9-9A92-041FF7947AED}"/>
    <cellStyle name="20% - Accent6 2 5 2" xfId="961" xr:uid="{7CB7A46B-7FC9-40EF-AA70-9EA54FCDBD36}"/>
    <cellStyle name="20% - Accent6 2 5 2 2" xfId="4747" xr:uid="{A5993883-51CA-4167-AFD7-EC891E24CFF4}"/>
    <cellStyle name="20% - Accent6 2 5 2 2 2" xfId="10193" xr:uid="{8F70D140-824E-47C1-97A1-E27926F02914}"/>
    <cellStyle name="20% - Accent6 2 5 2 3" xfId="7816" xr:uid="{1F492386-D1FE-4410-827B-1065765F778A}"/>
    <cellStyle name="20% - Accent6 2 5 3" xfId="962" xr:uid="{28EFC7B9-1297-44E4-BA40-7068649A3C5F}"/>
    <cellStyle name="20% - Accent6 2 5 4" xfId="4746" xr:uid="{1B68E383-C116-44C2-82C8-146AE609CE4F}"/>
    <cellStyle name="20% - Accent6 2 5 4 2" xfId="10192" xr:uid="{B96508D2-DDB3-4FC2-996B-6A8CE9251CA7}"/>
    <cellStyle name="20% - Accent6 2 5 5" xfId="7815" xr:uid="{AE079727-8D55-4FB9-B1C7-2C625CE69DC1}"/>
    <cellStyle name="20% - Accent6 2 6" xfId="963" xr:uid="{0126D1C3-5F41-486A-A48C-76D24BF05EE4}"/>
    <cellStyle name="20% - Accent6 2 6 2" xfId="964" xr:uid="{A8D35058-3EF0-45CE-8084-9DA12A86BB4A}"/>
    <cellStyle name="20% - Accent6 2 6 3" xfId="4748" xr:uid="{9875B6CB-693A-446B-B417-3F9B7362DAE6}"/>
    <cellStyle name="20% - Accent6 2 6 3 2" xfId="10194" xr:uid="{9862EADB-5EFE-480D-BD92-E19CF1F7082A}"/>
    <cellStyle name="20% - Accent6 2 6 4" xfId="7817" xr:uid="{901BB531-4F68-4B6D-982B-1633FC1C4D79}"/>
    <cellStyle name="20% - Accent6 2 7" xfId="965" xr:uid="{79A01924-6123-4B05-BA1F-7924016AF456}"/>
    <cellStyle name="20% - Accent6 2 8" xfId="966" xr:uid="{E4BFA821-953D-4FE1-9D5F-069990A6C340}"/>
    <cellStyle name="20% - Accent6 2 9" xfId="967" xr:uid="{B80EB969-ADCF-4EE7-9141-5D97DB0E5EE5}"/>
    <cellStyle name="20% - Accent6 3" xfId="968" xr:uid="{0300B1AC-271E-46DA-9C5A-9EF80E2C93DC}"/>
    <cellStyle name="20% - Accent6 3 2" xfId="969" xr:uid="{BDF07165-ED0C-49A4-A31E-B7027525B8EC}"/>
    <cellStyle name="20% - Accent6 3 2 2" xfId="970" xr:uid="{6FA1FFBB-1AB0-4623-8963-3FE584D6099A}"/>
    <cellStyle name="20% - Accent6 3 2 2 2" xfId="971" xr:uid="{BAC31185-F0E3-4271-A18A-3BF390629C80}"/>
    <cellStyle name="20% - Accent6 3 2 2 2 2" xfId="972" xr:uid="{E25735BF-D3B3-4DC7-AE26-A6A392EA6403}"/>
    <cellStyle name="20% - Accent6 3 2 2 2 2 2" xfId="4753" xr:uid="{68316205-AB61-43D1-A338-3FBC77196D94}"/>
    <cellStyle name="20% - Accent6 3 2 2 2 2 2 2" xfId="10199" xr:uid="{2DAAF38D-0681-4D8B-8C04-42FC6A6B04F4}"/>
    <cellStyle name="20% - Accent6 3 2 2 2 2 3" xfId="7822" xr:uid="{E2B8B6F2-FFF4-4AF5-9920-CBB03232B014}"/>
    <cellStyle name="20% - Accent6 3 2 2 2 3" xfId="4752" xr:uid="{392C599E-3805-4FED-974E-D1A5A7A1CC43}"/>
    <cellStyle name="20% - Accent6 3 2 2 2 3 2" xfId="10198" xr:uid="{E4D37506-C44C-423E-848D-9986051CD4B4}"/>
    <cellStyle name="20% - Accent6 3 2 2 2 4" xfId="7821" xr:uid="{47ADDF6F-D94A-477D-9190-BB69F239B2CA}"/>
    <cellStyle name="20% - Accent6 3 2 2 3" xfId="973" xr:uid="{BF5C73A9-48F7-4D80-B893-ACC882256899}"/>
    <cellStyle name="20% - Accent6 3 2 2 3 2" xfId="4754" xr:uid="{90480D15-4F29-4CE3-94F3-EF6C152C5A57}"/>
    <cellStyle name="20% - Accent6 3 2 2 3 2 2" xfId="10200" xr:uid="{9918CF9E-D89C-4DB1-BC1F-E197A1F36B37}"/>
    <cellStyle name="20% - Accent6 3 2 2 3 3" xfId="7823" xr:uid="{E67DB5E0-A8FE-4D7F-B72C-22AD877BA238}"/>
    <cellStyle name="20% - Accent6 3 2 2 4" xfId="4751" xr:uid="{ECE91804-E408-4BD0-93CF-FE7F5F61FCCE}"/>
    <cellStyle name="20% - Accent6 3 2 2 4 2" xfId="10197" xr:uid="{6D5C810D-DD63-4FDA-A38C-766781D9F8CF}"/>
    <cellStyle name="20% - Accent6 3 2 2 5" xfId="7820" xr:uid="{39B56429-BEBD-42D6-B07D-B21E41DBA27D}"/>
    <cellStyle name="20% - Accent6 3 2 3" xfId="974" xr:uid="{51D512B1-4BD9-4A72-8AA6-5F4ACFED8C69}"/>
    <cellStyle name="20% - Accent6 3 2 3 2" xfId="975" xr:uid="{99A625AE-7FAB-423C-8CF9-2645DA6119DA}"/>
    <cellStyle name="20% - Accent6 3 2 3 2 2" xfId="4756" xr:uid="{225B570D-9448-419D-9558-92FC7CC9BA25}"/>
    <cellStyle name="20% - Accent6 3 2 3 2 2 2" xfId="10202" xr:uid="{0F9FF830-6899-417F-8584-548CB19C3609}"/>
    <cellStyle name="20% - Accent6 3 2 3 2 3" xfId="7825" xr:uid="{F294A83F-D1AC-4398-86F1-783BEE96BF70}"/>
    <cellStyle name="20% - Accent6 3 2 3 3" xfId="4755" xr:uid="{13FFEFCC-5D43-4511-BC94-54359BFEBE3A}"/>
    <cellStyle name="20% - Accent6 3 2 3 3 2" xfId="10201" xr:uid="{49DC001E-3EC8-4ABC-87A5-E164F3A23E9A}"/>
    <cellStyle name="20% - Accent6 3 2 3 4" xfId="7824" xr:uid="{0BB6897B-FEA3-4FB3-8A56-F8AD59EB3688}"/>
    <cellStyle name="20% - Accent6 3 2 4" xfId="976" xr:uid="{B26C4F60-60D8-4D1A-8B7D-B91FFDD15FD9}"/>
    <cellStyle name="20% - Accent6 3 2 4 2" xfId="4757" xr:uid="{8F9D121F-15D8-4F6C-9F26-7F5C2B975EA9}"/>
    <cellStyle name="20% - Accent6 3 2 4 2 2" xfId="10203" xr:uid="{364AA91C-D95F-4C39-AA73-346EBDB32595}"/>
    <cellStyle name="20% - Accent6 3 2 4 3" xfId="7826" xr:uid="{2A4FFF8F-302C-4ED4-ACE5-679FAA90C957}"/>
    <cellStyle name="20% - Accent6 3 2 5" xfId="3382" xr:uid="{AFCD26E7-9744-4BDF-BF5D-D867EEDA9B79}"/>
    <cellStyle name="20% - Accent6 3 2 5 2" xfId="5871" xr:uid="{64CA5DE8-9E08-4D13-991C-88516752B7D9}"/>
    <cellStyle name="20% - Accent6 3 2 5 2 2" xfId="11313" xr:uid="{B9309FFF-6880-4868-B2EA-0F66F240FB79}"/>
    <cellStyle name="20% - Accent6 3 2 5 3" xfId="8929" xr:uid="{B755D078-B3A6-40D7-A39D-7816FD65EF83}"/>
    <cellStyle name="20% - Accent6 3 2 6" xfId="2076" xr:uid="{1EDA10F7-892F-4E3F-B84E-7F9030425523}"/>
    <cellStyle name="20% - Accent6 3 2 7" xfId="4750" xr:uid="{B1D0AE80-BE02-4B47-9B66-0597118AD48C}"/>
    <cellStyle name="20% - Accent6 3 2 7 2" xfId="10196" xr:uid="{6561758D-E700-40CD-B2F6-5CFD85AA7BF9}"/>
    <cellStyle name="20% - Accent6 3 2 8" xfId="7819" xr:uid="{76059F0A-9090-4165-83C6-4DB672FD2958}"/>
    <cellStyle name="20% - Accent6 3 3" xfId="977" xr:uid="{5278618F-5456-47A9-9F9A-353BDC036D4B}"/>
    <cellStyle name="20% - Accent6 3 3 2" xfId="978" xr:uid="{9F90F48B-9281-4AFD-81DA-2E0E47F489D2}"/>
    <cellStyle name="20% - Accent6 3 3 2 2" xfId="979" xr:uid="{7F8D18EB-E039-4064-BAF1-AA68A6344F07}"/>
    <cellStyle name="20% - Accent6 3 3 2 2 2" xfId="980" xr:uid="{A6DD2F35-B3C9-4ED1-A9B4-8B8EA6504CEB}"/>
    <cellStyle name="20% - Accent6 3 3 2 2 2 2" xfId="4761" xr:uid="{B5C355D8-6B99-42F7-9ADB-913E9DA016C7}"/>
    <cellStyle name="20% - Accent6 3 3 2 2 2 2 2" xfId="10207" xr:uid="{58D2885C-8F39-472B-B4CF-C335D322D902}"/>
    <cellStyle name="20% - Accent6 3 3 2 2 2 3" xfId="7830" xr:uid="{C2079748-DC88-4E11-B312-AAB62AB16ADD}"/>
    <cellStyle name="20% - Accent6 3 3 2 2 3" xfId="4760" xr:uid="{C5FECAA7-187A-45B0-89CF-97AC86C862D5}"/>
    <cellStyle name="20% - Accent6 3 3 2 2 3 2" xfId="10206" xr:uid="{44C41887-5E6D-43E1-957C-2A65CFC3F306}"/>
    <cellStyle name="20% - Accent6 3 3 2 2 4" xfId="7829" xr:uid="{5CDC6EAA-274B-4B43-96F8-8EEE0005347E}"/>
    <cellStyle name="20% - Accent6 3 3 2 3" xfId="981" xr:uid="{EE99BF52-D45D-4B62-85D3-AB75C77096A7}"/>
    <cellStyle name="20% - Accent6 3 3 2 3 2" xfId="4762" xr:uid="{DC7B65C0-0F0B-4DF8-B655-094E9547CC72}"/>
    <cellStyle name="20% - Accent6 3 3 2 3 2 2" xfId="10208" xr:uid="{6B72D924-FCD0-4209-98EA-2F37DF0673DE}"/>
    <cellStyle name="20% - Accent6 3 3 2 3 3" xfId="7831" xr:uid="{93C4267E-8E10-40B6-891D-42BD859C6DC9}"/>
    <cellStyle name="20% - Accent6 3 3 2 4" xfId="4759" xr:uid="{123E3473-FE0F-470E-8FAD-2F9934A271FD}"/>
    <cellStyle name="20% - Accent6 3 3 2 4 2" xfId="10205" xr:uid="{F7ECAB9B-5C04-44B7-8D8D-C3A9D60FD1FF}"/>
    <cellStyle name="20% - Accent6 3 3 2 5" xfId="7828" xr:uid="{C29030CB-EF00-4572-994F-BDF616877BAC}"/>
    <cellStyle name="20% - Accent6 3 3 3" xfId="982" xr:uid="{C66F31D3-4222-460F-B19E-47A0EEFD2078}"/>
    <cellStyle name="20% - Accent6 3 3 3 2" xfId="983" xr:uid="{E2427529-D62A-4FAA-BE1B-BD91F974E526}"/>
    <cellStyle name="20% - Accent6 3 3 3 2 2" xfId="4764" xr:uid="{9C246AD8-96E5-4DCF-8012-E36B80D2A7BB}"/>
    <cellStyle name="20% - Accent6 3 3 3 2 2 2" xfId="10210" xr:uid="{519651A8-212B-4E45-8303-5B61362B86AE}"/>
    <cellStyle name="20% - Accent6 3 3 3 2 3" xfId="7833" xr:uid="{ED1EB040-0A47-44BA-B035-4DAE7695749E}"/>
    <cellStyle name="20% - Accent6 3 3 3 3" xfId="4763" xr:uid="{3EBFEAA4-25FE-418A-9E97-6867DE904BB7}"/>
    <cellStyle name="20% - Accent6 3 3 3 3 2" xfId="10209" xr:uid="{67FE9226-D18F-4E20-9540-02B9DDE974FE}"/>
    <cellStyle name="20% - Accent6 3 3 3 4" xfId="7832" xr:uid="{9C6E970A-144B-4B27-ACFE-4D35CA329F74}"/>
    <cellStyle name="20% - Accent6 3 3 4" xfId="984" xr:uid="{EF376E7A-8154-4C9B-AF35-225F990FF853}"/>
    <cellStyle name="20% - Accent6 3 3 4 2" xfId="4765" xr:uid="{9F1B890A-BF8C-4EC8-BB1D-C342B8B935AF}"/>
    <cellStyle name="20% - Accent6 3 3 4 2 2" xfId="10211" xr:uid="{ECC93098-46F5-44C8-A72D-DDC695BD4703}"/>
    <cellStyle name="20% - Accent6 3 3 4 3" xfId="7834" xr:uid="{1BF981C8-B452-4FA3-8372-1DDA545F7C68}"/>
    <cellStyle name="20% - Accent6 3 3 5" xfId="4758" xr:uid="{0A6ACA50-2129-4689-B6E8-B01C2BEC48BF}"/>
    <cellStyle name="20% - Accent6 3 3 5 2" xfId="10204" xr:uid="{5DD3AE10-C909-4B2A-A2F7-3C7C5BCD7141}"/>
    <cellStyle name="20% - Accent6 3 3 6" xfId="7827" xr:uid="{71662B07-FBDA-43CF-806D-DDC0C1FB4EE1}"/>
    <cellStyle name="20% - Accent6 3 4" xfId="985" xr:uid="{B02E0963-2A06-4703-96B3-7011C49C412A}"/>
    <cellStyle name="20% - Accent6 3 4 2" xfId="986" xr:uid="{6085D205-0F48-4D05-921A-31EE08DB2431}"/>
    <cellStyle name="20% - Accent6 3 4 2 2" xfId="987" xr:uid="{AF26DD61-1179-4F9C-8BE3-16A39FA09544}"/>
    <cellStyle name="20% - Accent6 3 4 2 2 2" xfId="4768" xr:uid="{9E59D31B-18A8-49CC-8FC5-55A62EE7597E}"/>
    <cellStyle name="20% - Accent6 3 4 2 2 2 2" xfId="10214" xr:uid="{F2A5B535-252C-44F8-9D97-85DC2F838AF9}"/>
    <cellStyle name="20% - Accent6 3 4 2 2 3" xfId="7837" xr:uid="{A12EF408-24DC-4FA7-9A7D-DE7D0B398F69}"/>
    <cellStyle name="20% - Accent6 3 4 2 3" xfId="4767" xr:uid="{231C7B0B-3FB9-44D2-B189-B4E9D2DC2DA8}"/>
    <cellStyle name="20% - Accent6 3 4 2 3 2" xfId="10213" xr:uid="{D2B6BB48-7966-4810-A9CA-AAF70629B1E7}"/>
    <cellStyle name="20% - Accent6 3 4 2 4" xfId="7836" xr:uid="{28FD4BDD-2C5F-4CBA-A45C-BFC301EF47FD}"/>
    <cellStyle name="20% - Accent6 3 4 3" xfId="988" xr:uid="{49A15892-E7D4-4165-AA96-C2C7F9D42F24}"/>
    <cellStyle name="20% - Accent6 3 4 3 2" xfId="4769" xr:uid="{D0150126-2951-4327-8657-400142AEC03B}"/>
    <cellStyle name="20% - Accent6 3 4 3 2 2" xfId="10215" xr:uid="{1D0B69C1-ECF3-4E9F-9948-2690AB3D2CF9}"/>
    <cellStyle name="20% - Accent6 3 4 3 3" xfId="7838" xr:uid="{847A76FF-575E-47EA-85FE-E440213B8C78}"/>
    <cellStyle name="20% - Accent6 3 4 4" xfId="4766" xr:uid="{51835D9E-1AA9-4E8D-82E4-7ADFC2C6217A}"/>
    <cellStyle name="20% - Accent6 3 4 4 2" xfId="10212" xr:uid="{02B13CDB-6128-44E1-9B85-158115223804}"/>
    <cellStyle name="20% - Accent6 3 4 5" xfId="7835" xr:uid="{B3A1EA43-5235-48DD-82D5-D5A8D10DA820}"/>
    <cellStyle name="20% - Accent6 3 5" xfId="989" xr:uid="{EDBD39AA-26F9-40E9-BE09-8E05F9394A26}"/>
    <cellStyle name="20% - Accent6 3 5 2" xfId="990" xr:uid="{C0835057-A839-4371-8EE3-709887F8B7F1}"/>
    <cellStyle name="20% - Accent6 3 5 2 2" xfId="4771" xr:uid="{2049293A-6529-4391-8C8C-58DEA3946554}"/>
    <cellStyle name="20% - Accent6 3 5 2 2 2" xfId="10217" xr:uid="{0B64A83F-3113-4A34-8B1E-A56C18011543}"/>
    <cellStyle name="20% - Accent6 3 5 2 3" xfId="7840" xr:uid="{3583235F-CA01-44D7-A25D-B86789953845}"/>
    <cellStyle name="20% - Accent6 3 5 3" xfId="4770" xr:uid="{B96CB523-FCA3-467F-A8A6-BA693BB91FDD}"/>
    <cellStyle name="20% - Accent6 3 5 3 2" xfId="10216" xr:uid="{6E4E96CF-929A-41F9-96C4-F2B059027395}"/>
    <cellStyle name="20% - Accent6 3 5 4" xfId="7839" xr:uid="{62DBBD4E-7527-45A8-A85E-657FF2743055}"/>
    <cellStyle name="20% - Accent6 3 6" xfId="991" xr:uid="{5C6EB8D4-65C7-4D55-9920-B01669FD484B}"/>
    <cellStyle name="20% - Accent6 3 6 2" xfId="4772" xr:uid="{7680F3E1-D037-4D80-B195-7CCB771AFC48}"/>
    <cellStyle name="20% - Accent6 3 6 2 2" xfId="10218" xr:uid="{D2D8AF6E-A9AA-4E48-AB5A-8500E5A805F0}"/>
    <cellStyle name="20% - Accent6 3 6 3" xfId="7841" xr:uid="{7E71410E-22B3-4127-805F-17E56CD23E06}"/>
    <cellStyle name="20% - Accent6 3 7" xfId="4749" xr:uid="{242F089C-A20F-48A3-B931-E5D5C45192B0}"/>
    <cellStyle name="20% - Accent6 3 7 2" xfId="10195" xr:uid="{B8F65D92-1B23-41BB-B221-7DB089A43955}"/>
    <cellStyle name="20% - Accent6 3 8" xfId="7818" xr:uid="{30D1B849-4B8F-43F0-A2DD-68C20438CE3E}"/>
    <cellStyle name="20% - Accent6 4" xfId="992" xr:uid="{1F8AF8F2-B715-48CB-8771-C3049EDAD255}"/>
    <cellStyle name="20% - Accent6 4 2" xfId="993" xr:uid="{A62CE8C2-7655-4C21-8078-AFB602ED8AD2}"/>
    <cellStyle name="20% - Accent6 4 2 2" xfId="994" xr:uid="{33B4FA8C-8167-4756-855C-9AE6AA7FF753}"/>
    <cellStyle name="20% - Accent6 4 2 2 2" xfId="995" xr:uid="{B9307BFE-03E4-4767-8767-B0BB310DB829}"/>
    <cellStyle name="20% - Accent6 4 2 2 2 2" xfId="996" xr:uid="{2F154531-E054-4929-9A13-417D7CAB93B8}"/>
    <cellStyle name="20% - Accent6 4 2 2 2 2 2" xfId="4777" xr:uid="{4EE551B7-32C4-40BE-A455-75864C3E0D3B}"/>
    <cellStyle name="20% - Accent6 4 2 2 2 2 2 2" xfId="10223" xr:uid="{0399A0B0-ED69-40A9-B6ED-CA03F5749591}"/>
    <cellStyle name="20% - Accent6 4 2 2 2 2 3" xfId="7846" xr:uid="{9F3000AF-3C96-4962-B4CD-14C4C19F45EA}"/>
    <cellStyle name="20% - Accent6 4 2 2 2 3" xfId="4776" xr:uid="{0F52BA3A-0DE7-4313-A07A-F2429690A59F}"/>
    <cellStyle name="20% - Accent6 4 2 2 2 3 2" xfId="10222" xr:uid="{6BF93E69-A9EA-4AB7-96D0-F4F78B0DF7D0}"/>
    <cellStyle name="20% - Accent6 4 2 2 2 4" xfId="7845" xr:uid="{85D001A5-70AB-4044-8179-165B72BC8C37}"/>
    <cellStyle name="20% - Accent6 4 2 2 3" xfId="997" xr:uid="{814B13A3-57F8-4FD9-8CEC-75A6C7093915}"/>
    <cellStyle name="20% - Accent6 4 2 2 3 2" xfId="4778" xr:uid="{3E5B10DC-858F-4342-8595-4D61F29FAADB}"/>
    <cellStyle name="20% - Accent6 4 2 2 3 2 2" xfId="10224" xr:uid="{23508FDC-E5DA-489A-9750-38981B37EF15}"/>
    <cellStyle name="20% - Accent6 4 2 2 3 3" xfId="7847" xr:uid="{571D12BF-282E-4385-B82B-EB7A664D91C1}"/>
    <cellStyle name="20% - Accent6 4 2 2 4" xfId="4775" xr:uid="{A1BADE55-6E7C-4F0F-95DE-20F02060F3EF}"/>
    <cellStyle name="20% - Accent6 4 2 2 4 2" xfId="10221" xr:uid="{6AB57BB9-CEF9-486D-A6B8-FA8980B9D908}"/>
    <cellStyle name="20% - Accent6 4 2 2 5" xfId="7844" xr:uid="{E34FB436-5959-4B15-981E-AF6CF06FA953}"/>
    <cellStyle name="20% - Accent6 4 2 3" xfId="998" xr:uid="{B4E3FF96-1F8A-4176-AFFF-E5A5F5413C6E}"/>
    <cellStyle name="20% - Accent6 4 2 3 2" xfId="999" xr:uid="{C67C026E-A6FA-46DD-A2D3-2A53E9680FDE}"/>
    <cellStyle name="20% - Accent6 4 2 3 2 2" xfId="4780" xr:uid="{0E9233C5-BE94-4A9F-AA94-73BD388D8E0D}"/>
    <cellStyle name="20% - Accent6 4 2 3 2 2 2" xfId="10226" xr:uid="{E2028C3A-4778-4318-963A-60EB2EF6C119}"/>
    <cellStyle name="20% - Accent6 4 2 3 2 3" xfId="7849" xr:uid="{2C0F3B0E-1275-498E-9D61-DC59C1C663A1}"/>
    <cellStyle name="20% - Accent6 4 2 3 3" xfId="4779" xr:uid="{57622F7A-01DB-4565-A2B3-5055D4141425}"/>
    <cellStyle name="20% - Accent6 4 2 3 3 2" xfId="10225" xr:uid="{03BDD438-3EBF-4250-8B0D-19BA91592ECC}"/>
    <cellStyle name="20% - Accent6 4 2 3 4" xfId="7848" xr:uid="{5831D771-7071-4C7E-9ED2-A2DDBB3ED474}"/>
    <cellStyle name="20% - Accent6 4 2 4" xfId="1000" xr:uid="{1AF163DF-1893-440E-840C-6658725DBA2C}"/>
    <cellStyle name="20% - Accent6 4 2 4 2" xfId="4781" xr:uid="{B6AC5560-7C96-4F5F-8CB7-93249B9E9106}"/>
    <cellStyle name="20% - Accent6 4 2 4 2 2" xfId="10227" xr:uid="{02AF9683-D4B8-4225-9D38-D5AA16AE60E4}"/>
    <cellStyle name="20% - Accent6 4 2 4 3" xfId="7850" xr:uid="{F947FA1B-3645-4A0F-AB07-D537EE4585F7}"/>
    <cellStyle name="20% - Accent6 4 2 5" xfId="4774" xr:uid="{260E1933-9634-4F5B-A91E-A76761BB6EC7}"/>
    <cellStyle name="20% - Accent6 4 2 5 2" xfId="10220" xr:uid="{D7EE2E25-595A-4C91-B42F-C5C6DC90761A}"/>
    <cellStyle name="20% - Accent6 4 2 6" xfId="7843" xr:uid="{13DB8A30-9471-48CB-9BF6-38191241C444}"/>
    <cellStyle name="20% - Accent6 4 3" xfId="1001" xr:uid="{FDD996ED-5641-4E69-B9A3-523097DA97AF}"/>
    <cellStyle name="20% - Accent6 4 3 2" xfId="1002" xr:uid="{C7A25F88-C4BB-4DEB-9350-A83B3B229E5F}"/>
    <cellStyle name="20% - Accent6 4 3 2 2" xfId="1003" xr:uid="{CBF839D9-D354-4AFB-8CB1-CC111D5CCD79}"/>
    <cellStyle name="20% - Accent6 4 3 2 2 2" xfId="1004" xr:uid="{27CB33BD-946B-47DC-90D8-85EEDB803722}"/>
    <cellStyle name="20% - Accent6 4 3 2 2 2 2" xfId="4785" xr:uid="{E6A654F9-3EE6-41F1-BE99-3BB88ACF9FD1}"/>
    <cellStyle name="20% - Accent6 4 3 2 2 2 2 2" xfId="10231" xr:uid="{81E7D3F4-FE21-4401-8779-013E688585BB}"/>
    <cellStyle name="20% - Accent6 4 3 2 2 2 3" xfId="7854" xr:uid="{5DF0AB05-0DBF-443B-99F3-CF95DAF456AF}"/>
    <cellStyle name="20% - Accent6 4 3 2 2 3" xfId="4784" xr:uid="{1FFF079E-6546-4A75-908A-B21E516E77A4}"/>
    <cellStyle name="20% - Accent6 4 3 2 2 3 2" xfId="10230" xr:uid="{04876615-9733-484E-8604-EFA07E4AA90A}"/>
    <cellStyle name="20% - Accent6 4 3 2 2 4" xfId="7853" xr:uid="{1FFA4DEB-8ECF-49C7-A274-578F424D9C03}"/>
    <cellStyle name="20% - Accent6 4 3 2 3" xfId="1005" xr:uid="{E1A1CF14-C27C-4C72-ACE9-8EAB0F41B442}"/>
    <cellStyle name="20% - Accent6 4 3 2 3 2" xfId="4786" xr:uid="{61F16B26-A8DB-4978-8315-ADA659F713BA}"/>
    <cellStyle name="20% - Accent6 4 3 2 3 2 2" xfId="10232" xr:uid="{174310B2-D192-463F-B4FA-177CD3E9A356}"/>
    <cellStyle name="20% - Accent6 4 3 2 3 3" xfId="7855" xr:uid="{96BC1329-703A-4100-9CCA-49313FA7811F}"/>
    <cellStyle name="20% - Accent6 4 3 2 4" xfId="4783" xr:uid="{74EA89A2-749E-4F53-A93A-2A6372E8BDC3}"/>
    <cellStyle name="20% - Accent6 4 3 2 4 2" xfId="10229" xr:uid="{CCC7F7C6-2007-49DE-AFD8-F03DA18F0966}"/>
    <cellStyle name="20% - Accent6 4 3 2 5" xfId="7852" xr:uid="{7B9BFBE1-78ED-47DF-A40C-013EB25AFD77}"/>
    <cellStyle name="20% - Accent6 4 3 3" xfId="1006" xr:uid="{4F4D9245-FC19-4299-B1C4-0024C1BD3727}"/>
    <cellStyle name="20% - Accent6 4 3 3 2" xfId="1007" xr:uid="{B7F4DB87-8BD2-498E-9CF5-E4238750D2C8}"/>
    <cellStyle name="20% - Accent6 4 3 3 2 2" xfId="4788" xr:uid="{D9F11F13-8380-4BEB-B2F5-FFF947324610}"/>
    <cellStyle name="20% - Accent6 4 3 3 2 2 2" xfId="10234" xr:uid="{22860C3E-7911-4F7E-8054-24CCBDB86BEF}"/>
    <cellStyle name="20% - Accent6 4 3 3 2 3" xfId="7857" xr:uid="{7B32A015-D042-4CB5-B053-7439A7240A70}"/>
    <cellStyle name="20% - Accent6 4 3 3 3" xfId="4787" xr:uid="{F9938777-5DC7-4ADC-A5D8-B1CB752BEB64}"/>
    <cellStyle name="20% - Accent6 4 3 3 3 2" xfId="10233" xr:uid="{07AB99F7-CCE5-4D71-9BA6-DA74A1517A37}"/>
    <cellStyle name="20% - Accent6 4 3 3 4" xfId="7856" xr:uid="{A081953F-906E-4B0D-8628-603427012446}"/>
    <cellStyle name="20% - Accent6 4 3 4" xfId="1008" xr:uid="{5D4E72D3-1A54-45E9-B5A4-251654074DE9}"/>
    <cellStyle name="20% - Accent6 4 3 4 2" xfId="4789" xr:uid="{C55D1A42-EBB7-4926-A6E6-62EAC53A2DD3}"/>
    <cellStyle name="20% - Accent6 4 3 4 2 2" xfId="10235" xr:uid="{EE7519A5-1D8A-40F5-A3B8-EFFB6E12B46B}"/>
    <cellStyle name="20% - Accent6 4 3 4 3" xfId="7858" xr:uid="{D3C9C58A-FA89-47C1-9759-760FC2E2F9DB}"/>
    <cellStyle name="20% - Accent6 4 3 5" xfId="4782" xr:uid="{39BF76AF-6A39-43F0-AD58-AF3EEDA0FDFC}"/>
    <cellStyle name="20% - Accent6 4 3 5 2" xfId="10228" xr:uid="{4F1C359C-6880-4F3E-82AA-09F7B8FC9150}"/>
    <cellStyle name="20% - Accent6 4 3 6" xfId="7851" xr:uid="{24BADA0C-D398-4CC4-AAD5-4A8AB06C544F}"/>
    <cellStyle name="20% - Accent6 4 4" xfId="1009" xr:uid="{69E8D0D9-6B63-4CE7-9611-F229BEAAE407}"/>
    <cellStyle name="20% - Accent6 4 4 2" xfId="1010" xr:uid="{40BE6A55-EE3A-4746-A657-88E1E16A0961}"/>
    <cellStyle name="20% - Accent6 4 4 2 2" xfId="1011" xr:uid="{FF8736F9-C5F0-483B-ABA0-A753D69F1A63}"/>
    <cellStyle name="20% - Accent6 4 4 2 2 2" xfId="4792" xr:uid="{62F9D31D-4939-46C7-AAA4-C37A076B51E6}"/>
    <cellStyle name="20% - Accent6 4 4 2 2 2 2" xfId="10238" xr:uid="{662E1EDD-9CEC-433F-ADF6-B04F858DC38D}"/>
    <cellStyle name="20% - Accent6 4 4 2 2 3" xfId="7861" xr:uid="{AC897223-4D91-4EC1-A0F5-3F3F0755799B}"/>
    <cellStyle name="20% - Accent6 4 4 2 3" xfId="4791" xr:uid="{65FE2FFC-227C-4FCA-90F1-921CFAC63671}"/>
    <cellStyle name="20% - Accent6 4 4 2 3 2" xfId="10237" xr:uid="{59F98FE4-54E2-4320-BFAC-6511D4C6F619}"/>
    <cellStyle name="20% - Accent6 4 4 2 4" xfId="7860" xr:uid="{B2B41444-946B-46ED-863E-01F2F045C0AC}"/>
    <cellStyle name="20% - Accent6 4 4 3" xfId="1012" xr:uid="{D17D2AEC-FF06-4665-BFAE-49EEE9E02BBF}"/>
    <cellStyle name="20% - Accent6 4 4 3 2" xfId="4793" xr:uid="{366E57D6-16B5-4CD3-9A00-B8B94AA03F77}"/>
    <cellStyle name="20% - Accent6 4 4 3 2 2" xfId="10239" xr:uid="{A5A70EBF-9818-4CF4-B446-B0C54F7E9B83}"/>
    <cellStyle name="20% - Accent6 4 4 3 3" xfId="7862" xr:uid="{1FFA2E3B-BDF7-4AAF-A12C-52240B733F6E}"/>
    <cellStyle name="20% - Accent6 4 4 4" xfId="4790" xr:uid="{D55A9B9B-C3C9-4626-841F-9ADDE0E4D351}"/>
    <cellStyle name="20% - Accent6 4 4 4 2" xfId="10236" xr:uid="{744709F7-9DF4-4874-8B6B-026C64DC9E6B}"/>
    <cellStyle name="20% - Accent6 4 4 5" xfId="7859" xr:uid="{F6F8FC92-9393-4EB5-BA0B-EA51503A4AF8}"/>
    <cellStyle name="20% - Accent6 4 5" xfId="1013" xr:uid="{0CB985C4-834F-4167-A566-F6AAD0F5471C}"/>
    <cellStyle name="20% - Accent6 4 5 2" xfId="1014" xr:uid="{463F343E-593C-40F4-A38A-1837C52E9954}"/>
    <cellStyle name="20% - Accent6 4 5 2 2" xfId="4795" xr:uid="{ECB0A4AD-0C90-4CBB-A655-4893874962A6}"/>
    <cellStyle name="20% - Accent6 4 5 2 2 2" xfId="10241" xr:uid="{7CCBEB57-B449-41EA-8216-9C2126F319D7}"/>
    <cellStyle name="20% - Accent6 4 5 2 3" xfId="7864" xr:uid="{6F2F2D99-5145-437A-A181-C2B14EC757A2}"/>
    <cellStyle name="20% - Accent6 4 5 3" xfId="4794" xr:uid="{25F62A4F-3EA7-4DD2-B259-63122B4B0C08}"/>
    <cellStyle name="20% - Accent6 4 5 3 2" xfId="10240" xr:uid="{0AFF5F30-4128-4412-99CB-5307A9BF6234}"/>
    <cellStyle name="20% - Accent6 4 5 4" xfId="7863" xr:uid="{8E03EBE8-0748-4F3B-8BEB-53F253D9AFE8}"/>
    <cellStyle name="20% - Accent6 4 6" xfId="1015" xr:uid="{933B81B2-6766-4666-9FC9-92ABEADA67EC}"/>
    <cellStyle name="20% - Accent6 4 6 2" xfId="4796" xr:uid="{78E95728-ED6C-45E6-9FF0-26EB0BFE86E3}"/>
    <cellStyle name="20% - Accent6 4 6 2 2" xfId="10242" xr:uid="{2C30DD38-D36C-4929-9D3F-81B1DE111B6A}"/>
    <cellStyle name="20% - Accent6 4 6 3" xfId="7865" xr:uid="{58D51077-CA92-4C6A-9EDE-EC715A083FC9}"/>
    <cellStyle name="20% - Accent6 4 7" xfId="4773" xr:uid="{DAE40CF7-9465-4467-AFEA-804090C90875}"/>
    <cellStyle name="20% - Accent6 4 7 2" xfId="10219" xr:uid="{A9E6C718-2B8F-4E8D-BAA1-DD860270DADD}"/>
    <cellStyle name="20% - Accent6 4 8" xfId="7842" xr:uid="{9861EBA6-7D21-4619-B08D-BBC584EC02A8}"/>
    <cellStyle name="20% - Accent6 5" xfId="1016" xr:uid="{4B5BC647-192B-4EC8-A493-0FC4554CDE91}"/>
    <cellStyle name="20% - Accent6 5 2" xfId="1017" xr:uid="{AE3A0BAF-87DC-48B6-89A6-8FE81FD8323F}"/>
    <cellStyle name="20% - Accent6 5 2 2" xfId="1018" xr:uid="{0615C217-1B75-4487-A353-7E0F41AFB43E}"/>
    <cellStyle name="20% - Accent6 5 2 2 2" xfId="1019" xr:uid="{5F387F9E-9517-4501-8FCD-2D120E7CC09B}"/>
    <cellStyle name="20% - Accent6 5 2 2 2 2" xfId="4800" xr:uid="{32467F94-7F71-4E2E-8B5C-A475F080174B}"/>
    <cellStyle name="20% - Accent6 5 2 2 2 2 2" xfId="10246" xr:uid="{530484B0-E61F-4FF3-A70C-99D82426E48E}"/>
    <cellStyle name="20% - Accent6 5 2 2 2 3" xfId="7869" xr:uid="{495479DA-67B4-4247-91A6-13027035CFC6}"/>
    <cellStyle name="20% - Accent6 5 2 2 3" xfId="4799" xr:uid="{BC38F452-5ECC-478F-8C54-C2EEC4EDEF7A}"/>
    <cellStyle name="20% - Accent6 5 2 2 3 2" xfId="10245" xr:uid="{02CF8696-F4DD-4C47-8ECA-418F2691AEF0}"/>
    <cellStyle name="20% - Accent6 5 2 2 4" xfId="7868" xr:uid="{FF4478C1-10EB-456A-B74B-DA9BFDA501C4}"/>
    <cellStyle name="20% - Accent6 5 2 3" xfId="1020" xr:uid="{59F7FA53-3262-4B63-A16F-7BFBF8F73366}"/>
    <cellStyle name="20% - Accent6 5 2 3 2" xfId="4801" xr:uid="{FFCF7748-EC5C-47CB-B59D-DFD888F591D0}"/>
    <cellStyle name="20% - Accent6 5 2 3 2 2" xfId="10247" xr:uid="{91993EAE-AD23-4F15-920F-7EE76F8AF3A9}"/>
    <cellStyle name="20% - Accent6 5 2 3 3" xfId="7870" xr:uid="{E4E23B53-4E75-4584-98D7-DF2D8790C994}"/>
    <cellStyle name="20% - Accent6 5 2 4" xfId="4798" xr:uid="{A7DF5D5E-C9AB-425F-9B9A-0430C4B618B1}"/>
    <cellStyle name="20% - Accent6 5 2 4 2" xfId="10244" xr:uid="{874E7C2D-74B5-4B2D-9DD6-EA549CA29BB8}"/>
    <cellStyle name="20% - Accent6 5 2 5" xfId="7867" xr:uid="{91B79059-37F0-47B8-AA02-A0891F47E1B2}"/>
    <cellStyle name="20% - Accent6 5 3" xfId="1021" xr:uid="{A23110A3-4F13-4A12-826A-1789917B9303}"/>
    <cellStyle name="20% - Accent6 5 3 2" xfId="1022" xr:uid="{60E63AD1-2D1B-4292-BFCC-81C481923371}"/>
    <cellStyle name="20% - Accent6 5 3 2 2" xfId="4803" xr:uid="{5F080713-B1EA-4481-B5DC-6F6B64D72AD1}"/>
    <cellStyle name="20% - Accent6 5 3 2 2 2" xfId="10249" xr:uid="{72BD3ADF-9E40-412D-8A30-8A90CCC79768}"/>
    <cellStyle name="20% - Accent6 5 3 2 3" xfId="7872" xr:uid="{8A86F706-A14A-417B-9273-7609EF538DDF}"/>
    <cellStyle name="20% - Accent6 5 3 3" xfId="4802" xr:uid="{43AEC4D5-2F9E-44E8-9A18-B3302753D3A1}"/>
    <cellStyle name="20% - Accent6 5 3 3 2" xfId="10248" xr:uid="{0D03F80F-77BD-48BE-AA54-55FCEC37E908}"/>
    <cellStyle name="20% - Accent6 5 3 4" xfId="7871" xr:uid="{836ABB4D-23F5-4605-AFCF-5D27979065F0}"/>
    <cellStyle name="20% - Accent6 5 4" xfId="1023" xr:uid="{67EE2B54-A752-41AD-94F4-2EB5C1FBD15D}"/>
    <cellStyle name="20% - Accent6 5 4 2" xfId="4804" xr:uid="{3B86C1B5-314E-43E3-B85A-5D1A5A9153B0}"/>
    <cellStyle name="20% - Accent6 5 4 2 2" xfId="10250" xr:uid="{EE21FF5E-B596-45BD-ACC7-D58AEC6FB9D4}"/>
    <cellStyle name="20% - Accent6 5 4 3" xfId="7873" xr:uid="{41CF6F04-DFC4-4DD4-A342-3A44EBF60D92}"/>
    <cellStyle name="20% - Accent6 5 5" xfId="4797" xr:uid="{4E7418A7-1E0E-4B45-AABB-8E2520199D82}"/>
    <cellStyle name="20% - Accent6 5 5 2" xfId="10243" xr:uid="{27050A0E-A12D-4E64-A051-E78784A86810}"/>
    <cellStyle name="20% - Accent6 5 6" xfId="7866" xr:uid="{369B9780-4CA8-47EF-B0D4-1C494EFB5EAD}"/>
    <cellStyle name="20% - Accent6 6" xfId="1024" xr:uid="{FF3F1B92-77F5-4D89-93AD-EB058A65FC36}"/>
    <cellStyle name="20% - Accent6 6 2" xfId="1025" xr:uid="{0E5C3B66-B806-4591-AE2E-C01BA046F72F}"/>
    <cellStyle name="20% - Accent6 6 2 2" xfId="1026" xr:uid="{1A030F47-50E8-48BA-AC05-598E3BC67FC8}"/>
    <cellStyle name="20% - Accent6 6 2 2 2" xfId="1027" xr:uid="{2813CE13-96BF-4CFD-A57E-ED47497DF82B}"/>
    <cellStyle name="20% - Accent6 6 2 2 2 2" xfId="4808" xr:uid="{4BD343E7-1F0A-4CAC-AF40-B0C9FA0E8845}"/>
    <cellStyle name="20% - Accent6 6 2 2 2 2 2" xfId="10254" xr:uid="{6E5AF72A-9D3E-497C-A263-A66186E4B55B}"/>
    <cellStyle name="20% - Accent6 6 2 2 2 3" xfId="7877" xr:uid="{A6908DD3-B4EB-4E14-9FDE-8B29633DEFBC}"/>
    <cellStyle name="20% - Accent6 6 2 2 3" xfId="4807" xr:uid="{3BE44972-4143-4062-A5C7-CE27FE3BC309}"/>
    <cellStyle name="20% - Accent6 6 2 2 3 2" xfId="10253" xr:uid="{789D6D5E-F064-4851-82B5-8EA5572B2830}"/>
    <cellStyle name="20% - Accent6 6 2 2 4" xfId="7876" xr:uid="{8B1768C7-35B6-410C-92E8-1D4423F8952C}"/>
    <cellStyle name="20% - Accent6 6 2 3" xfId="1028" xr:uid="{201CBA7C-9DED-422B-A4F4-15B39701772D}"/>
    <cellStyle name="20% - Accent6 6 2 3 2" xfId="4809" xr:uid="{4A1349FD-0D89-48CA-9489-B838E13D9B64}"/>
    <cellStyle name="20% - Accent6 6 2 3 2 2" xfId="10255" xr:uid="{4543BA0D-D04A-4563-8F22-9D502A5E07DD}"/>
    <cellStyle name="20% - Accent6 6 2 3 3" xfId="7878" xr:uid="{280D2CED-C593-47A0-A887-11AD596F2F56}"/>
    <cellStyle name="20% - Accent6 6 2 4" xfId="4806" xr:uid="{F01BB13D-3344-4C7F-8C72-A3E96E616141}"/>
    <cellStyle name="20% - Accent6 6 2 4 2" xfId="10252" xr:uid="{3A89D51A-4E4A-49BA-8834-455FF049FC12}"/>
    <cellStyle name="20% - Accent6 6 2 5" xfId="7875" xr:uid="{EE72F99D-10E1-4014-BE35-0195E435C5A6}"/>
    <cellStyle name="20% - Accent6 6 3" xfId="1029" xr:uid="{B0EE252F-7D77-4B61-A569-B9C220C513ED}"/>
    <cellStyle name="20% - Accent6 6 3 2" xfId="1030" xr:uid="{D776F71D-A688-4E72-98D0-70F2E0BBBFEB}"/>
    <cellStyle name="20% - Accent6 6 3 2 2" xfId="4811" xr:uid="{AB73FF35-4FE4-4A42-B466-B6808D2B016C}"/>
    <cellStyle name="20% - Accent6 6 3 2 2 2" xfId="10257" xr:uid="{6EF041F6-937C-47A6-B63E-A36FA34AB203}"/>
    <cellStyle name="20% - Accent6 6 3 2 3" xfId="7880" xr:uid="{1B217610-DD1F-4ACC-806A-EE2F80D7AAE0}"/>
    <cellStyle name="20% - Accent6 6 3 3" xfId="4810" xr:uid="{123A1C9D-460D-43E1-99BF-89F737423722}"/>
    <cellStyle name="20% - Accent6 6 3 3 2" xfId="10256" xr:uid="{B13FE431-A3E3-40D4-BEE3-1B27289088CE}"/>
    <cellStyle name="20% - Accent6 6 3 4" xfId="7879" xr:uid="{9BF091F9-222C-4C81-A88B-08A07F329743}"/>
    <cellStyle name="20% - Accent6 6 4" xfId="1031" xr:uid="{A16346F9-72FB-4A9B-8FB8-FFDE84884F7C}"/>
    <cellStyle name="20% - Accent6 6 4 2" xfId="4812" xr:uid="{DE4A7D28-C99E-409A-81BE-82890CA4F5B5}"/>
    <cellStyle name="20% - Accent6 6 4 2 2" xfId="10258" xr:uid="{CA5AB25E-BE89-4C8D-92AA-4DD7C86BB0EC}"/>
    <cellStyle name="20% - Accent6 6 4 3" xfId="7881" xr:uid="{5F20A766-A677-40AF-BC2E-0CF85783B09A}"/>
    <cellStyle name="20% - Accent6 6 5" xfId="4805" xr:uid="{880C0332-2BA4-4A08-A1CE-7BD3C29476A8}"/>
    <cellStyle name="20% - Accent6 6 5 2" xfId="10251" xr:uid="{9BD808C4-BE81-422D-B24A-B34DF849AC7A}"/>
    <cellStyle name="20% - Accent6 6 6" xfId="7874" xr:uid="{8F5C66BA-693F-4896-B0BE-89D47AAA9073}"/>
    <cellStyle name="20% - Accent6 7" xfId="1032" xr:uid="{55C8F13C-6116-44E8-B620-D186CC5F4246}"/>
    <cellStyle name="20% - Accent6 7 2" xfId="1033" xr:uid="{E747D0CC-175E-47EF-9229-DE0FFBF5BE61}"/>
    <cellStyle name="20% - Accent6 7 2 2" xfId="1034" xr:uid="{8A967C73-BB47-4484-9472-60FA6D3F7CF5}"/>
    <cellStyle name="20% - Accent6 7 2 2 2" xfId="4815" xr:uid="{DBC5B891-B3F1-41D2-AFE4-A38B1A80DAEA}"/>
    <cellStyle name="20% - Accent6 7 2 2 2 2" xfId="10261" xr:uid="{DC10E784-DEBC-4133-B38E-3BC730AF929D}"/>
    <cellStyle name="20% - Accent6 7 2 2 3" xfId="7884" xr:uid="{475B8440-1202-4708-A044-B895CC199181}"/>
    <cellStyle name="20% - Accent6 7 2 3" xfId="4814" xr:uid="{51A606D7-A61D-40C2-A808-CA5BC9E8AAE9}"/>
    <cellStyle name="20% - Accent6 7 2 3 2" xfId="10260" xr:uid="{420867AA-E884-4770-B4DD-8507078C78A9}"/>
    <cellStyle name="20% - Accent6 7 2 4" xfId="7883" xr:uid="{2B672787-50BB-4B27-8E6A-CF44EAA8D1CE}"/>
    <cellStyle name="20% - Accent6 7 3" xfId="1035" xr:uid="{6F5061E7-C796-4D81-A05E-562EB9FD1FBF}"/>
    <cellStyle name="20% - Accent6 7 3 2" xfId="4816" xr:uid="{298EE08B-0FFD-4F30-88C3-458F159E82CE}"/>
    <cellStyle name="20% - Accent6 7 3 2 2" xfId="10262" xr:uid="{8AE0F0F1-CAB3-4884-9E8B-072125BD7AA8}"/>
    <cellStyle name="20% - Accent6 7 3 3" xfId="7885" xr:uid="{037BBCB4-0020-4058-A11C-B35B6A5D05FB}"/>
    <cellStyle name="20% - Accent6 7 4" xfId="4813" xr:uid="{060784B6-7808-49BE-94AE-CBB527AB69C7}"/>
    <cellStyle name="20% - Accent6 7 4 2" xfId="10259" xr:uid="{7B9BC73A-4BA0-47D9-AB92-78F7D135458C}"/>
    <cellStyle name="20% - Accent6 7 5" xfId="7882" xr:uid="{697F7562-DBB6-4EAA-947C-0732B96539A5}"/>
    <cellStyle name="20% - Accent6 8" xfId="1036" xr:uid="{1300B754-B54A-458F-8280-6BD300320FDF}"/>
    <cellStyle name="20% - Accent6 8 2" xfId="1037" xr:uid="{DA2B69CE-5039-4CB2-8CD3-255E44869D4C}"/>
    <cellStyle name="20% - Accent6 8 2 2" xfId="1038" xr:uid="{52BD075C-F13A-48F8-B159-D4CC455434B3}"/>
    <cellStyle name="20% - Accent6 8 2 2 2" xfId="4819" xr:uid="{91DDC57F-D049-4202-B233-18ADD6371800}"/>
    <cellStyle name="20% - Accent6 8 2 2 2 2" xfId="10265" xr:uid="{F28DD1C1-3AF4-4FEA-A8C8-792B8075DED8}"/>
    <cellStyle name="20% - Accent6 8 2 2 3" xfId="7888" xr:uid="{DC2CCCCE-60A4-4692-AE05-E64ED5BE4BDA}"/>
    <cellStyle name="20% - Accent6 8 2 3" xfId="4818" xr:uid="{31FB0A56-8E96-4F6A-ADB0-E8C3349FB567}"/>
    <cellStyle name="20% - Accent6 8 2 3 2" xfId="10264" xr:uid="{5D8E33AB-5CF7-4EBD-A035-828BA96AA056}"/>
    <cellStyle name="20% - Accent6 8 2 4" xfId="7887" xr:uid="{DFFB6368-DCBA-45B4-8C6B-9C7F963F0149}"/>
    <cellStyle name="20% - Accent6 8 3" xfId="1039" xr:uid="{12B17A8E-255C-4E1B-9956-4100DB3B91A8}"/>
    <cellStyle name="20% - Accent6 8 3 2" xfId="4820" xr:uid="{1A98BDFA-7C9B-4EC0-8E9B-D6D487339C57}"/>
    <cellStyle name="20% - Accent6 8 3 2 2" xfId="10266" xr:uid="{59B3F47B-9113-46F3-8300-83A4E61B2446}"/>
    <cellStyle name="20% - Accent6 8 3 3" xfId="7889" xr:uid="{25AC38DB-72CD-4A2B-BE26-02D6F1892871}"/>
    <cellStyle name="20% - Accent6 8 4" xfId="4817" xr:uid="{FAF770FD-BC33-4FFF-8BDC-E462B8A769DA}"/>
    <cellStyle name="20% - Accent6 8 4 2" xfId="10263" xr:uid="{3A5CDB4E-EDEC-45FE-BE76-46A6361D43E4}"/>
    <cellStyle name="20% - Accent6 8 5" xfId="7886" xr:uid="{909679CC-40F6-4FD2-A2D9-C8F4974E6973}"/>
    <cellStyle name="20% - Accent6 9" xfId="1040" xr:uid="{62BB1F59-C47D-497E-9A37-1BFE40D7AE77}"/>
    <cellStyle name="20% - Accent6 9 2" xfId="1041" xr:uid="{5F738EA5-781B-4BD6-BB40-8C8424118B32}"/>
    <cellStyle name="20% - Accent6 9 2 2" xfId="4822" xr:uid="{DCEA7409-B8E5-48CB-96CE-A64BE847B929}"/>
    <cellStyle name="20% - Accent6 9 2 2 2" xfId="10268" xr:uid="{F2379AC2-4282-4211-8827-4253AB633CFD}"/>
    <cellStyle name="20% - Accent6 9 2 3" xfId="7891" xr:uid="{D1E5D446-6F71-4031-9CA4-8758182DC8C3}"/>
    <cellStyle name="20% - Accent6 9 3" xfId="4821" xr:uid="{72816715-D472-4E8D-92BA-276A2EE5EDDF}"/>
    <cellStyle name="20% - Accent6 9 3 2" xfId="10267" xr:uid="{E76E78CC-D880-449A-A751-99DB6DB37005}"/>
    <cellStyle name="20% - Accent6 9 4" xfId="7890" xr:uid="{AED6A004-7696-4E9A-ADED-275BC37BFDAA}"/>
    <cellStyle name="40% - Accent1" xfId="7" builtinId="31" hidden="1" customBuiltin="1"/>
    <cellStyle name="40% - Accent1" xfId="355" builtinId="31" customBuiltin="1"/>
    <cellStyle name="40% - Accent1 10" xfId="1042" xr:uid="{D5962636-1C00-42BD-B9CD-717824D3BDCD}"/>
    <cellStyle name="40% - Accent1 10 2" xfId="1043" xr:uid="{89D0E1C4-511F-4593-BE82-D0FDD91AE037}"/>
    <cellStyle name="40% - Accent1 10 2 2" xfId="4824" xr:uid="{EDB0372F-797E-4B3A-BC8D-89AA0758C908}"/>
    <cellStyle name="40% - Accent1 10 2 2 2" xfId="10270" xr:uid="{3B31966A-337E-40CF-A6E3-104D5C8278F9}"/>
    <cellStyle name="40% - Accent1 10 2 3" xfId="7893" xr:uid="{9CAB05C1-2743-4337-843C-91BF24207A74}"/>
    <cellStyle name="40% - Accent1 10 3" xfId="4823" xr:uid="{264BA1A1-E4A2-4E18-93E4-4A0782F67640}"/>
    <cellStyle name="40% - Accent1 10 3 2" xfId="10269" xr:uid="{03EF65A8-C036-43FC-8105-D233579095ED}"/>
    <cellStyle name="40% - Accent1 10 4" xfId="7892" xr:uid="{4F31BEC3-6D98-48BF-8745-3C1B3A9BF665}"/>
    <cellStyle name="40% - Accent1 11" xfId="1044" xr:uid="{A02F13E2-FB4F-4A99-9059-94BBFA0773B6}"/>
    <cellStyle name="40% - Accent1 11 2" xfId="4825" xr:uid="{F327F64A-F513-4EBD-A61F-87B40A6E576D}"/>
    <cellStyle name="40% - Accent1 11 2 2" xfId="10271" xr:uid="{A31B8ED2-56AD-4770-8CC1-4866E86A699B}"/>
    <cellStyle name="40% - Accent1 11 3" xfId="7894" xr:uid="{0012AC32-E8D9-4DF0-802C-5F4492968ABD}"/>
    <cellStyle name="40% - Accent1 12" xfId="1045" xr:uid="{FA5827B6-B68F-4774-B88D-6967DB0451DC}"/>
    <cellStyle name="40% - Accent1 12 2" xfId="4826" xr:uid="{FC0B9604-3629-4876-A970-768D66394A6C}"/>
    <cellStyle name="40% - Accent1 12 2 2" xfId="10272" xr:uid="{FBC50108-192F-4899-BA6C-B9DC0061119D}"/>
    <cellStyle name="40% - Accent1 12 3" xfId="7895" xr:uid="{CFC89AB1-B54B-4926-A658-9FBAB57364A6}"/>
    <cellStyle name="40% - Accent1 13" xfId="4184" xr:uid="{7F8ADCA6-EFDE-4204-9C6A-BAFA00DF0873}"/>
    <cellStyle name="40% - Accent1 13 2" xfId="9630" xr:uid="{E412F452-F49A-44BB-A6C0-EB5A5AA2E99E}"/>
    <cellStyle name="40% - Accent1 14" xfId="7252" xr:uid="{9545F703-88DE-4399-80C4-B9C87318CACB}"/>
    <cellStyle name="40% - Accent1 2" xfId="1046" xr:uid="{4D1F35FF-8A07-4D9C-8EE1-FB996FAC9DF9}"/>
    <cellStyle name="40% - Accent1 2 10" xfId="4827" xr:uid="{CCCCC473-0088-445C-B5AF-E4D8D21346E7}"/>
    <cellStyle name="40% - Accent1 2 10 2" xfId="10273" xr:uid="{D91C1BEA-F39C-471A-83D6-8ED2F255AC6D}"/>
    <cellStyle name="40% - Accent1 2 11" xfId="7896" xr:uid="{1CDDE178-0AE9-4404-B108-A27E72A7473B}"/>
    <cellStyle name="40% - Accent1 2 2" xfId="1047" xr:uid="{889202D2-A9D9-48C5-B5E5-60214372FAF3}"/>
    <cellStyle name="40% - Accent1 2 2 2" xfId="1048" xr:uid="{95E90719-995A-4EFE-871E-9269AB1283CC}"/>
    <cellStyle name="40% - Accent1 2 2 2 2" xfId="1049" xr:uid="{1EB56AF9-699B-4D64-9D68-83A431A5486A}"/>
    <cellStyle name="40% - Accent1 2 2 2 2 2" xfId="1050" xr:uid="{80510193-FA47-4B81-8BFA-101E1CE02595}"/>
    <cellStyle name="40% - Accent1 2 2 2 2 2 2" xfId="4831" xr:uid="{8C634E96-44BF-4FF4-8637-41CEDE95679D}"/>
    <cellStyle name="40% - Accent1 2 2 2 2 2 2 2" xfId="10277" xr:uid="{3D7D85C9-2BD4-4479-93E4-B9F83C28E771}"/>
    <cellStyle name="40% - Accent1 2 2 2 2 2 3" xfId="7900" xr:uid="{43BF960F-AF89-4576-A4C1-8ED1304A1BF2}"/>
    <cellStyle name="40% - Accent1 2 2 2 2 3" xfId="4830" xr:uid="{6E31C618-88E5-4C2D-977C-FE477A14948F}"/>
    <cellStyle name="40% - Accent1 2 2 2 2 3 2" xfId="10276" xr:uid="{B4C005C0-5185-4EEE-B31F-A61D958209AD}"/>
    <cellStyle name="40% - Accent1 2 2 2 2 4" xfId="7899" xr:uid="{8041366C-2FD3-417B-B775-EBB5AF455971}"/>
    <cellStyle name="40% - Accent1 2 2 2 3" xfId="1051" xr:uid="{50D0A4B0-0D53-45EA-9B3A-C30375E76C75}"/>
    <cellStyle name="40% - Accent1 2 2 2 3 2" xfId="4832" xr:uid="{E4701594-09F9-4A76-9A15-C96BDDC0229E}"/>
    <cellStyle name="40% - Accent1 2 2 2 3 2 2" xfId="10278" xr:uid="{0CEAFB97-2112-4136-8FE1-943262A8523A}"/>
    <cellStyle name="40% - Accent1 2 2 2 3 3" xfId="7901" xr:uid="{6978B7E0-861F-4B74-A7C1-D71779246AF9}"/>
    <cellStyle name="40% - Accent1 2 2 2 4" xfId="4829" xr:uid="{EF92A995-3771-4D30-B967-D64F4CF38935}"/>
    <cellStyle name="40% - Accent1 2 2 2 4 2" xfId="10275" xr:uid="{3F165CC3-59E7-4B02-9244-2B7654641A57}"/>
    <cellStyle name="40% - Accent1 2 2 2 5" xfId="7898" xr:uid="{BA83A8E9-F316-44D3-9898-6FF422D33C3D}"/>
    <cellStyle name="40% - Accent1 2 2 3" xfId="1052" xr:uid="{B7890C3D-7FE0-4F3E-90E5-8C6281443763}"/>
    <cellStyle name="40% - Accent1 2 2 3 2" xfId="1053" xr:uid="{93A0352B-B8EB-4779-9F74-881D8D8D5263}"/>
    <cellStyle name="40% - Accent1 2 2 3 2 2" xfId="4834" xr:uid="{76AC36AA-003A-4F60-81BD-07CBBA97B9C2}"/>
    <cellStyle name="40% - Accent1 2 2 3 2 2 2" xfId="10280" xr:uid="{5E75A036-D422-4569-86EC-E00D0A248271}"/>
    <cellStyle name="40% - Accent1 2 2 3 2 3" xfId="7903" xr:uid="{35575A29-C2F4-4711-A4AB-6D865C25B675}"/>
    <cellStyle name="40% - Accent1 2 2 3 3" xfId="4833" xr:uid="{03F7C5B1-D226-4A60-B1DF-CC64DFE88DC8}"/>
    <cellStyle name="40% - Accent1 2 2 3 3 2" xfId="10279" xr:uid="{A803E0D3-C952-4B24-8512-E84BE4B569DE}"/>
    <cellStyle name="40% - Accent1 2 2 3 4" xfId="7902" xr:uid="{F8307A2B-FF83-491C-8CB1-9A38A644032C}"/>
    <cellStyle name="40% - Accent1 2 2 4" xfId="1054" xr:uid="{BB1EFD61-0708-4B3A-A95E-A7B93292B95E}"/>
    <cellStyle name="40% - Accent1 2 2 4 2" xfId="4835" xr:uid="{910D1A91-54E5-42B0-B9C9-2F6EF4232752}"/>
    <cellStyle name="40% - Accent1 2 2 4 2 2" xfId="10281" xr:uid="{58D4DFB1-3E57-49C6-B9CC-60565F5DF709}"/>
    <cellStyle name="40% - Accent1 2 2 4 3" xfId="7904" xr:uid="{669A4C07-EE83-432C-811A-F9121BBED389}"/>
    <cellStyle name="40% - Accent1 2 2 5" xfId="1055" xr:uid="{DAE683E9-55F5-4442-8374-A8192E052CC6}"/>
    <cellStyle name="40% - Accent1 2 2 6" xfId="4828" xr:uid="{9DE958D2-9852-4B77-9E53-8A6D5D3B7C29}"/>
    <cellStyle name="40% - Accent1 2 2 6 2" xfId="10274" xr:uid="{42402B61-7D7E-4F12-9F46-D41D0C8E0BD9}"/>
    <cellStyle name="40% - Accent1 2 2 7" xfId="7897" xr:uid="{239C1D5C-1ACD-44C7-A2CA-B74AA44B47A3}"/>
    <cellStyle name="40% - Accent1 2 3" xfId="1056" xr:uid="{0B8C442B-4225-4D57-B5E0-94EFD21D10AE}"/>
    <cellStyle name="40% - Accent1 2 3 2" xfId="1057" xr:uid="{B4D1E6F2-47D2-48D5-9F0D-620B05EE10F7}"/>
    <cellStyle name="40% - Accent1 2 3 2 2" xfId="1058" xr:uid="{E5923329-8C12-41F0-9EF6-D76B99249726}"/>
    <cellStyle name="40% - Accent1 2 3 2 2 2" xfId="1059" xr:uid="{FAB21E3A-5CFE-4D23-8D26-6D1ACBC9877E}"/>
    <cellStyle name="40% - Accent1 2 3 2 2 2 2" xfId="4839" xr:uid="{B81D4090-DDF1-49CA-8F89-D3561C1A9D56}"/>
    <cellStyle name="40% - Accent1 2 3 2 2 2 2 2" xfId="10285" xr:uid="{55887841-B471-4D37-A927-F2AEF964D350}"/>
    <cellStyle name="40% - Accent1 2 3 2 2 2 3" xfId="7908" xr:uid="{7FB68A1B-5AD6-439C-ADD3-923D646CC212}"/>
    <cellStyle name="40% - Accent1 2 3 2 2 3" xfId="4838" xr:uid="{A2A312DD-BC82-44B6-A045-01FF6C52050D}"/>
    <cellStyle name="40% - Accent1 2 3 2 2 3 2" xfId="10284" xr:uid="{7845C8E7-E212-478D-B206-E9708B51C363}"/>
    <cellStyle name="40% - Accent1 2 3 2 2 4" xfId="7907" xr:uid="{9460DB48-F55D-433A-A4C8-EC110BD8864F}"/>
    <cellStyle name="40% - Accent1 2 3 2 3" xfId="1060" xr:uid="{07CC4618-3E71-4103-98C2-52281EF2FC6E}"/>
    <cellStyle name="40% - Accent1 2 3 2 3 2" xfId="4840" xr:uid="{11BF604F-7CF0-48EA-931F-98DDBFB8B81A}"/>
    <cellStyle name="40% - Accent1 2 3 2 3 2 2" xfId="10286" xr:uid="{D9E28F08-E17A-49B4-A2C7-E7E674EDA137}"/>
    <cellStyle name="40% - Accent1 2 3 2 3 3" xfId="7909" xr:uid="{E81A1BFE-03CC-4BCD-B91C-5ED0B9054579}"/>
    <cellStyle name="40% - Accent1 2 3 2 4" xfId="4837" xr:uid="{3A1F1149-AFAB-4FA8-A8EB-BD748E996E6F}"/>
    <cellStyle name="40% - Accent1 2 3 2 4 2" xfId="10283" xr:uid="{99ABD2EC-C8CB-4557-A611-2649CE614266}"/>
    <cellStyle name="40% - Accent1 2 3 2 5" xfId="7906" xr:uid="{D88D0E52-CE5C-43CF-83CD-E57DBC1CF678}"/>
    <cellStyle name="40% - Accent1 2 3 3" xfId="1061" xr:uid="{D8B5CF1B-4EDB-4AB3-94C6-E43861777862}"/>
    <cellStyle name="40% - Accent1 2 3 3 2" xfId="1062" xr:uid="{CDBB4E8D-687B-499D-A1E1-0F16800EB058}"/>
    <cellStyle name="40% - Accent1 2 3 3 2 2" xfId="4842" xr:uid="{81AE68B4-1A60-4F59-946A-3A8A93BE78CB}"/>
    <cellStyle name="40% - Accent1 2 3 3 2 2 2" xfId="10288" xr:uid="{5D9D6F7A-A2EC-4E39-81EC-9FE35CF5502D}"/>
    <cellStyle name="40% - Accent1 2 3 3 2 3" xfId="7911" xr:uid="{554EB284-BCC3-43A5-AACB-F1A73D0DA4D1}"/>
    <cellStyle name="40% - Accent1 2 3 3 3" xfId="4841" xr:uid="{B2B0B074-258D-4FC6-A301-419F7C2C58D4}"/>
    <cellStyle name="40% - Accent1 2 3 3 3 2" xfId="10287" xr:uid="{67C5713A-9F95-4DFF-833F-0828A8BE618F}"/>
    <cellStyle name="40% - Accent1 2 3 3 4" xfId="7910" xr:uid="{47ADDF00-462A-42C2-AC3F-DF9EFEE3FF76}"/>
    <cellStyle name="40% - Accent1 2 3 4" xfId="1063" xr:uid="{5CCFED31-2651-4D05-A37B-6B1B34E2AEC1}"/>
    <cellStyle name="40% - Accent1 2 3 4 2" xfId="4843" xr:uid="{3EB030FC-BC13-4915-8303-A636959556F0}"/>
    <cellStyle name="40% - Accent1 2 3 4 2 2" xfId="10289" xr:uid="{856642EF-8158-4984-8C4F-6F7FA44E8D33}"/>
    <cellStyle name="40% - Accent1 2 3 4 3" xfId="7912" xr:uid="{2D65D1A5-9180-415C-9B09-42054F27E2D0}"/>
    <cellStyle name="40% - Accent1 2 3 5" xfId="1064" xr:uid="{37328D59-513F-4F93-B444-A9E2705E0475}"/>
    <cellStyle name="40% - Accent1 2 3 6" xfId="3383" xr:uid="{5EFB0ED6-A6F6-4EAF-9B14-29B2A6228C9E}"/>
    <cellStyle name="40% - Accent1 2 3 6 2" xfId="5872" xr:uid="{9B4AB005-63F6-4AD6-950C-1C5930266088}"/>
    <cellStyle name="40% - Accent1 2 3 6 2 2" xfId="11314" xr:uid="{A68B5222-8D2B-4DDE-9669-53C62A45FF8D}"/>
    <cellStyle name="40% - Accent1 2 3 6 3" xfId="8930" xr:uid="{E6EC3B02-447E-4C6D-A1D6-ED25B278D0A2}"/>
    <cellStyle name="40% - Accent1 2 3 7" xfId="2078" xr:uid="{A3B9A372-E3CD-4043-A1A6-D9C7D2AD6DBE}"/>
    <cellStyle name="40% - Accent1 2 3 8" xfId="4836" xr:uid="{4D648D8C-9A17-46CF-8280-D563762297B5}"/>
    <cellStyle name="40% - Accent1 2 3 8 2" xfId="10282" xr:uid="{5C20F31F-CBFD-4EB7-A484-1B174BD584E2}"/>
    <cellStyle name="40% - Accent1 2 3 9" xfId="7905" xr:uid="{28E7E52E-93CC-4ED3-8285-8B3060208B1F}"/>
    <cellStyle name="40% - Accent1 2 4" xfId="1065" xr:uid="{0C56A4B0-8D56-4EE6-A106-1910B35AFAB8}"/>
    <cellStyle name="40% - Accent1 2 4 2" xfId="1066" xr:uid="{95686B1D-06FD-4450-891E-6E7A08195923}"/>
    <cellStyle name="40% - Accent1 2 4 2 2" xfId="1067" xr:uid="{F3E6DEE0-308D-4F38-9437-44D16B5BAF0A}"/>
    <cellStyle name="40% - Accent1 2 4 2 2 2" xfId="4846" xr:uid="{9F69B95F-EEA7-4277-890E-C7BA92B768F1}"/>
    <cellStyle name="40% - Accent1 2 4 2 2 2 2" xfId="10292" xr:uid="{DEFE918B-0B75-4801-BE12-B53799D9C9C4}"/>
    <cellStyle name="40% - Accent1 2 4 2 2 3" xfId="7915" xr:uid="{55C6BE01-AA3A-4362-89F9-6B82431952F6}"/>
    <cellStyle name="40% - Accent1 2 4 2 3" xfId="4845" xr:uid="{AA55011B-2498-44AF-93DB-F1133D9EEEB5}"/>
    <cellStyle name="40% - Accent1 2 4 2 3 2" xfId="10291" xr:uid="{7DAAFFBA-048F-4EE8-92BA-B8EBEC09597E}"/>
    <cellStyle name="40% - Accent1 2 4 2 4" xfId="7914" xr:uid="{5037B10D-2E08-47C7-B249-2B1F3A91B731}"/>
    <cellStyle name="40% - Accent1 2 4 3" xfId="1068" xr:uid="{100CF9E1-634B-4073-B65E-3730FD8F21DD}"/>
    <cellStyle name="40% - Accent1 2 4 3 2" xfId="4847" xr:uid="{58F56D61-BD96-439F-99E9-9A8549126D75}"/>
    <cellStyle name="40% - Accent1 2 4 3 2 2" xfId="10293" xr:uid="{5B8CA8B8-D765-4ACE-8F46-B66D0048432B}"/>
    <cellStyle name="40% - Accent1 2 4 3 3" xfId="7916" xr:uid="{A2A15C0A-938E-4F78-BE0C-B8E8F6FE9D55}"/>
    <cellStyle name="40% - Accent1 2 4 4" xfId="1069" xr:uid="{97392F0B-4372-4B4A-ADDA-2BEC167008A5}"/>
    <cellStyle name="40% - Accent1 2 4 5" xfId="3384" xr:uid="{ECA219FC-3AC7-4ADE-8AA5-7D359DF1C8AC}"/>
    <cellStyle name="40% - Accent1 2 4 5 2" xfId="5873" xr:uid="{366C7648-98DD-4DF4-B706-9A23BDEB5C67}"/>
    <cellStyle name="40% - Accent1 2 4 5 2 2" xfId="11315" xr:uid="{E201A748-DCCD-4AE2-B518-34C933B1BE89}"/>
    <cellStyle name="40% - Accent1 2 4 5 3" xfId="8931" xr:uid="{9FC7D3A0-585F-46AA-B250-934D9CAD5B51}"/>
    <cellStyle name="40% - Accent1 2 4 6" xfId="2079" xr:uid="{1AEAF1CA-3024-4E9A-B4B4-8519C0DA9E4C}"/>
    <cellStyle name="40% - Accent1 2 4 7" xfId="4844" xr:uid="{88DFF726-13CF-4A5C-9743-9D3808DB5FBA}"/>
    <cellStyle name="40% - Accent1 2 4 7 2" xfId="10290" xr:uid="{4A1E053C-1398-40B6-BEFF-6F15B0C48D20}"/>
    <cellStyle name="40% - Accent1 2 4 8" xfId="7913" xr:uid="{6C48F016-F35B-4851-AA7C-FDBD08EA724B}"/>
    <cellStyle name="40% - Accent1 2 5" xfId="1070" xr:uid="{E4BCFA15-9C1A-40B9-91F8-1BCBA2FC7A2C}"/>
    <cellStyle name="40% - Accent1 2 5 2" xfId="1071" xr:uid="{80F73E65-AEDB-4080-83B5-CB08D063CF28}"/>
    <cellStyle name="40% - Accent1 2 5 2 2" xfId="4849" xr:uid="{7814A138-53BD-45D4-B890-5DA3E68C9411}"/>
    <cellStyle name="40% - Accent1 2 5 2 2 2" xfId="10295" xr:uid="{1413F239-E880-4FE4-A6EA-068780CC8AD7}"/>
    <cellStyle name="40% - Accent1 2 5 2 3" xfId="7918" xr:uid="{DAA7C7FC-8904-47FD-8EB1-991702EE5A20}"/>
    <cellStyle name="40% - Accent1 2 5 3" xfId="1072" xr:uid="{CC08CF76-6EFB-40E4-B621-2ACA2D95FE84}"/>
    <cellStyle name="40% - Accent1 2 5 4" xfId="3385" xr:uid="{17910E44-8897-41D1-9288-729D095F5623}"/>
    <cellStyle name="40% - Accent1 2 5 4 2" xfId="5874" xr:uid="{0654898E-0FEA-421F-BD20-DD08C3E16CED}"/>
    <cellStyle name="40% - Accent1 2 5 4 2 2" xfId="11316" xr:uid="{71C676B8-A6D7-4665-9459-EC9F913879B9}"/>
    <cellStyle name="40% - Accent1 2 5 4 3" xfId="8932" xr:uid="{79BE081B-1651-4DE2-84D0-5C6E86701FB2}"/>
    <cellStyle name="40% - Accent1 2 5 5" xfId="2080" xr:uid="{2FBFC908-A713-4AB8-A4D5-84251F38778C}"/>
    <cellStyle name="40% - Accent1 2 5 6" xfId="4848" xr:uid="{0A6D8B03-993F-4AA5-80AD-7738B8D9B405}"/>
    <cellStyle name="40% - Accent1 2 5 6 2" xfId="10294" xr:uid="{22703594-3F97-4021-93C4-60AEEABE7717}"/>
    <cellStyle name="40% - Accent1 2 5 7" xfId="7917" xr:uid="{0496CC2B-4327-4339-BE0F-9FC9A0AD9EC2}"/>
    <cellStyle name="40% - Accent1 2 6" xfId="1073" xr:uid="{F06AFE2E-124F-44DE-8689-452D875BBF8D}"/>
    <cellStyle name="40% - Accent1 2 6 2" xfId="1074" xr:uid="{655FDCA2-C347-492B-A54C-476BE8F631C1}"/>
    <cellStyle name="40% - Accent1 2 6 3" xfId="3386" xr:uid="{28F72108-00AB-4177-B0B8-8DE55605E4DA}"/>
    <cellStyle name="40% - Accent1 2 6 3 2" xfId="5875" xr:uid="{1C690BBE-9341-4FA1-8308-78BE24B76A63}"/>
    <cellStyle name="40% - Accent1 2 6 3 2 2" xfId="11317" xr:uid="{1AC6A3F6-FCF2-48BE-82A0-84F85681D917}"/>
    <cellStyle name="40% - Accent1 2 6 3 3" xfId="8933" xr:uid="{D97EB25F-D0DA-4390-935E-1146568CA088}"/>
    <cellStyle name="40% - Accent1 2 6 4" xfId="2077" xr:uid="{FA7003A9-AB8E-4586-9097-59136923E117}"/>
    <cellStyle name="40% - Accent1 2 6 5" xfId="4850" xr:uid="{825A578C-B9C2-488A-9DF2-5E74315B837B}"/>
    <cellStyle name="40% - Accent1 2 6 5 2" xfId="10296" xr:uid="{5144837A-B4EA-4327-AC3D-63288FEEC427}"/>
    <cellStyle name="40% - Accent1 2 6 6" xfId="7919" xr:uid="{68A12009-D887-4C32-A24D-4FB1621E2AAB}"/>
    <cellStyle name="40% - Accent1 2 7" xfId="1075" xr:uid="{8C316B00-D7F0-475B-B4BE-7B8B0D831BDE}"/>
    <cellStyle name="40% - Accent1 2 8" xfId="1076" xr:uid="{EEC21EBD-2C93-4571-AA5A-0CF1738CD5BF}"/>
    <cellStyle name="40% - Accent1 2 9" xfId="1077" xr:uid="{7A135960-F94C-48B4-B04D-9B34C5409515}"/>
    <cellStyle name="40% - Accent1 3" xfId="1078" xr:uid="{0B1B0034-2827-4D4C-9C06-A7D12B8B3FC7}"/>
    <cellStyle name="40% - Accent1 3 2" xfId="1079" xr:uid="{B9C40F14-E3CA-463C-B68D-1570AFECFA62}"/>
    <cellStyle name="40% - Accent1 3 2 2" xfId="1080" xr:uid="{549BE694-AA1F-419F-96FC-C80056816A7D}"/>
    <cellStyle name="40% - Accent1 3 2 2 2" xfId="1081" xr:uid="{D1AA4F4D-E2AF-4932-8366-C93CB13946A9}"/>
    <cellStyle name="40% - Accent1 3 2 2 2 2" xfId="1082" xr:uid="{A0B5B8BB-A916-45CD-A79D-6AB1560596EC}"/>
    <cellStyle name="40% - Accent1 3 2 2 2 2 2" xfId="4855" xr:uid="{89804048-B94E-42EF-BBE5-EA20FEA15254}"/>
    <cellStyle name="40% - Accent1 3 2 2 2 2 2 2" xfId="10301" xr:uid="{237742D8-83A0-429C-B272-0F30D2B8FDAB}"/>
    <cellStyle name="40% - Accent1 3 2 2 2 2 3" xfId="7924" xr:uid="{E9F42062-D2A3-443B-AD6B-57D2B65D6494}"/>
    <cellStyle name="40% - Accent1 3 2 2 2 3" xfId="4854" xr:uid="{07E47FFC-487C-480D-8BEA-04E81938A5C2}"/>
    <cellStyle name="40% - Accent1 3 2 2 2 3 2" xfId="10300" xr:uid="{7C5B071E-67F8-4405-BC4A-65326E598175}"/>
    <cellStyle name="40% - Accent1 3 2 2 2 4" xfId="7923" xr:uid="{EF8FDD90-3A8C-46EE-8482-3E1293439F8C}"/>
    <cellStyle name="40% - Accent1 3 2 2 3" xfId="1083" xr:uid="{67270B55-6CFC-4A6F-8D27-3E89DFB4494D}"/>
    <cellStyle name="40% - Accent1 3 2 2 3 2" xfId="4856" xr:uid="{C6F1F273-1D24-4E1C-8891-33D4207EEC1C}"/>
    <cellStyle name="40% - Accent1 3 2 2 3 2 2" xfId="10302" xr:uid="{5761296B-DD7B-4734-A1ED-1F086D70B935}"/>
    <cellStyle name="40% - Accent1 3 2 2 3 3" xfId="7925" xr:uid="{7478EDD1-8BFD-4124-8CF5-C69A899B02AB}"/>
    <cellStyle name="40% - Accent1 3 2 2 4" xfId="4853" xr:uid="{3F60135E-0146-4EAD-810B-DB8CF423BE76}"/>
    <cellStyle name="40% - Accent1 3 2 2 4 2" xfId="10299" xr:uid="{E159AA27-CA9A-465B-B0DE-7FB027E22FFF}"/>
    <cellStyle name="40% - Accent1 3 2 2 5" xfId="7922" xr:uid="{AA5A25C4-C917-4AA5-B0D5-7059C61D8A35}"/>
    <cellStyle name="40% - Accent1 3 2 3" xfId="1084" xr:uid="{63EBA886-3C73-4BA6-A7E4-B6B75F75C5FD}"/>
    <cellStyle name="40% - Accent1 3 2 3 2" xfId="1085" xr:uid="{914BA344-8AAD-4D38-8CD9-2A27875501F5}"/>
    <cellStyle name="40% - Accent1 3 2 3 2 2" xfId="4858" xr:uid="{5BD99993-8202-4757-9801-88F9DED7BE83}"/>
    <cellStyle name="40% - Accent1 3 2 3 2 2 2" xfId="10304" xr:uid="{28FA48A1-60D9-448D-A7A8-C904CC5DD74B}"/>
    <cellStyle name="40% - Accent1 3 2 3 2 3" xfId="7927" xr:uid="{595AC6BC-3812-4A06-8A07-C31C2B8D89E8}"/>
    <cellStyle name="40% - Accent1 3 2 3 3" xfId="4857" xr:uid="{D64949FB-0DB5-47BB-9FF7-A28AFB9C5C2D}"/>
    <cellStyle name="40% - Accent1 3 2 3 3 2" xfId="10303" xr:uid="{50915BAB-A2FC-42DF-BE88-713A20C8C782}"/>
    <cellStyle name="40% - Accent1 3 2 3 4" xfId="7926" xr:uid="{B5DE84B7-9A48-4E4A-8BF2-FA9B3418A6AD}"/>
    <cellStyle name="40% - Accent1 3 2 4" xfId="1086" xr:uid="{2B02AFD9-D86C-4E65-83D0-D37C7CC52E15}"/>
    <cellStyle name="40% - Accent1 3 2 4 2" xfId="4859" xr:uid="{AA36A8A1-8C38-4B77-B8D2-6541DE8AD6B7}"/>
    <cellStyle name="40% - Accent1 3 2 4 2 2" xfId="10305" xr:uid="{69EDD710-E8A9-4466-804F-E72EBA6EE5A8}"/>
    <cellStyle name="40% - Accent1 3 2 4 3" xfId="7928" xr:uid="{4B0BF5F0-3B06-4AED-8D6D-79ECF19EC5BB}"/>
    <cellStyle name="40% - Accent1 3 2 5" xfId="3387" xr:uid="{2D112B01-CD30-49DA-8369-398467B834B9}"/>
    <cellStyle name="40% - Accent1 3 2 5 2" xfId="5876" xr:uid="{671B1310-6DE4-4426-B0FA-F9711D23360D}"/>
    <cellStyle name="40% - Accent1 3 2 5 2 2" xfId="11318" xr:uid="{4639FB2D-784C-4E64-82D7-52536BA19AA3}"/>
    <cellStyle name="40% - Accent1 3 2 5 3" xfId="8934" xr:uid="{3E5CA157-DF20-4A61-B33A-C4407CC563AB}"/>
    <cellStyle name="40% - Accent1 3 2 6" xfId="2081" xr:uid="{FD59CF25-9303-4484-AD38-294A27C6412F}"/>
    <cellStyle name="40% - Accent1 3 2 7" xfId="4852" xr:uid="{4E3D3AA2-BE8C-43BB-85E3-9FFB42F575BB}"/>
    <cellStyle name="40% - Accent1 3 2 7 2" xfId="10298" xr:uid="{A884656D-7436-4EDA-A689-E1CE5099E32B}"/>
    <cellStyle name="40% - Accent1 3 2 8" xfId="7921" xr:uid="{B8024C1C-8033-413E-A4DD-E2900ABD9F5D}"/>
    <cellStyle name="40% - Accent1 3 3" xfId="1087" xr:uid="{ED287C56-1030-4A5B-B4E1-0B75F562E8F9}"/>
    <cellStyle name="40% - Accent1 3 3 2" xfId="1088" xr:uid="{CFE99950-FED3-48E6-A2F1-3662DA455597}"/>
    <cellStyle name="40% - Accent1 3 3 2 2" xfId="1089" xr:uid="{2792C6C8-39EF-4466-A0CB-B940B92D7FA3}"/>
    <cellStyle name="40% - Accent1 3 3 2 2 2" xfId="1090" xr:uid="{AC7CC850-B433-4D92-B450-304F6CB8243C}"/>
    <cellStyle name="40% - Accent1 3 3 2 2 2 2" xfId="4863" xr:uid="{2259EEAF-CE58-4C2B-BA90-F09A6F9D1BE7}"/>
    <cellStyle name="40% - Accent1 3 3 2 2 2 2 2" xfId="10309" xr:uid="{F7E267FC-F4FF-4D54-91A1-BC3F4A5BF287}"/>
    <cellStyle name="40% - Accent1 3 3 2 2 2 3" xfId="7932" xr:uid="{C2B6558B-4690-4EDF-9A84-D97F02CF2287}"/>
    <cellStyle name="40% - Accent1 3 3 2 2 3" xfId="4862" xr:uid="{DA764F49-BF7B-49A0-A468-B034E81B93D6}"/>
    <cellStyle name="40% - Accent1 3 3 2 2 3 2" xfId="10308" xr:uid="{FB07316E-3912-4F4C-8EF7-4F2C61EB4156}"/>
    <cellStyle name="40% - Accent1 3 3 2 2 4" xfId="7931" xr:uid="{9ACF7314-63A2-4C25-A899-0B55DA9575F6}"/>
    <cellStyle name="40% - Accent1 3 3 2 3" xfId="1091" xr:uid="{F3EBD796-F54A-44A6-83A0-04933086A221}"/>
    <cellStyle name="40% - Accent1 3 3 2 3 2" xfId="4864" xr:uid="{9BC9F00A-7454-459C-860C-5D7276D95598}"/>
    <cellStyle name="40% - Accent1 3 3 2 3 2 2" xfId="10310" xr:uid="{5FEB658E-7C5D-4F7A-93F6-8F58C614C21F}"/>
    <cellStyle name="40% - Accent1 3 3 2 3 3" xfId="7933" xr:uid="{0A743953-1041-4BB8-AF8B-220A9823EE61}"/>
    <cellStyle name="40% - Accent1 3 3 2 4" xfId="4861" xr:uid="{A358B055-B887-449C-8614-5CE1568E3DB6}"/>
    <cellStyle name="40% - Accent1 3 3 2 4 2" xfId="10307" xr:uid="{EE2B3E67-2240-4CA5-9ED4-9617473BCF3E}"/>
    <cellStyle name="40% - Accent1 3 3 2 5" xfId="7930" xr:uid="{964FBA9B-4B1C-4085-8546-4C14A0DF74BC}"/>
    <cellStyle name="40% - Accent1 3 3 3" xfId="1092" xr:uid="{1C35BFD4-327B-41AB-ACC0-55D9B435ABD8}"/>
    <cellStyle name="40% - Accent1 3 3 3 2" xfId="1093" xr:uid="{E8E83A63-5F0F-4610-B325-C4319AF097E5}"/>
    <cellStyle name="40% - Accent1 3 3 3 2 2" xfId="4866" xr:uid="{3D048CBF-0A84-46F0-A1EE-C6D3EB3DD18F}"/>
    <cellStyle name="40% - Accent1 3 3 3 2 2 2" xfId="10312" xr:uid="{859AB74B-0263-4124-BD76-D3852FB50AC3}"/>
    <cellStyle name="40% - Accent1 3 3 3 2 3" xfId="7935" xr:uid="{32CF2F4F-2CB9-48C4-A97C-4CDF32AF9E23}"/>
    <cellStyle name="40% - Accent1 3 3 3 3" xfId="4865" xr:uid="{20A644BD-CF93-41CA-89A6-5AD062512E1D}"/>
    <cellStyle name="40% - Accent1 3 3 3 3 2" xfId="10311" xr:uid="{A0A8F9CA-B2CA-4967-A324-D8510EFAE1A3}"/>
    <cellStyle name="40% - Accent1 3 3 3 4" xfId="7934" xr:uid="{23038EC2-ADAA-47D4-B87C-52FE72F1370A}"/>
    <cellStyle name="40% - Accent1 3 3 4" xfId="1094" xr:uid="{8CB2C2F4-9E49-4628-A7BF-4B49B6A907BE}"/>
    <cellStyle name="40% - Accent1 3 3 4 2" xfId="4867" xr:uid="{70DB71A6-0C89-46A7-96F7-83A300596043}"/>
    <cellStyle name="40% - Accent1 3 3 4 2 2" xfId="10313" xr:uid="{003E19CC-9A5E-45E6-9BC8-A8E66118AFA4}"/>
    <cellStyle name="40% - Accent1 3 3 4 3" xfId="7936" xr:uid="{CCE5B800-192E-4EC5-AA3E-1ABDC7909B00}"/>
    <cellStyle name="40% - Accent1 3 3 5" xfId="4860" xr:uid="{19DAA1F9-E996-4864-8C10-5607ED9F5E49}"/>
    <cellStyle name="40% - Accent1 3 3 5 2" xfId="10306" xr:uid="{F933511A-BC45-4ADF-82DE-8CA90DA39C9C}"/>
    <cellStyle name="40% - Accent1 3 3 6" xfId="7929" xr:uid="{3EEE2247-7CF9-44D1-8A64-276349EF5546}"/>
    <cellStyle name="40% - Accent1 3 4" xfId="1095" xr:uid="{577C6A7A-A156-40D0-B48B-58BCB5AD65A8}"/>
    <cellStyle name="40% - Accent1 3 4 2" xfId="1096" xr:uid="{9F8317C2-147F-4EA4-B053-240C9446AA96}"/>
    <cellStyle name="40% - Accent1 3 4 2 2" xfId="1097" xr:uid="{4A144B0B-4E07-4092-B62B-836A8F4A6BFB}"/>
    <cellStyle name="40% - Accent1 3 4 2 2 2" xfId="4870" xr:uid="{DB6B4A01-4C7B-4F35-9E6C-36E9597A4921}"/>
    <cellStyle name="40% - Accent1 3 4 2 2 2 2" xfId="10316" xr:uid="{1BBA08C7-DBD9-486B-8DCD-27AAA03B8963}"/>
    <cellStyle name="40% - Accent1 3 4 2 2 3" xfId="7939" xr:uid="{B527395D-9D7E-4B16-AEA7-15F2F8B80145}"/>
    <cellStyle name="40% - Accent1 3 4 2 3" xfId="4869" xr:uid="{7E77F613-796B-438E-90B9-6C93124352D9}"/>
    <cellStyle name="40% - Accent1 3 4 2 3 2" xfId="10315" xr:uid="{ECE68BB3-BD86-463F-AC79-92A3BFF9DC58}"/>
    <cellStyle name="40% - Accent1 3 4 2 4" xfId="7938" xr:uid="{F523CA6C-4F03-4C0E-BE44-F2293F5FF03A}"/>
    <cellStyle name="40% - Accent1 3 4 3" xfId="1098" xr:uid="{BC8536A2-CDE1-48DF-8833-099ADC3D6304}"/>
    <cellStyle name="40% - Accent1 3 4 3 2" xfId="4871" xr:uid="{E14B6DBD-A8E4-428D-AE57-F5CF3F32B630}"/>
    <cellStyle name="40% - Accent1 3 4 3 2 2" xfId="10317" xr:uid="{184DA264-2987-4664-A436-50D66BC268A7}"/>
    <cellStyle name="40% - Accent1 3 4 3 3" xfId="7940" xr:uid="{25DE646D-D5E1-43D2-804D-7F7D3487970B}"/>
    <cellStyle name="40% - Accent1 3 4 4" xfId="4868" xr:uid="{5289C2E7-36E9-408D-AE11-760B8D695897}"/>
    <cellStyle name="40% - Accent1 3 4 4 2" xfId="10314" xr:uid="{E3BD9CFC-60FC-44D4-B4A9-A79D6C4C7BE2}"/>
    <cellStyle name="40% - Accent1 3 4 5" xfId="7937" xr:uid="{2BA2057A-9953-4790-A8F8-7792B881A63D}"/>
    <cellStyle name="40% - Accent1 3 5" xfId="1099" xr:uid="{F4834F13-F4D6-4269-BDBD-F5521A70C0E2}"/>
    <cellStyle name="40% - Accent1 3 5 2" xfId="1100" xr:uid="{E66E835B-9315-4CED-9E71-B4DF3B056C87}"/>
    <cellStyle name="40% - Accent1 3 5 2 2" xfId="4873" xr:uid="{BA981846-9830-45D4-88F1-776499AE8565}"/>
    <cellStyle name="40% - Accent1 3 5 2 2 2" xfId="10319" xr:uid="{D79A0E24-032A-40A9-9974-CB608F1463E7}"/>
    <cellStyle name="40% - Accent1 3 5 2 3" xfId="7942" xr:uid="{0A69B959-A87F-4480-B61E-731DB5A0619B}"/>
    <cellStyle name="40% - Accent1 3 5 3" xfId="4872" xr:uid="{547F9E57-2340-459A-AEB3-513CE6CA9226}"/>
    <cellStyle name="40% - Accent1 3 5 3 2" xfId="10318" xr:uid="{AACBE173-2E26-42E9-83C2-63475A8D451C}"/>
    <cellStyle name="40% - Accent1 3 5 4" xfId="7941" xr:uid="{6358B1B0-14A8-49C9-B739-E9BBE1FB2A53}"/>
    <cellStyle name="40% - Accent1 3 6" xfId="1101" xr:uid="{9245AA0D-09CE-49C0-98C1-95453C0D1426}"/>
    <cellStyle name="40% - Accent1 3 6 2" xfId="4874" xr:uid="{0D1E482A-35A4-4F40-94F7-F412E21F0C31}"/>
    <cellStyle name="40% - Accent1 3 6 2 2" xfId="10320" xr:uid="{976CD2DB-3B68-4FF9-B078-5C75CD7C6137}"/>
    <cellStyle name="40% - Accent1 3 6 3" xfId="7943" xr:uid="{D569F231-FE2D-4A7C-A860-4C1E09769A48}"/>
    <cellStyle name="40% - Accent1 3 7" xfId="4851" xr:uid="{45AC651E-55B7-4566-B49D-09FE8ADA6E5B}"/>
    <cellStyle name="40% - Accent1 3 7 2" xfId="10297" xr:uid="{384D6564-4CE2-4350-BEAF-FC002E3EDA03}"/>
    <cellStyle name="40% - Accent1 3 8" xfId="7920" xr:uid="{CCC06DE3-9965-4072-AC6B-0189DA3620E6}"/>
    <cellStyle name="40% - Accent1 4" xfId="1102" xr:uid="{5BE82EE1-7685-4572-8C49-67F8D954AF1E}"/>
    <cellStyle name="40% - Accent1 4 2" xfId="1103" xr:uid="{2A9A854C-3009-41D6-8892-782354A63EF8}"/>
    <cellStyle name="40% - Accent1 4 2 2" xfId="1104" xr:uid="{5E4D1209-2508-4B78-AD0B-DC8E850F50FA}"/>
    <cellStyle name="40% - Accent1 4 2 2 2" xfId="1105" xr:uid="{F0870695-3975-42BF-BF41-E8283A6579CD}"/>
    <cellStyle name="40% - Accent1 4 2 2 2 2" xfId="1106" xr:uid="{C99BF033-47D5-4E2C-9055-3F93DE8DCB5A}"/>
    <cellStyle name="40% - Accent1 4 2 2 2 2 2" xfId="4879" xr:uid="{EA6D1AF3-CF0F-4BE9-9A6B-1D6F5E9732EA}"/>
    <cellStyle name="40% - Accent1 4 2 2 2 2 2 2" xfId="10325" xr:uid="{939003F4-F4DA-41BB-BD4B-0CEE37630BEA}"/>
    <cellStyle name="40% - Accent1 4 2 2 2 2 3" xfId="7948" xr:uid="{6D5418C5-58B6-435A-A983-47297DA1A0C5}"/>
    <cellStyle name="40% - Accent1 4 2 2 2 3" xfId="4878" xr:uid="{3DC87145-5E18-4E12-B0B2-67690038AB13}"/>
    <cellStyle name="40% - Accent1 4 2 2 2 3 2" xfId="10324" xr:uid="{6D0A9798-FBD4-4702-8BB9-1442918D667F}"/>
    <cellStyle name="40% - Accent1 4 2 2 2 4" xfId="7947" xr:uid="{A4A3B2A8-AC1C-45EB-925A-95FFF339AC25}"/>
    <cellStyle name="40% - Accent1 4 2 2 3" xfId="1107" xr:uid="{AB959536-7456-47D4-88C3-354DBAA4D602}"/>
    <cellStyle name="40% - Accent1 4 2 2 3 2" xfId="4880" xr:uid="{9583B533-4709-438D-99D1-384601F56A56}"/>
    <cellStyle name="40% - Accent1 4 2 2 3 2 2" xfId="10326" xr:uid="{7882970A-E3E0-4268-A5A4-0E7CA907B9FC}"/>
    <cellStyle name="40% - Accent1 4 2 2 3 3" xfId="7949" xr:uid="{EA5D93D2-0DD5-4A01-BBD9-B62E9E4C243D}"/>
    <cellStyle name="40% - Accent1 4 2 2 4" xfId="4877" xr:uid="{8460E5B7-CED9-4718-9A1E-680767448BD5}"/>
    <cellStyle name="40% - Accent1 4 2 2 4 2" xfId="10323" xr:uid="{8D348ECE-8AEF-4A7C-822E-E90C0D1B2E86}"/>
    <cellStyle name="40% - Accent1 4 2 2 5" xfId="7946" xr:uid="{7A61954F-F53B-4AD9-810F-791056EA2DC2}"/>
    <cellStyle name="40% - Accent1 4 2 3" xfId="1108" xr:uid="{94FAA36A-4E5A-446F-8E98-8AC311A726A3}"/>
    <cellStyle name="40% - Accent1 4 2 3 2" xfId="1109" xr:uid="{4768AED7-90DC-4775-B41F-F0A5CD96181F}"/>
    <cellStyle name="40% - Accent1 4 2 3 2 2" xfId="4882" xr:uid="{CC8FAC96-20E8-45B3-B1D8-CDCA801AE349}"/>
    <cellStyle name="40% - Accent1 4 2 3 2 2 2" xfId="10328" xr:uid="{C49011E9-FD30-41BA-8EC1-4C89AD5E70C6}"/>
    <cellStyle name="40% - Accent1 4 2 3 2 3" xfId="7951" xr:uid="{5D47EEF3-8AEC-44E0-8528-1CE90E4696DE}"/>
    <cellStyle name="40% - Accent1 4 2 3 3" xfId="4881" xr:uid="{692124E4-2C95-4177-8259-3563CD84ED2D}"/>
    <cellStyle name="40% - Accent1 4 2 3 3 2" xfId="10327" xr:uid="{CF1E5360-121C-4F7D-ABF8-2D67369B7ECC}"/>
    <cellStyle name="40% - Accent1 4 2 3 4" xfId="7950" xr:uid="{EE8942DE-4076-472C-9C24-97F282EBC21E}"/>
    <cellStyle name="40% - Accent1 4 2 4" xfId="1110" xr:uid="{F4E39342-3ECA-4DD6-87D2-90DCB894CEE6}"/>
    <cellStyle name="40% - Accent1 4 2 4 2" xfId="4883" xr:uid="{10CD0874-BA70-4C10-B7A1-0226109521DB}"/>
    <cellStyle name="40% - Accent1 4 2 4 2 2" xfId="10329" xr:uid="{91811309-D2E0-4DCC-B78E-4A8DEDB58DF9}"/>
    <cellStyle name="40% - Accent1 4 2 4 3" xfId="7952" xr:uid="{1CC8A2AE-CB30-4D3B-9B2C-65D421BF3EA5}"/>
    <cellStyle name="40% - Accent1 4 2 5" xfId="4876" xr:uid="{84C0ED6C-1A5B-4550-B8FE-0446E7539FA0}"/>
    <cellStyle name="40% - Accent1 4 2 5 2" xfId="10322" xr:uid="{8831AA5B-5C3C-43AC-BA75-E71787F52D4B}"/>
    <cellStyle name="40% - Accent1 4 2 6" xfId="7945" xr:uid="{CBB9D9CD-0A96-4A92-9D45-153E0D2C9EF1}"/>
    <cellStyle name="40% - Accent1 4 3" xfId="1111" xr:uid="{D24F39B1-0FDE-4386-86DA-793D09AF163B}"/>
    <cellStyle name="40% - Accent1 4 3 2" xfId="1112" xr:uid="{C252240D-1BBF-40E7-A046-025C34684FA4}"/>
    <cellStyle name="40% - Accent1 4 3 2 2" xfId="1113" xr:uid="{27F7B6F5-1C01-4F60-BDCC-9E903500A049}"/>
    <cellStyle name="40% - Accent1 4 3 2 2 2" xfId="1114" xr:uid="{B728C0F7-FA27-4D70-9FB4-E66835B1C88D}"/>
    <cellStyle name="40% - Accent1 4 3 2 2 2 2" xfId="4887" xr:uid="{A3B17E13-A030-4573-BEA8-3DD52E153FBB}"/>
    <cellStyle name="40% - Accent1 4 3 2 2 2 2 2" xfId="10333" xr:uid="{9FCD31B5-EAA5-4F99-9875-85BD3237957D}"/>
    <cellStyle name="40% - Accent1 4 3 2 2 2 3" xfId="7956" xr:uid="{89AD9478-B7F7-4BDF-ACC0-F92BF57F7014}"/>
    <cellStyle name="40% - Accent1 4 3 2 2 3" xfId="4886" xr:uid="{A873EA9C-81E6-48FB-AF25-4D400614003A}"/>
    <cellStyle name="40% - Accent1 4 3 2 2 3 2" xfId="10332" xr:uid="{33709412-0249-4F03-AE2A-8AE58A08620A}"/>
    <cellStyle name="40% - Accent1 4 3 2 2 4" xfId="7955" xr:uid="{A869790D-5555-46E7-A206-41F6C2FA9E7E}"/>
    <cellStyle name="40% - Accent1 4 3 2 3" xfId="1115" xr:uid="{12EB1D7D-653F-41A0-9876-CD3AFC052613}"/>
    <cellStyle name="40% - Accent1 4 3 2 3 2" xfId="4888" xr:uid="{17273DC9-54BE-40CE-BEB9-3EE7772E06D4}"/>
    <cellStyle name="40% - Accent1 4 3 2 3 2 2" xfId="10334" xr:uid="{FD3D1AAB-163F-4048-8A7B-C882D1D3C8EC}"/>
    <cellStyle name="40% - Accent1 4 3 2 3 3" xfId="7957" xr:uid="{CD6D8C40-EFE5-4888-9342-D95AB6D8F8B5}"/>
    <cellStyle name="40% - Accent1 4 3 2 4" xfId="4885" xr:uid="{69591FDC-1F37-492C-8863-345FEFE91A80}"/>
    <cellStyle name="40% - Accent1 4 3 2 4 2" xfId="10331" xr:uid="{4A6311CA-0F4A-4AA6-9CEB-2B449013F10E}"/>
    <cellStyle name="40% - Accent1 4 3 2 5" xfId="7954" xr:uid="{539D139F-EB91-40AD-9528-2CC45BB41166}"/>
    <cellStyle name="40% - Accent1 4 3 3" xfId="1116" xr:uid="{269144FA-1212-44FE-9781-53649256EA91}"/>
    <cellStyle name="40% - Accent1 4 3 3 2" xfId="1117" xr:uid="{8948AA30-001F-47F7-901F-B37B115B75BD}"/>
    <cellStyle name="40% - Accent1 4 3 3 2 2" xfId="4890" xr:uid="{E313AC0E-5794-4E60-91AC-25B32EA28F26}"/>
    <cellStyle name="40% - Accent1 4 3 3 2 2 2" xfId="10336" xr:uid="{4219A84E-0012-4DFA-B0B9-59E0DB59EF12}"/>
    <cellStyle name="40% - Accent1 4 3 3 2 3" xfId="7959" xr:uid="{D7EB769C-4F09-45A8-BDB5-EF1A8E890074}"/>
    <cellStyle name="40% - Accent1 4 3 3 3" xfId="4889" xr:uid="{A34E7A0C-D5BE-4E3B-9166-041CCB2F5C6B}"/>
    <cellStyle name="40% - Accent1 4 3 3 3 2" xfId="10335" xr:uid="{8815DB77-2471-4248-B34F-4B633CBCBDE2}"/>
    <cellStyle name="40% - Accent1 4 3 3 4" xfId="7958" xr:uid="{3F9D2A97-B7D7-4EBC-BEDE-6ED4A4167A9D}"/>
    <cellStyle name="40% - Accent1 4 3 4" xfId="1118" xr:uid="{90E2E1CA-083D-4A8E-9F41-C5883CA4E04C}"/>
    <cellStyle name="40% - Accent1 4 3 4 2" xfId="4891" xr:uid="{7D9DB78A-B872-4A5D-ACA8-762D7FEA5E31}"/>
    <cellStyle name="40% - Accent1 4 3 4 2 2" xfId="10337" xr:uid="{8C52E49C-1F00-4D4C-9DC6-3B1C1ADDAEE4}"/>
    <cellStyle name="40% - Accent1 4 3 4 3" xfId="7960" xr:uid="{34FE501B-3DB0-4A6D-A69D-A8183232799C}"/>
    <cellStyle name="40% - Accent1 4 3 5" xfId="4884" xr:uid="{7A0E52E2-E137-49F3-8D86-F445FB576CA0}"/>
    <cellStyle name="40% - Accent1 4 3 5 2" xfId="10330" xr:uid="{4D1C5769-C281-4FA6-93F7-3E4D81D3E2AA}"/>
    <cellStyle name="40% - Accent1 4 3 6" xfId="7953" xr:uid="{769D5BA6-D70E-423E-93E7-C46E5E28CC75}"/>
    <cellStyle name="40% - Accent1 4 4" xfId="1119" xr:uid="{7BBF3994-B414-4C29-B1ED-DE3AE309AFAF}"/>
    <cellStyle name="40% - Accent1 4 4 2" xfId="1120" xr:uid="{85BA2D40-0726-4EBD-A554-0EE075E39E72}"/>
    <cellStyle name="40% - Accent1 4 4 2 2" xfId="1121" xr:uid="{0F1AF24A-F5EF-47B9-8D72-08DA5772FBD2}"/>
    <cellStyle name="40% - Accent1 4 4 2 2 2" xfId="4894" xr:uid="{275EFD79-0F18-40A9-95E9-AF3A2B8A9D53}"/>
    <cellStyle name="40% - Accent1 4 4 2 2 2 2" xfId="10340" xr:uid="{9FC84B51-729D-4166-95DA-D8FABBA4EDDC}"/>
    <cellStyle name="40% - Accent1 4 4 2 2 3" xfId="7963" xr:uid="{80667712-BD2B-4DAD-ABB0-03F1CC3D384C}"/>
    <cellStyle name="40% - Accent1 4 4 2 3" xfId="4893" xr:uid="{CB5A1840-9305-4231-94A8-9EC069C37503}"/>
    <cellStyle name="40% - Accent1 4 4 2 3 2" xfId="10339" xr:uid="{9E9CA776-02B3-480E-B066-D28923AF4A98}"/>
    <cellStyle name="40% - Accent1 4 4 2 4" xfId="7962" xr:uid="{57F92889-4B9F-4CE5-A279-9EC995B1705E}"/>
    <cellStyle name="40% - Accent1 4 4 3" xfId="1122" xr:uid="{91A1B83C-E63F-47C0-89EF-A2B0040AA690}"/>
    <cellStyle name="40% - Accent1 4 4 3 2" xfId="4895" xr:uid="{BF0270F1-49A4-4FB1-B609-2E3D87336423}"/>
    <cellStyle name="40% - Accent1 4 4 3 2 2" xfId="10341" xr:uid="{42D94558-10E1-451A-BE86-C9759A844BED}"/>
    <cellStyle name="40% - Accent1 4 4 3 3" xfId="7964" xr:uid="{7BAB2E13-F755-4A20-8209-319FDD4B6B53}"/>
    <cellStyle name="40% - Accent1 4 4 4" xfId="4892" xr:uid="{CA52776F-0762-4253-BCE7-BDD653AC6D58}"/>
    <cellStyle name="40% - Accent1 4 4 4 2" xfId="10338" xr:uid="{D05E98C1-7F77-49C3-97C9-16BED93489FE}"/>
    <cellStyle name="40% - Accent1 4 4 5" xfId="7961" xr:uid="{11A0D7CB-1457-42F0-A5F3-0F8D46F9FF4E}"/>
    <cellStyle name="40% - Accent1 4 5" xfId="1123" xr:uid="{4B24F255-DE1E-4A5E-984B-35459568E288}"/>
    <cellStyle name="40% - Accent1 4 5 2" xfId="1124" xr:uid="{3CD997FA-E47F-42DC-A08E-EF15B87D729F}"/>
    <cellStyle name="40% - Accent1 4 5 2 2" xfId="4897" xr:uid="{B0486FFE-33AB-4B85-A4F9-B3FC552D9DA6}"/>
    <cellStyle name="40% - Accent1 4 5 2 2 2" xfId="10343" xr:uid="{DD5B7DE4-CC5C-4897-88CF-1F8CC0F8553B}"/>
    <cellStyle name="40% - Accent1 4 5 2 3" xfId="7966" xr:uid="{FFAC7AD3-79DE-415D-B5FB-54E5CEDCA127}"/>
    <cellStyle name="40% - Accent1 4 5 3" xfId="4896" xr:uid="{2761DCC4-3AD6-4D95-8A80-0A190DC5726E}"/>
    <cellStyle name="40% - Accent1 4 5 3 2" xfId="10342" xr:uid="{62485DD9-91D2-41A9-AB5A-B894132631A6}"/>
    <cellStyle name="40% - Accent1 4 5 4" xfId="7965" xr:uid="{4A3F4961-3D1B-41E8-BA7E-7488E3B933F3}"/>
    <cellStyle name="40% - Accent1 4 6" xfId="1125" xr:uid="{0F4F80D3-484F-4BDA-9EB9-674CFBCAE0BD}"/>
    <cellStyle name="40% - Accent1 4 6 2" xfId="4898" xr:uid="{909BFFA0-333B-46F1-AF05-2FBEB0145638}"/>
    <cellStyle name="40% - Accent1 4 6 2 2" xfId="10344" xr:uid="{A1D564A6-F39E-4D5C-BE4F-98D5350EFF03}"/>
    <cellStyle name="40% - Accent1 4 6 3" xfId="7967" xr:uid="{41E01D12-57C6-4DC6-8D6F-9034325FB5FD}"/>
    <cellStyle name="40% - Accent1 4 7" xfId="4875" xr:uid="{8BE5F009-67E3-4104-A093-188D113BF947}"/>
    <cellStyle name="40% - Accent1 4 7 2" xfId="10321" xr:uid="{8AA0D2C8-2D1D-47B3-92A7-DC8C608727EE}"/>
    <cellStyle name="40% - Accent1 4 8" xfId="7944" xr:uid="{467A867E-602C-4041-83D3-CD9BED89FE09}"/>
    <cellStyle name="40% - Accent1 5" xfId="1126" xr:uid="{72C7B81F-A54B-43A6-A879-1E022CD7439B}"/>
    <cellStyle name="40% - Accent1 5 2" xfId="1127" xr:uid="{1ACB1E5A-A559-4DE5-B11D-18BFCA69E12E}"/>
    <cellStyle name="40% - Accent1 5 2 2" xfId="1128" xr:uid="{65D57C86-8634-4ED5-B32B-F7E3668FFF39}"/>
    <cellStyle name="40% - Accent1 5 2 2 2" xfId="1129" xr:uid="{1788CA77-5D97-4149-A777-5255F67DE3A5}"/>
    <cellStyle name="40% - Accent1 5 2 2 2 2" xfId="4902" xr:uid="{C8328A6C-03DD-4EB6-A469-7E40C300EF7B}"/>
    <cellStyle name="40% - Accent1 5 2 2 2 2 2" xfId="10348" xr:uid="{EBC581C4-814F-4FE1-B13F-B2535DB30BEF}"/>
    <cellStyle name="40% - Accent1 5 2 2 2 3" xfId="7971" xr:uid="{2293251A-F633-409F-AB0F-C9398F459B46}"/>
    <cellStyle name="40% - Accent1 5 2 2 3" xfId="4901" xr:uid="{C4019705-0A6B-4AA5-8D0B-C2B3800B8EF6}"/>
    <cellStyle name="40% - Accent1 5 2 2 3 2" xfId="10347" xr:uid="{F7809717-D09C-4D43-A57B-BB4D6987B133}"/>
    <cellStyle name="40% - Accent1 5 2 2 4" xfId="7970" xr:uid="{33A3B5B2-280D-4676-811E-4974CD397520}"/>
    <cellStyle name="40% - Accent1 5 2 3" xfId="1130" xr:uid="{C1B5C533-4955-4562-8342-FC51A9B3C190}"/>
    <cellStyle name="40% - Accent1 5 2 3 2" xfId="4903" xr:uid="{1412AC0F-DF51-4E25-9814-6DAC7806BBB4}"/>
    <cellStyle name="40% - Accent1 5 2 3 2 2" xfId="10349" xr:uid="{938798FD-9017-445A-A6EA-76C3AD335AFA}"/>
    <cellStyle name="40% - Accent1 5 2 3 3" xfId="7972" xr:uid="{C217F6C7-B38E-4306-BFA8-E0C8A26AE438}"/>
    <cellStyle name="40% - Accent1 5 2 4" xfId="4900" xr:uid="{169B008C-A853-4B1E-B42C-64B446705E80}"/>
    <cellStyle name="40% - Accent1 5 2 4 2" xfId="10346" xr:uid="{959CD26B-AD33-4118-86C3-325882308A61}"/>
    <cellStyle name="40% - Accent1 5 2 5" xfId="7969" xr:uid="{92F2A36D-163B-4ECD-BED8-B4F8FB3E93CD}"/>
    <cellStyle name="40% - Accent1 5 3" xfId="1131" xr:uid="{5E07ED17-B47E-4791-B881-112F31B0CE6B}"/>
    <cellStyle name="40% - Accent1 5 3 2" xfId="1132" xr:uid="{14365E5A-0F43-49BF-A667-941F71263BFB}"/>
    <cellStyle name="40% - Accent1 5 3 2 2" xfId="4905" xr:uid="{8BFC45F4-AB31-4A4C-851E-1EBCE1059E00}"/>
    <cellStyle name="40% - Accent1 5 3 2 2 2" xfId="10351" xr:uid="{B44683A6-45AA-4502-9554-DAB59649EFC2}"/>
    <cellStyle name="40% - Accent1 5 3 2 3" xfId="7974" xr:uid="{573948A4-C3D9-4696-BA1C-104CEA2894FF}"/>
    <cellStyle name="40% - Accent1 5 3 3" xfId="4904" xr:uid="{5ADF00EC-067B-4CCD-B98B-C654657D6C60}"/>
    <cellStyle name="40% - Accent1 5 3 3 2" xfId="10350" xr:uid="{1021C7F8-1EE4-4BC7-B8E1-72FC300E11E1}"/>
    <cellStyle name="40% - Accent1 5 3 4" xfId="7973" xr:uid="{FCCA5096-ECE4-4053-A192-6BBC190580F6}"/>
    <cellStyle name="40% - Accent1 5 4" xfId="1133" xr:uid="{E37FF077-B459-4E54-89E9-7DF2FBAF3ACC}"/>
    <cellStyle name="40% - Accent1 5 4 2" xfId="4906" xr:uid="{E7B976F4-EC9D-49D6-8610-EB660657B09F}"/>
    <cellStyle name="40% - Accent1 5 4 2 2" xfId="10352" xr:uid="{0042292D-D471-4013-B291-AF3779466889}"/>
    <cellStyle name="40% - Accent1 5 4 3" xfId="7975" xr:uid="{85C6CEEE-4762-491F-987F-CB651864D913}"/>
    <cellStyle name="40% - Accent1 5 5" xfId="4899" xr:uid="{DE7A2B61-2051-4BC3-B857-B1442202AFCF}"/>
    <cellStyle name="40% - Accent1 5 5 2" xfId="10345" xr:uid="{19F0B9D2-EA73-4AE4-BA33-88EEB2879430}"/>
    <cellStyle name="40% - Accent1 5 6" xfId="7968" xr:uid="{F4D0D2B5-79C7-425B-8933-8F85E81BA2E1}"/>
    <cellStyle name="40% - Accent1 6" xfId="1134" xr:uid="{A64A2AE1-A7EC-4A45-8F98-757C52C415E1}"/>
    <cellStyle name="40% - Accent1 6 2" xfId="1135" xr:uid="{CCF54889-6286-4D82-8378-38C4C839ECC8}"/>
    <cellStyle name="40% - Accent1 6 2 2" xfId="1136" xr:uid="{3CAE0E74-74B7-4396-852D-757CAC767179}"/>
    <cellStyle name="40% - Accent1 6 2 2 2" xfId="1137" xr:uid="{6E37BDC5-4405-46AA-A2EA-A0A8A4474D37}"/>
    <cellStyle name="40% - Accent1 6 2 2 2 2" xfId="4910" xr:uid="{A268E683-111E-4C76-8043-29F05864D3B2}"/>
    <cellStyle name="40% - Accent1 6 2 2 2 2 2" xfId="10356" xr:uid="{9600A098-258C-4D0F-A0FF-4B499467B334}"/>
    <cellStyle name="40% - Accent1 6 2 2 2 3" xfId="7979" xr:uid="{A5A4E548-CE40-43F2-8B8B-FE26DD942841}"/>
    <cellStyle name="40% - Accent1 6 2 2 3" xfId="4909" xr:uid="{B80C9201-FDF6-4B88-8A75-291BBE88ABDD}"/>
    <cellStyle name="40% - Accent1 6 2 2 3 2" xfId="10355" xr:uid="{4EF78B0A-2D25-40B1-A7F3-13F70A387106}"/>
    <cellStyle name="40% - Accent1 6 2 2 4" xfId="7978" xr:uid="{20C59875-4D18-42C5-92DD-80D6B6684F18}"/>
    <cellStyle name="40% - Accent1 6 2 3" xfId="1138" xr:uid="{FCBAECF5-9126-4863-B7FE-838DE04BAB36}"/>
    <cellStyle name="40% - Accent1 6 2 3 2" xfId="4911" xr:uid="{834E0108-3E7B-4822-902E-2A81060ABAE6}"/>
    <cellStyle name="40% - Accent1 6 2 3 2 2" xfId="10357" xr:uid="{4CD7F08C-A4D6-42BF-963D-1ADBB610CEA1}"/>
    <cellStyle name="40% - Accent1 6 2 3 3" xfId="7980" xr:uid="{BDD7E673-9C57-4E73-A4C3-0FC0316E0958}"/>
    <cellStyle name="40% - Accent1 6 2 4" xfId="4908" xr:uid="{BEAA8B94-6C49-4AF3-9025-3A4E8C776293}"/>
    <cellStyle name="40% - Accent1 6 2 4 2" xfId="10354" xr:uid="{2A603E78-E29D-4443-B8E3-73B6CF752AF2}"/>
    <cellStyle name="40% - Accent1 6 2 5" xfId="7977" xr:uid="{DA0510A0-611C-4CD6-A266-74FF1B890EA2}"/>
    <cellStyle name="40% - Accent1 6 3" xfId="1139" xr:uid="{B37FD780-FB8D-4EE8-AFC3-1049FA4B1A69}"/>
    <cellStyle name="40% - Accent1 6 3 2" xfId="1140" xr:uid="{C1019844-EC78-4F67-AB97-13D5408CA203}"/>
    <cellStyle name="40% - Accent1 6 3 2 2" xfId="4913" xr:uid="{589AA3B1-8B7A-4961-A7FB-DBC88B62297A}"/>
    <cellStyle name="40% - Accent1 6 3 2 2 2" xfId="10359" xr:uid="{96442B32-BDB6-4A90-B4AB-BD843DE89476}"/>
    <cellStyle name="40% - Accent1 6 3 2 3" xfId="7982" xr:uid="{24D3B3C8-A1B1-47E2-A60A-C0DA79CCF0CB}"/>
    <cellStyle name="40% - Accent1 6 3 3" xfId="4912" xr:uid="{3F61F358-D15D-4BCA-B4E4-E536A90DBA1D}"/>
    <cellStyle name="40% - Accent1 6 3 3 2" xfId="10358" xr:uid="{3CE0FEF6-5DD0-4203-89BE-C1DD72C5E4F9}"/>
    <cellStyle name="40% - Accent1 6 3 4" xfId="7981" xr:uid="{A8C262F7-C4F4-4CFD-ADFA-3308F911DC02}"/>
    <cellStyle name="40% - Accent1 6 4" xfId="1141" xr:uid="{6F26993E-8153-41C4-AAE4-6F9C484C42A5}"/>
    <cellStyle name="40% - Accent1 6 4 2" xfId="4914" xr:uid="{EB96F4FD-9F9D-4B53-ADF0-923B6AD3EAC8}"/>
    <cellStyle name="40% - Accent1 6 4 2 2" xfId="10360" xr:uid="{973F23E9-BEC5-4C79-9F0F-70CB447C7DD9}"/>
    <cellStyle name="40% - Accent1 6 4 3" xfId="7983" xr:uid="{63DE00FB-9F83-4D8B-89AA-46A6FBA8E092}"/>
    <cellStyle name="40% - Accent1 6 5" xfId="3388" xr:uid="{0C3C0D86-086B-4E4F-B012-1F61D88C37F9}"/>
    <cellStyle name="40% - Accent1 6 5 2" xfId="5877" xr:uid="{85DF7D24-D445-4C83-8837-2D2306DDF6AB}"/>
    <cellStyle name="40% - Accent1 6 5 2 2" xfId="11319" xr:uid="{38CA7E4B-BEB3-49D5-B805-37CB2134CCE9}"/>
    <cellStyle name="40% - Accent1 6 5 3" xfId="8935" xr:uid="{2C4A10FA-36ED-486C-A850-B47C8F63EFDC}"/>
    <cellStyle name="40% - Accent1 6 6" xfId="2082" xr:uid="{F19379DE-AE18-4894-82FE-B7B53C39158F}"/>
    <cellStyle name="40% - Accent1 6 7" xfId="4907" xr:uid="{1EBD56E3-DBD0-4BAD-A99B-EE81FA8B68DE}"/>
    <cellStyle name="40% - Accent1 6 7 2" xfId="10353" xr:uid="{C493A65B-F079-4A65-8DF2-FB82E2E0C1C0}"/>
    <cellStyle name="40% - Accent1 6 8" xfId="7976" xr:uid="{0F6F5896-1C49-4113-840C-0B77FD1955F1}"/>
    <cellStyle name="40% - Accent1 7" xfId="1142" xr:uid="{21184BE4-302A-4D3A-A65B-83DB53C9E9DE}"/>
    <cellStyle name="40% - Accent1 7 2" xfId="1143" xr:uid="{A1C108DD-7AE1-4AFC-B022-6DB0A5260872}"/>
    <cellStyle name="40% - Accent1 7 2 2" xfId="1144" xr:uid="{2E3E4A44-C1D3-4E2F-BE37-9C3D0BFD79B5}"/>
    <cellStyle name="40% - Accent1 7 2 2 2" xfId="4917" xr:uid="{FBE87E07-B52B-4CF4-B12D-7AC71A3E32C4}"/>
    <cellStyle name="40% - Accent1 7 2 2 2 2" xfId="10363" xr:uid="{2A919EDC-7AD4-4B04-B865-42B387FE2265}"/>
    <cellStyle name="40% - Accent1 7 2 2 3" xfId="7986" xr:uid="{2404D2A0-CE39-4204-9696-683BF71DE5D5}"/>
    <cellStyle name="40% - Accent1 7 2 3" xfId="4916" xr:uid="{5EB02914-5A91-42E1-9C22-33628AC2FA02}"/>
    <cellStyle name="40% - Accent1 7 2 3 2" xfId="10362" xr:uid="{80BE322C-934F-4260-B629-E22736DE21B8}"/>
    <cellStyle name="40% - Accent1 7 2 4" xfId="7985" xr:uid="{8CF29592-AA34-4E0E-97CD-654D840D0ED3}"/>
    <cellStyle name="40% - Accent1 7 3" xfId="1145" xr:uid="{256D09CD-1F24-46DB-9377-3AD1DDF4259D}"/>
    <cellStyle name="40% - Accent1 7 3 2" xfId="4918" xr:uid="{741B02D5-48B4-47EB-B13A-EC336EED3D39}"/>
    <cellStyle name="40% - Accent1 7 3 2 2" xfId="10364" xr:uid="{80A7E391-2E39-4BE6-8E86-2E2DD33BB049}"/>
    <cellStyle name="40% - Accent1 7 3 3" xfId="7987" xr:uid="{C6E82F1F-8BBA-4B04-B3DA-A4920109031E}"/>
    <cellStyle name="40% - Accent1 7 4" xfId="3389" xr:uid="{6CFF6FBF-20BC-4D4C-8180-B8812B556FF4}"/>
    <cellStyle name="40% - Accent1 7 4 2" xfId="5878" xr:uid="{F01FC056-BA5D-45EE-A872-BF8480DA3783}"/>
    <cellStyle name="40% - Accent1 7 4 2 2" xfId="11320" xr:uid="{2CB4491D-6B7F-45EA-971B-A2916108ED6F}"/>
    <cellStyle name="40% - Accent1 7 4 3" xfId="8936" xr:uid="{DFD2D9DB-E8C3-4A58-93F2-FD6ACEC34C6A}"/>
    <cellStyle name="40% - Accent1 7 5" xfId="2083" xr:uid="{3CCC66F7-76D8-4B06-AEC3-93F2B3210B1E}"/>
    <cellStyle name="40% - Accent1 7 6" xfId="4915" xr:uid="{4351B91C-6768-4754-BAFB-86BDE2E760D2}"/>
    <cellStyle name="40% - Accent1 7 6 2" xfId="10361" xr:uid="{FC4EDE1A-175D-421C-BF12-1433C97E4B51}"/>
    <cellStyle name="40% - Accent1 7 7" xfId="7984" xr:uid="{415BCCD1-43D5-4AF4-A4E7-F890621D975E}"/>
    <cellStyle name="40% - Accent1 8" xfId="1146" xr:uid="{A714B5C7-17C0-44EF-9618-59DFD593E97A}"/>
    <cellStyle name="40% - Accent1 8 2" xfId="1147" xr:uid="{81AE0E7A-1828-4E46-A613-EBCEF338F3FC}"/>
    <cellStyle name="40% - Accent1 8 2 2" xfId="1148" xr:uid="{05496948-D18D-4E13-9BF7-8EAD6D45AEFD}"/>
    <cellStyle name="40% - Accent1 8 2 2 2" xfId="4921" xr:uid="{51775262-0BE6-4FC7-915F-87CAC66AE574}"/>
    <cellStyle name="40% - Accent1 8 2 2 2 2" xfId="10367" xr:uid="{C7E4CC84-42FF-46E3-A6C4-C2AC328FDFF3}"/>
    <cellStyle name="40% - Accent1 8 2 2 3" xfId="7990" xr:uid="{323952DA-B545-409F-87FD-913F1E99BCB2}"/>
    <cellStyle name="40% - Accent1 8 2 3" xfId="4920" xr:uid="{8B3F01F9-AF8A-40CF-A551-4FCDAA8E0963}"/>
    <cellStyle name="40% - Accent1 8 2 3 2" xfId="10366" xr:uid="{6838B980-9AFB-4CCB-88AB-A9800433712C}"/>
    <cellStyle name="40% - Accent1 8 2 4" xfId="7989" xr:uid="{8AE063F6-9D47-43AB-8DB3-DB342ADEF319}"/>
    <cellStyle name="40% - Accent1 8 3" xfId="1149" xr:uid="{53D73AE2-1659-479C-9EE8-BE5C72F7B105}"/>
    <cellStyle name="40% - Accent1 8 3 2" xfId="4922" xr:uid="{EBB48271-4BA2-4337-B912-FC350F8C0C72}"/>
    <cellStyle name="40% - Accent1 8 3 2 2" xfId="10368" xr:uid="{BDAC23FC-0FED-4FAD-B874-E34A3DD27C83}"/>
    <cellStyle name="40% - Accent1 8 3 3" xfId="7991" xr:uid="{B49FA2FE-C4A1-40F7-8233-0EE96961D019}"/>
    <cellStyle name="40% - Accent1 8 4" xfId="4919" xr:uid="{C0BB84A3-2AFA-4A9D-A8D7-110093A2F576}"/>
    <cellStyle name="40% - Accent1 8 4 2" xfId="10365" xr:uid="{E6D23C32-700F-4715-BCA1-180097872BD9}"/>
    <cellStyle name="40% - Accent1 8 5" xfId="7988" xr:uid="{39A35DFD-7DDB-44CB-8E3C-6ACF0EC020B5}"/>
    <cellStyle name="40% - Accent1 9" xfId="1150" xr:uid="{983CF18D-A280-48A8-B0A4-9A21D9DDB431}"/>
    <cellStyle name="40% - Accent1 9 2" xfId="1151" xr:uid="{1B286809-6F40-4243-8540-362AEA02DE86}"/>
    <cellStyle name="40% - Accent1 9 2 2" xfId="4924" xr:uid="{F93D5707-8A74-4973-B9FD-0A3B8881470E}"/>
    <cellStyle name="40% - Accent1 9 2 2 2" xfId="10370" xr:uid="{376C91E8-B165-4415-8869-76EA6D90457C}"/>
    <cellStyle name="40% - Accent1 9 2 3" xfId="7993" xr:uid="{B8AABA18-86A9-4B5B-99A0-F5E93F08E29F}"/>
    <cellStyle name="40% - Accent1 9 3" xfId="4923" xr:uid="{9E080191-0296-4134-B109-6C9514A643AF}"/>
    <cellStyle name="40% - Accent1 9 3 2" xfId="10369" xr:uid="{C80B6484-C742-48CC-B88A-DAFC05E4FCCA}"/>
    <cellStyle name="40% - Accent1 9 4" xfId="7992" xr:uid="{4718EE38-E2C7-47CA-9A6F-826A321F668F}"/>
    <cellStyle name="40% - Accent2" xfId="8" builtinId="35" hidden="1" customBuiltin="1"/>
    <cellStyle name="40% - Accent2" xfId="359" builtinId="35" customBuiltin="1"/>
    <cellStyle name="40% - Accent2 10" xfId="1152" xr:uid="{0D6C63BE-B57F-4A48-835A-E0B3D1E63449}"/>
    <cellStyle name="40% - Accent2 10 2" xfId="1153" xr:uid="{0892C899-C6FD-4E00-AA8E-9A5FF017AB9E}"/>
    <cellStyle name="40% - Accent2 10 2 2" xfId="4926" xr:uid="{5000F359-A017-44DD-B19E-4FD722F6C926}"/>
    <cellStyle name="40% - Accent2 10 2 2 2" xfId="10372" xr:uid="{EC35F342-ADEA-413D-A585-F01FE055D10C}"/>
    <cellStyle name="40% - Accent2 10 2 3" xfId="7995" xr:uid="{B5AE02C8-4B61-47B0-90EB-228019E272DC}"/>
    <cellStyle name="40% - Accent2 10 3" xfId="4925" xr:uid="{F1F8ECDE-817A-4836-8B0D-14C4FFAC17A9}"/>
    <cellStyle name="40% - Accent2 10 3 2" xfId="10371" xr:uid="{64DBF33A-CCAA-4004-8AD7-81B262FFB5EC}"/>
    <cellStyle name="40% - Accent2 10 4" xfId="7994" xr:uid="{409B2921-9FFE-4637-AD39-178F15A20D00}"/>
    <cellStyle name="40% - Accent2 11" xfId="1154" xr:uid="{515ACD55-6168-4CB7-BEEB-758962CD1AA8}"/>
    <cellStyle name="40% - Accent2 11 2" xfId="4927" xr:uid="{F92D1FA2-0D6C-4771-84CD-9D552DA84DDB}"/>
    <cellStyle name="40% - Accent2 11 2 2" xfId="10373" xr:uid="{907B1290-9797-4A06-981A-771C53E0E189}"/>
    <cellStyle name="40% - Accent2 11 3" xfId="7996" xr:uid="{E82F2CDE-C6C2-431A-BBBF-AF586A4CF69E}"/>
    <cellStyle name="40% - Accent2 12" xfId="1155" xr:uid="{84DA3AD5-E19B-4558-9346-FC8B158237B1}"/>
    <cellStyle name="40% - Accent2 12 2" xfId="4928" xr:uid="{B67B884B-6E68-44BB-8DBA-000204F55E06}"/>
    <cellStyle name="40% - Accent2 12 2 2" xfId="10374" xr:uid="{AE884DEA-8671-4E78-A112-3317B700863B}"/>
    <cellStyle name="40% - Accent2 12 3" xfId="7997" xr:uid="{BB60E3C8-E3B1-4C2C-86DE-9FA5EAAEC5F6}"/>
    <cellStyle name="40% - Accent2 13" xfId="4187" xr:uid="{CEA70451-0B2A-4E7E-ACDC-5DE617C28A10}"/>
    <cellStyle name="40% - Accent2 13 2" xfId="9633" xr:uid="{CF68A230-0FD5-4725-93AF-1C531CD177BC}"/>
    <cellStyle name="40% - Accent2 14" xfId="7255" xr:uid="{8982AF09-9B2D-48AD-A392-6190E45B7938}"/>
    <cellStyle name="40% - Accent2 2" xfId="1156" xr:uid="{04AFCCC3-2712-46C9-838D-AF4BEFBC7C89}"/>
    <cellStyle name="40% - Accent2 2 2" xfId="1157" xr:uid="{6F25B2D0-78F3-4CAE-A6BF-3AB4893BA645}"/>
    <cellStyle name="40% - Accent2 2 2 2" xfId="1158" xr:uid="{B892DB90-D40E-4411-B090-84F922DF377D}"/>
    <cellStyle name="40% - Accent2 2 2 2 2" xfId="1159" xr:uid="{6B869807-0969-45B4-8084-FD4CC16C0AAD}"/>
    <cellStyle name="40% - Accent2 2 2 2 2 2" xfId="1160" xr:uid="{4D6F53C8-70AE-485D-9800-897C3A59D578}"/>
    <cellStyle name="40% - Accent2 2 2 2 2 2 2" xfId="4933" xr:uid="{1D066548-062D-40A3-B28A-C1149E32ECD8}"/>
    <cellStyle name="40% - Accent2 2 2 2 2 2 2 2" xfId="10379" xr:uid="{663F3548-3BD7-44FC-9225-B4E3458E13EA}"/>
    <cellStyle name="40% - Accent2 2 2 2 2 2 3" xfId="8002" xr:uid="{4D670F8D-0A83-4489-8982-D1F820839D28}"/>
    <cellStyle name="40% - Accent2 2 2 2 2 3" xfId="4932" xr:uid="{3EC9F212-D56A-49A2-9C08-A59FF4CC3181}"/>
    <cellStyle name="40% - Accent2 2 2 2 2 3 2" xfId="10378" xr:uid="{B3C60DF6-7C57-46D4-ACF8-398306CF8A79}"/>
    <cellStyle name="40% - Accent2 2 2 2 2 4" xfId="8001" xr:uid="{E46903C0-C36C-4A63-8946-FFA138DDDF75}"/>
    <cellStyle name="40% - Accent2 2 2 2 3" xfId="1161" xr:uid="{F00C2D93-02A4-46AE-B990-16E6E3C3F0FC}"/>
    <cellStyle name="40% - Accent2 2 2 2 3 2" xfId="4934" xr:uid="{685769FC-DC87-4302-B4B9-FBB8CF437E36}"/>
    <cellStyle name="40% - Accent2 2 2 2 3 2 2" xfId="10380" xr:uid="{03D0AC30-A58C-483B-9356-CF2AC4F62291}"/>
    <cellStyle name="40% - Accent2 2 2 2 3 3" xfId="8003" xr:uid="{CB67A980-D9DE-4292-8857-1CED45046DC8}"/>
    <cellStyle name="40% - Accent2 2 2 2 4" xfId="4931" xr:uid="{5E329CF3-A314-44EB-9CC4-D3F4D759719E}"/>
    <cellStyle name="40% - Accent2 2 2 2 4 2" xfId="10377" xr:uid="{ECBC9B88-DF42-4860-9036-68EB8964FCEC}"/>
    <cellStyle name="40% - Accent2 2 2 2 5" xfId="8000" xr:uid="{1EAB97B8-2F9C-4D27-BD93-131898897FFF}"/>
    <cellStyle name="40% - Accent2 2 2 3" xfId="1162" xr:uid="{DCFE3A97-AE26-4458-B3BC-E161F3E8ECFE}"/>
    <cellStyle name="40% - Accent2 2 2 3 2" xfId="1163" xr:uid="{F4F5A390-BC29-495E-AE68-92BEA98540E6}"/>
    <cellStyle name="40% - Accent2 2 2 3 2 2" xfId="4936" xr:uid="{E8FED688-77F4-4046-AA6A-91819BB8F043}"/>
    <cellStyle name="40% - Accent2 2 2 3 2 2 2" xfId="10382" xr:uid="{B0C21A34-05FC-49FD-9B74-7CF66FF8AD4B}"/>
    <cellStyle name="40% - Accent2 2 2 3 2 3" xfId="8005" xr:uid="{250CE3E5-C0A1-4835-B17D-0F602F7546B9}"/>
    <cellStyle name="40% - Accent2 2 2 3 3" xfId="4935" xr:uid="{009412AC-EFA0-42D7-8D5F-58DFD58A2353}"/>
    <cellStyle name="40% - Accent2 2 2 3 3 2" xfId="10381" xr:uid="{B0F38EA5-5AAC-4E99-9A26-35A0A37CE72D}"/>
    <cellStyle name="40% - Accent2 2 2 3 4" xfId="8004" xr:uid="{26D1D444-6BBF-47AC-825D-EE752E1180DA}"/>
    <cellStyle name="40% - Accent2 2 2 4" xfId="1164" xr:uid="{5A435165-0985-43FA-9EAB-56A00BACE485}"/>
    <cellStyle name="40% - Accent2 2 2 4 2" xfId="4937" xr:uid="{EB5E830C-93DD-49B2-A6B7-A30C569553F1}"/>
    <cellStyle name="40% - Accent2 2 2 4 2 2" xfId="10383" xr:uid="{04E0359A-5196-41F8-B930-8646F225FC71}"/>
    <cellStyle name="40% - Accent2 2 2 4 3" xfId="8006" xr:uid="{925C631D-54ED-4DDD-9BEC-7ABFBE2809B7}"/>
    <cellStyle name="40% - Accent2 2 2 5" xfId="4930" xr:uid="{435C0772-6736-4E25-8893-2321B7F4D88C}"/>
    <cellStyle name="40% - Accent2 2 2 5 2" xfId="10376" xr:uid="{D4CC4DC3-3FE4-4482-9057-D605BF06D1E1}"/>
    <cellStyle name="40% - Accent2 2 2 6" xfId="7999" xr:uid="{17F6B41C-61AC-4E3C-BF0A-4027C054AF25}"/>
    <cellStyle name="40% - Accent2 2 3" xfId="1165" xr:uid="{6C68EE33-554F-4BF8-BC19-B694E478398F}"/>
    <cellStyle name="40% - Accent2 2 3 2" xfId="1166" xr:uid="{E96B0656-4EA2-4261-95E4-B151BF7256D3}"/>
    <cellStyle name="40% - Accent2 2 3 2 2" xfId="1167" xr:uid="{9B9F44D8-A2E8-473B-9592-DF4719B6249D}"/>
    <cellStyle name="40% - Accent2 2 3 2 2 2" xfId="1168" xr:uid="{64F27235-0EA6-437D-A6F8-0259E7C3A8DF}"/>
    <cellStyle name="40% - Accent2 2 3 2 2 2 2" xfId="4941" xr:uid="{6A268025-71AD-41E4-9FD6-02D3F00B21DC}"/>
    <cellStyle name="40% - Accent2 2 3 2 2 2 2 2" xfId="10387" xr:uid="{545D4638-82F5-42A0-9B9C-C4A9B5A88AD2}"/>
    <cellStyle name="40% - Accent2 2 3 2 2 2 3" xfId="8010" xr:uid="{090FCEBA-8672-450E-988C-BF103DFDBBB7}"/>
    <cellStyle name="40% - Accent2 2 3 2 2 3" xfId="4940" xr:uid="{B748FE09-C47B-40C5-BB48-FA44430167C4}"/>
    <cellStyle name="40% - Accent2 2 3 2 2 3 2" xfId="10386" xr:uid="{D18D6B24-B1F7-4127-B8F7-EC8812A6E09D}"/>
    <cellStyle name="40% - Accent2 2 3 2 2 4" xfId="8009" xr:uid="{9850E4BD-FA42-43CD-B0B7-060A6A882F4F}"/>
    <cellStyle name="40% - Accent2 2 3 2 3" xfId="1169" xr:uid="{8D8BC6A5-26C0-404A-869C-6BBD01662528}"/>
    <cellStyle name="40% - Accent2 2 3 2 3 2" xfId="4942" xr:uid="{824C5845-3782-41D3-9F8D-6F01F171B351}"/>
    <cellStyle name="40% - Accent2 2 3 2 3 2 2" xfId="10388" xr:uid="{38AA0127-7398-4B46-AF7A-7717E52C421C}"/>
    <cellStyle name="40% - Accent2 2 3 2 3 3" xfId="8011" xr:uid="{A728ECEC-B3F9-42A9-9A1A-36C59CB4FD1A}"/>
    <cellStyle name="40% - Accent2 2 3 2 4" xfId="4939" xr:uid="{3FA17264-9E01-4BE0-9F16-5A43867F787B}"/>
    <cellStyle name="40% - Accent2 2 3 2 4 2" xfId="10385" xr:uid="{35E41809-B933-43D8-823D-BC1299BDF29C}"/>
    <cellStyle name="40% - Accent2 2 3 2 5" xfId="8008" xr:uid="{49963498-8E77-4205-8828-BCC2CC904FC8}"/>
    <cellStyle name="40% - Accent2 2 3 3" xfId="1170" xr:uid="{B18EFE28-A7DD-48A8-80AB-0E2CF5DE84D0}"/>
    <cellStyle name="40% - Accent2 2 3 3 2" xfId="1171" xr:uid="{02042BFA-1D4C-4A56-89E2-B3E766B2B5AE}"/>
    <cellStyle name="40% - Accent2 2 3 3 2 2" xfId="4944" xr:uid="{115EF8E4-FA50-4753-82C4-58CBEBB07B3E}"/>
    <cellStyle name="40% - Accent2 2 3 3 2 2 2" xfId="10390" xr:uid="{BEEC522D-BAF5-4632-A056-85F819F96DC1}"/>
    <cellStyle name="40% - Accent2 2 3 3 2 3" xfId="8013" xr:uid="{4E76CEB2-F0AC-46BD-840F-92DD7259978A}"/>
    <cellStyle name="40% - Accent2 2 3 3 3" xfId="4943" xr:uid="{918C7535-76D6-4933-B26D-0462A8BCD032}"/>
    <cellStyle name="40% - Accent2 2 3 3 3 2" xfId="10389" xr:uid="{A0FAB110-18EF-4D3D-B18C-5B9980E3195C}"/>
    <cellStyle name="40% - Accent2 2 3 3 4" xfId="8012" xr:uid="{026BBE19-3404-4946-B540-E3FB8F74413A}"/>
    <cellStyle name="40% - Accent2 2 3 4" xfId="1172" xr:uid="{FF19BEF8-A722-4805-94C6-C60DD73075EE}"/>
    <cellStyle name="40% - Accent2 2 3 4 2" xfId="4945" xr:uid="{97277790-3E70-4A4E-8399-7F031398CDE7}"/>
    <cellStyle name="40% - Accent2 2 3 4 2 2" xfId="10391" xr:uid="{26D46958-299E-4EAA-B171-654141CD3E8D}"/>
    <cellStyle name="40% - Accent2 2 3 4 3" xfId="8014" xr:uid="{63EBA26D-D252-4772-8404-6A7993E9A5AF}"/>
    <cellStyle name="40% - Accent2 2 3 5" xfId="3390" xr:uid="{7F48C044-1803-4286-9695-88C7948ED54D}"/>
    <cellStyle name="40% - Accent2 2 3 5 2" xfId="5879" xr:uid="{97838D86-56A7-4151-A309-F97E50EEA3AE}"/>
    <cellStyle name="40% - Accent2 2 3 5 2 2" xfId="11321" xr:uid="{67DAB1ED-FC2F-43E9-A6ED-317B5BB5812D}"/>
    <cellStyle name="40% - Accent2 2 3 5 3" xfId="8937" xr:uid="{FC8595C2-E1D2-4176-9522-65ADC6E8E934}"/>
    <cellStyle name="40% - Accent2 2 3 6" xfId="2085" xr:uid="{4C8C86F2-21CE-4808-A0E4-1D1D7863E2DD}"/>
    <cellStyle name="40% - Accent2 2 3 7" xfId="4938" xr:uid="{A2ACC553-4F15-4AAE-8C95-B9739E48C9B1}"/>
    <cellStyle name="40% - Accent2 2 3 7 2" xfId="10384" xr:uid="{16976502-83E4-4CDF-9589-FD5727DE6060}"/>
    <cellStyle name="40% - Accent2 2 3 8" xfId="8007" xr:uid="{4D640F4E-4432-4049-8412-F92E91E2F343}"/>
    <cellStyle name="40% - Accent2 2 4" xfId="1173" xr:uid="{2F8AA037-ACA0-45D4-A25E-F217B44E135D}"/>
    <cellStyle name="40% - Accent2 2 4 2" xfId="1174" xr:uid="{9AE486D5-76D2-4042-9E1D-56DE5B33C61F}"/>
    <cellStyle name="40% - Accent2 2 4 2 2" xfId="1175" xr:uid="{4C09B825-CCAC-4D6A-9E66-2E7D6646BB35}"/>
    <cellStyle name="40% - Accent2 2 4 2 2 2" xfId="4948" xr:uid="{1F439D28-0400-4425-81BD-BFACA809258F}"/>
    <cellStyle name="40% - Accent2 2 4 2 2 2 2" xfId="10394" xr:uid="{653A057B-B1A4-4686-A29B-9FA5B506AC95}"/>
    <cellStyle name="40% - Accent2 2 4 2 2 3" xfId="8017" xr:uid="{3FFC32A9-CA21-4A44-A826-BCAFCF22D8D4}"/>
    <cellStyle name="40% - Accent2 2 4 2 3" xfId="4947" xr:uid="{157AB378-002A-4173-9703-75A387289B06}"/>
    <cellStyle name="40% - Accent2 2 4 2 3 2" xfId="10393" xr:uid="{74714DC1-F6BF-45FC-B1F4-A1BA4DE47F7B}"/>
    <cellStyle name="40% - Accent2 2 4 2 4" xfId="8016" xr:uid="{C2AE4E54-5229-4BCD-B8D9-9F52BFBE3DA1}"/>
    <cellStyle name="40% - Accent2 2 4 3" xfId="1176" xr:uid="{71BBB31C-B742-4394-AEF7-58ADC5FDBE2C}"/>
    <cellStyle name="40% - Accent2 2 4 3 2" xfId="4949" xr:uid="{70681595-DA2C-49B5-9C62-308A40626C76}"/>
    <cellStyle name="40% - Accent2 2 4 3 2 2" xfId="10395" xr:uid="{A6EEA777-83A8-48BA-A608-371840B9B4C9}"/>
    <cellStyle name="40% - Accent2 2 4 3 3" xfId="8018" xr:uid="{6C44C60F-5DAC-427A-AD78-61573E4EB109}"/>
    <cellStyle name="40% - Accent2 2 4 4" xfId="3391" xr:uid="{D5F7A562-E66C-4B13-BC3E-4C45B5DB61F9}"/>
    <cellStyle name="40% - Accent2 2 4 4 2" xfId="5880" xr:uid="{851C74CB-19A8-495B-BE47-905D0E88CF64}"/>
    <cellStyle name="40% - Accent2 2 4 4 2 2" xfId="11322" xr:uid="{D8571FA5-7765-4633-8204-1BC7115D6B1D}"/>
    <cellStyle name="40% - Accent2 2 4 4 3" xfId="8938" xr:uid="{45691ADE-A20D-4279-936B-C7ACA35D11D2}"/>
    <cellStyle name="40% - Accent2 2 4 5" xfId="2084" xr:uid="{795A35C4-D5A4-422D-8829-E6B52AC93F92}"/>
    <cellStyle name="40% - Accent2 2 4 6" xfId="4946" xr:uid="{BA33EE25-DF16-412C-84EE-39FFF107E7FC}"/>
    <cellStyle name="40% - Accent2 2 4 6 2" xfId="10392" xr:uid="{FEDCBE51-E02B-4227-908C-A88775139522}"/>
    <cellStyle name="40% - Accent2 2 4 7" xfId="8015" xr:uid="{0E0ADC8E-7A7D-4431-A0EF-BF85F92E3884}"/>
    <cellStyle name="40% - Accent2 2 5" xfId="1177" xr:uid="{ED858173-3ABE-4C0C-BD7C-2867282B0231}"/>
    <cellStyle name="40% - Accent2 2 5 2" xfId="1178" xr:uid="{57371FC0-C2BF-42F4-809A-CDE989254C28}"/>
    <cellStyle name="40% - Accent2 2 5 2 2" xfId="4951" xr:uid="{56878419-DB93-4BB2-8633-8C844291A669}"/>
    <cellStyle name="40% - Accent2 2 5 2 2 2" xfId="10397" xr:uid="{70BA14CB-7A97-49BD-B496-671C97D2042D}"/>
    <cellStyle name="40% - Accent2 2 5 2 3" xfId="8020" xr:uid="{C6883034-5DA9-4C02-BB6A-9F0122C81D4A}"/>
    <cellStyle name="40% - Accent2 2 5 3" xfId="4950" xr:uid="{481DA2EF-741A-4115-AFCF-67F3727A1681}"/>
    <cellStyle name="40% - Accent2 2 5 3 2" xfId="10396" xr:uid="{8CEBB079-10A8-4D89-8F2C-40EAA1487552}"/>
    <cellStyle name="40% - Accent2 2 5 4" xfId="8019" xr:uid="{DEE2B1D9-305D-4D5E-9434-5088D2FCF303}"/>
    <cellStyle name="40% - Accent2 2 6" xfId="1179" xr:uid="{D9F1AB55-5057-4D79-BD99-FE72F975C24C}"/>
    <cellStyle name="40% - Accent2 2 6 2" xfId="4952" xr:uid="{38122374-CCB3-4BE8-A6FE-BC768DBEA269}"/>
    <cellStyle name="40% - Accent2 2 6 2 2" xfId="10398" xr:uid="{EF4BD10F-6C64-46F6-BD50-E636F6F46815}"/>
    <cellStyle name="40% - Accent2 2 6 3" xfId="8021" xr:uid="{ABF1753F-DC43-4624-93FF-E3C60374944F}"/>
    <cellStyle name="40% - Accent2 2 7" xfId="1180" xr:uid="{6EFCD53F-EE13-4CA4-BE38-C659F2239C3F}"/>
    <cellStyle name="40% - Accent2 2 8" xfId="4929" xr:uid="{F6B08CC6-4A4B-483C-B5A1-856EA2D4D28C}"/>
    <cellStyle name="40% - Accent2 2 8 2" xfId="10375" xr:uid="{103E2802-A579-4FC0-AC58-4C3CA579F72C}"/>
    <cellStyle name="40% - Accent2 2 9" xfId="7998" xr:uid="{83D58897-0F16-4021-872A-6E32E0B11610}"/>
    <cellStyle name="40% - Accent2 3" xfId="1181" xr:uid="{BD509162-5F36-4097-BD9E-801D1D74BC95}"/>
    <cellStyle name="40% - Accent2 3 2" xfId="1182" xr:uid="{EDF2655B-E559-4F60-8484-773D0FDDCF1B}"/>
    <cellStyle name="40% - Accent2 3 2 2" xfId="1183" xr:uid="{4753EA1E-7A78-4D81-8DC4-D23453A1DC09}"/>
    <cellStyle name="40% - Accent2 3 2 2 2" xfId="1184" xr:uid="{A3A6E727-5098-423B-9918-CEE93A51CE60}"/>
    <cellStyle name="40% - Accent2 3 2 2 2 2" xfId="1185" xr:uid="{E05FB6B4-7463-4E34-8701-73EB1B2F345D}"/>
    <cellStyle name="40% - Accent2 3 2 2 2 2 2" xfId="4957" xr:uid="{82D7AECB-666D-446C-98ED-EB088FD09DF5}"/>
    <cellStyle name="40% - Accent2 3 2 2 2 2 2 2" xfId="10403" xr:uid="{DD64BB7A-B7E1-443C-93D0-5F1E6AF1612D}"/>
    <cellStyle name="40% - Accent2 3 2 2 2 2 3" xfId="8026" xr:uid="{E59FA7FE-7465-41EC-9051-DE4C87B07CDE}"/>
    <cellStyle name="40% - Accent2 3 2 2 2 3" xfId="4956" xr:uid="{BDE4663B-C006-4628-833C-A9B0DDA126DF}"/>
    <cellStyle name="40% - Accent2 3 2 2 2 3 2" xfId="10402" xr:uid="{AAC2E5CF-A7CC-4611-A704-3A586D7FEFB8}"/>
    <cellStyle name="40% - Accent2 3 2 2 2 4" xfId="8025" xr:uid="{89C803CC-FA83-491B-BBE8-9608ACCA90F0}"/>
    <cellStyle name="40% - Accent2 3 2 2 3" xfId="1186" xr:uid="{B2A3E683-8277-4936-A973-73BA5E990E05}"/>
    <cellStyle name="40% - Accent2 3 2 2 3 2" xfId="4958" xr:uid="{F96DB696-75B7-40DC-AEBC-C9FAC44EE4ED}"/>
    <cellStyle name="40% - Accent2 3 2 2 3 2 2" xfId="10404" xr:uid="{C9A03DAC-0C62-4580-873C-42B927B3ECE2}"/>
    <cellStyle name="40% - Accent2 3 2 2 3 3" xfId="8027" xr:uid="{9F26C84C-C0AE-4050-89B3-18624B67875B}"/>
    <cellStyle name="40% - Accent2 3 2 2 4" xfId="4955" xr:uid="{EA402A19-7441-4C0E-9D6B-5AAC809B9155}"/>
    <cellStyle name="40% - Accent2 3 2 2 4 2" xfId="10401" xr:uid="{9D57858B-CF02-4718-AF96-8B1EE03EDA72}"/>
    <cellStyle name="40% - Accent2 3 2 2 5" xfId="8024" xr:uid="{4BAD988E-6FDC-49A1-B970-1C499946C8C6}"/>
    <cellStyle name="40% - Accent2 3 2 3" xfId="1187" xr:uid="{D7CE77FA-B52F-44F5-89F3-D3FFF80056D8}"/>
    <cellStyle name="40% - Accent2 3 2 3 2" xfId="1188" xr:uid="{FBBFF973-74CC-4E72-B08A-2FDCC78AB17A}"/>
    <cellStyle name="40% - Accent2 3 2 3 2 2" xfId="4960" xr:uid="{66D4670A-B996-49BF-AD92-88884FEC3D72}"/>
    <cellStyle name="40% - Accent2 3 2 3 2 2 2" xfId="10406" xr:uid="{2B8575F8-FD06-407A-8D23-351B347AE39F}"/>
    <cellStyle name="40% - Accent2 3 2 3 2 3" xfId="8029" xr:uid="{3107310A-E4F5-452B-ABAA-925D6C163820}"/>
    <cellStyle name="40% - Accent2 3 2 3 3" xfId="4959" xr:uid="{7B706934-0B9C-4B56-96ED-ED1ED1DEDE33}"/>
    <cellStyle name="40% - Accent2 3 2 3 3 2" xfId="10405" xr:uid="{E7840169-52BF-444B-8030-29EBFD877E6F}"/>
    <cellStyle name="40% - Accent2 3 2 3 4" xfId="8028" xr:uid="{47C48FD5-690B-4386-9C26-6FBAA6E3F6EF}"/>
    <cellStyle name="40% - Accent2 3 2 4" xfId="1189" xr:uid="{9220B257-42AF-407D-9B31-530A96393F09}"/>
    <cellStyle name="40% - Accent2 3 2 4 2" xfId="4961" xr:uid="{11BFD141-B57F-4627-9CDF-B1BADDFA87F9}"/>
    <cellStyle name="40% - Accent2 3 2 4 2 2" xfId="10407" xr:uid="{0C9A1B65-7D81-412D-A2A9-87590628C9F7}"/>
    <cellStyle name="40% - Accent2 3 2 4 3" xfId="8030" xr:uid="{E5B2C978-2F71-43CF-BA37-5A1EC8E2CF0A}"/>
    <cellStyle name="40% - Accent2 3 2 5" xfId="3392" xr:uid="{FCE002B8-ED9F-4B4D-97F9-A7D417610E22}"/>
    <cellStyle name="40% - Accent2 3 2 5 2" xfId="5881" xr:uid="{4FA75F3F-8D23-4CAC-A3CF-F0144A5DBD64}"/>
    <cellStyle name="40% - Accent2 3 2 5 2 2" xfId="11323" xr:uid="{B0C74339-5D3D-49EF-AA08-14226135C02A}"/>
    <cellStyle name="40% - Accent2 3 2 5 3" xfId="8939" xr:uid="{C3C96BCF-1F49-4E67-B81C-78C71B219FBB}"/>
    <cellStyle name="40% - Accent2 3 2 6" xfId="2086" xr:uid="{EC3D80C8-AFA6-418E-9E1C-45AE29543286}"/>
    <cellStyle name="40% - Accent2 3 2 7" xfId="4954" xr:uid="{6FF83BFF-17C9-4FE9-9254-4FBA93912C45}"/>
    <cellStyle name="40% - Accent2 3 2 7 2" xfId="10400" xr:uid="{AEA85BD7-9CAE-4989-9534-7858978E2507}"/>
    <cellStyle name="40% - Accent2 3 2 8" xfId="8023" xr:uid="{4448A412-A996-460B-9855-350CD8ED4289}"/>
    <cellStyle name="40% - Accent2 3 3" xfId="1190" xr:uid="{95FDA112-E3BB-41C6-9D9C-E9D1BBC0DED8}"/>
    <cellStyle name="40% - Accent2 3 3 2" xfId="1191" xr:uid="{DDDAB871-E2B3-47AE-A967-992CF543A2E2}"/>
    <cellStyle name="40% - Accent2 3 3 2 2" xfId="1192" xr:uid="{B30F092F-2583-48B5-9616-2F69CA1D5A92}"/>
    <cellStyle name="40% - Accent2 3 3 2 2 2" xfId="1193" xr:uid="{04E7D8DF-B92B-4C1E-931D-054F4FADB63A}"/>
    <cellStyle name="40% - Accent2 3 3 2 2 2 2" xfId="4965" xr:uid="{5C08D1F3-EBB5-4F82-A0B3-11173CCF3D05}"/>
    <cellStyle name="40% - Accent2 3 3 2 2 2 2 2" xfId="10411" xr:uid="{4CA2ACA9-6EED-4FB9-BFBA-53983DAEA03A}"/>
    <cellStyle name="40% - Accent2 3 3 2 2 2 3" xfId="8034" xr:uid="{519DA52B-8AA9-4C90-8F70-738A5A2B80E5}"/>
    <cellStyle name="40% - Accent2 3 3 2 2 3" xfId="4964" xr:uid="{0D93A25A-0E69-4663-81AE-CBD66BD28094}"/>
    <cellStyle name="40% - Accent2 3 3 2 2 3 2" xfId="10410" xr:uid="{93DB7A55-1AF8-4B51-BAF5-29DB56AFEA1C}"/>
    <cellStyle name="40% - Accent2 3 3 2 2 4" xfId="8033" xr:uid="{235AFD68-0007-4A8B-8FE2-8EE32646B933}"/>
    <cellStyle name="40% - Accent2 3 3 2 3" xfId="1194" xr:uid="{846DAAB3-A756-43ED-9A67-A0C0AB2B0D0A}"/>
    <cellStyle name="40% - Accent2 3 3 2 3 2" xfId="4966" xr:uid="{53F67D72-A5BD-4510-8354-DF3F63B7BB55}"/>
    <cellStyle name="40% - Accent2 3 3 2 3 2 2" xfId="10412" xr:uid="{2664E700-AA72-4409-9ECB-7B6754336EC1}"/>
    <cellStyle name="40% - Accent2 3 3 2 3 3" xfId="8035" xr:uid="{695B5B39-8106-4B93-A2D5-3C376C9B494D}"/>
    <cellStyle name="40% - Accent2 3 3 2 4" xfId="4963" xr:uid="{D42127C6-6326-4216-A957-B75AACFC66EA}"/>
    <cellStyle name="40% - Accent2 3 3 2 4 2" xfId="10409" xr:uid="{458BF9B8-B5CD-44EA-A79E-CC8EB037821F}"/>
    <cellStyle name="40% - Accent2 3 3 2 5" xfId="8032" xr:uid="{6EB99439-6C69-48BA-919B-0A050F497F73}"/>
    <cellStyle name="40% - Accent2 3 3 3" xfId="1195" xr:uid="{D65E79A5-C908-4DC0-A55D-FCBEE7124501}"/>
    <cellStyle name="40% - Accent2 3 3 3 2" xfId="1196" xr:uid="{8FCFA4DE-DBC8-4521-AB1C-0C46096EF7DD}"/>
    <cellStyle name="40% - Accent2 3 3 3 2 2" xfId="4968" xr:uid="{1AB24171-1ED0-4C8D-814F-CED925A28E8E}"/>
    <cellStyle name="40% - Accent2 3 3 3 2 2 2" xfId="10414" xr:uid="{1D53A838-CF06-4B3B-AED2-8A4FF2893A1A}"/>
    <cellStyle name="40% - Accent2 3 3 3 2 3" xfId="8037" xr:uid="{0F0C5044-8629-4C12-B001-1FF8630075A5}"/>
    <cellStyle name="40% - Accent2 3 3 3 3" xfId="4967" xr:uid="{40D361F1-92C2-4491-8421-ED20CFE96D4D}"/>
    <cellStyle name="40% - Accent2 3 3 3 3 2" xfId="10413" xr:uid="{F956E76D-2864-4CB9-B934-D9195EAC6E10}"/>
    <cellStyle name="40% - Accent2 3 3 3 4" xfId="8036" xr:uid="{05D2420E-5E5E-4454-89C1-130E79B683F1}"/>
    <cellStyle name="40% - Accent2 3 3 4" xfId="1197" xr:uid="{9509EEBE-1AB9-406E-A682-ED42CC21A93A}"/>
    <cellStyle name="40% - Accent2 3 3 4 2" xfId="4969" xr:uid="{A1D32741-A5B7-4D1C-A7B7-35C59A2E0002}"/>
    <cellStyle name="40% - Accent2 3 3 4 2 2" xfId="10415" xr:uid="{D0B63E5E-2A8E-466E-AC58-A6733E3AE5BC}"/>
    <cellStyle name="40% - Accent2 3 3 4 3" xfId="8038" xr:uid="{F54FFF26-797D-4D76-9D73-C44E06AB5651}"/>
    <cellStyle name="40% - Accent2 3 3 5" xfId="4962" xr:uid="{9947E84E-C905-487C-ADB6-F318C79C7A29}"/>
    <cellStyle name="40% - Accent2 3 3 5 2" xfId="10408" xr:uid="{124DCCA2-8694-447A-AEC0-CE6F739E54F2}"/>
    <cellStyle name="40% - Accent2 3 3 6" xfId="8031" xr:uid="{FC4E5B80-A840-4D7A-A34D-4FC3145BA0C3}"/>
    <cellStyle name="40% - Accent2 3 4" xfId="1198" xr:uid="{589F1596-5DCD-4470-BA0E-661694677216}"/>
    <cellStyle name="40% - Accent2 3 4 2" xfId="1199" xr:uid="{F73B60CE-3E9C-437E-B5FD-91B94AF7CECD}"/>
    <cellStyle name="40% - Accent2 3 4 2 2" xfId="1200" xr:uid="{B0935F96-6309-4B31-B6D2-42335CFDEE70}"/>
    <cellStyle name="40% - Accent2 3 4 2 2 2" xfId="4972" xr:uid="{126A9294-40D8-486D-915B-DF16395E0882}"/>
    <cellStyle name="40% - Accent2 3 4 2 2 2 2" xfId="10418" xr:uid="{DCBB5C5A-BE15-46AD-9CC9-24A481B4BD79}"/>
    <cellStyle name="40% - Accent2 3 4 2 2 3" xfId="8041" xr:uid="{9E5A70EF-A39E-4CD6-9B75-05678A865208}"/>
    <cellStyle name="40% - Accent2 3 4 2 3" xfId="4971" xr:uid="{95F1987E-B730-45D9-A5B5-971A9A0EBBB0}"/>
    <cellStyle name="40% - Accent2 3 4 2 3 2" xfId="10417" xr:uid="{256135C3-AD20-4B5A-84A4-43C1E9B1C74C}"/>
    <cellStyle name="40% - Accent2 3 4 2 4" xfId="8040" xr:uid="{2B846A05-B997-48A4-9564-DDA5FE9112FE}"/>
    <cellStyle name="40% - Accent2 3 4 3" xfId="1201" xr:uid="{4C59E26E-1426-4D54-8C26-FE9D7D180EE8}"/>
    <cellStyle name="40% - Accent2 3 4 3 2" xfId="4973" xr:uid="{2A88016E-6CAD-4648-A3D4-5E5D940BAF77}"/>
    <cellStyle name="40% - Accent2 3 4 3 2 2" xfId="10419" xr:uid="{565E7BA8-634F-46C4-91A6-6584BC9B10A6}"/>
    <cellStyle name="40% - Accent2 3 4 3 3" xfId="8042" xr:uid="{4786C427-AA88-4436-BC91-3F891492D7DD}"/>
    <cellStyle name="40% - Accent2 3 4 4" xfId="4970" xr:uid="{8C0E490B-742C-43D0-A72D-8FFEABBC9D20}"/>
    <cellStyle name="40% - Accent2 3 4 4 2" xfId="10416" xr:uid="{796864C7-C5C4-41D2-A264-2FCB3CECDB76}"/>
    <cellStyle name="40% - Accent2 3 4 5" xfId="8039" xr:uid="{2466F39E-B1D5-472D-9E06-496DF59D3151}"/>
    <cellStyle name="40% - Accent2 3 5" xfId="1202" xr:uid="{3F699E78-0074-4090-B3FF-0FC44E6C593B}"/>
    <cellStyle name="40% - Accent2 3 5 2" xfId="1203" xr:uid="{A3718302-79A8-4DB3-9C87-80203575092F}"/>
    <cellStyle name="40% - Accent2 3 5 2 2" xfId="4975" xr:uid="{29A604A1-26E2-4469-87DC-DEFDBA5BDCE1}"/>
    <cellStyle name="40% - Accent2 3 5 2 2 2" xfId="10421" xr:uid="{543A3540-4C34-4C1F-B223-F2C40CECC39A}"/>
    <cellStyle name="40% - Accent2 3 5 2 3" xfId="8044" xr:uid="{5134452D-F3D2-462D-8A60-E845FE833AC7}"/>
    <cellStyle name="40% - Accent2 3 5 3" xfId="4974" xr:uid="{D776A2B9-1ECB-4FE2-87AE-DA59AC66E716}"/>
    <cellStyle name="40% - Accent2 3 5 3 2" xfId="10420" xr:uid="{3BCD6632-17DF-4FF7-A360-AA1EA8C59984}"/>
    <cellStyle name="40% - Accent2 3 5 4" xfId="8043" xr:uid="{40632868-3A4B-4A65-BC1C-34A9D9481F06}"/>
    <cellStyle name="40% - Accent2 3 6" xfId="1204" xr:uid="{72A6619B-02FB-4A04-837F-23DBDF301B06}"/>
    <cellStyle name="40% - Accent2 3 6 2" xfId="4976" xr:uid="{3A9E0FFF-47F9-4319-B3BF-DFBCD99DD50A}"/>
    <cellStyle name="40% - Accent2 3 6 2 2" xfId="10422" xr:uid="{A2229A41-5D63-48B5-921F-690EC0D53854}"/>
    <cellStyle name="40% - Accent2 3 6 3" xfId="8045" xr:uid="{F2E349F9-3D1C-43C8-A699-9BDB47C5C76B}"/>
    <cellStyle name="40% - Accent2 3 7" xfId="4953" xr:uid="{CA378B88-E68A-4249-B27D-8259F82BB33E}"/>
    <cellStyle name="40% - Accent2 3 7 2" xfId="10399" xr:uid="{1D0D0EB5-3E8B-4560-934B-1796311EEF5A}"/>
    <cellStyle name="40% - Accent2 3 8" xfId="8022" xr:uid="{1AD1EF9B-D7CB-444B-BCEA-79EB3C927ACA}"/>
    <cellStyle name="40% - Accent2 4" xfId="1205" xr:uid="{AE4F40CD-4207-468D-8194-FDB5E35D7C3C}"/>
    <cellStyle name="40% - Accent2 4 2" xfId="1206" xr:uid="{B2B8DBB6-68DD-457C-9F7D-3984E04535A3}"/>
    <cellStyle name="40% - Accent2 4 2 2" xfId="1207" xr:uid="{D400399D-8C7C-4C6E-A97A-C2BAD75AB373}"/>
    <cellStyle name="40% - Accent2 4 2 2 2" xfId="1208" xr:uid="{88D70C8C-39C4-4C29-93B1-1EF4BE3FE117}"/>
    <cellStyle name="40% - Accent2 4 2 2 2 2" xfId="1209" xr:uid="{8C7D4CF6-9CF3-4ADA-8E35-C8E8604D0287}"/>
    <cellStyle name="40% - Accent2 4 2 2 2 2 2" xfId="4981" xr:uid="{416AFF8F-973A-4879-9998-A6FA9DAF7220}"/>
    <cellStyle name="40% - Accent2 4 2 2 2 2 2 2" xfId="10427" xr:uid="{FCDA7C22-59F9-464A-B386-388710751E77}"/>
    <cellStyle name="40% - Accent2 4 2 2 2 2 3" xfId="8050" xr:uid="{F1E0BE08-7FF5-4BAB-BBD8-EF70CAD08EE2}"/>
    <cellStyle name="40% - Accent2 4 2 2 2 3" xfId="4980" xr:uid="{08CCA2E1-054A-4802-882C-0D358679479B}"/>
    <cellStyle name="40% - Accent2 4 2 2 2 3 2" xfId="10426" xr:uid="{F18AF818-365E-43F7-9C34-5BE106C5DB2B}"/>
    <cellStyle name="40% - Accent2 4 2 2 2 4" xfId="8049" xr:uid="{465ECAF1-495C-4A47-B5C8-C99DF5E2D375}"/>
    <cellStyle name="40% - Accent2 4 2 2 3" xfId="1210" xr:uid="{E45825B9-AA5A-41F9-AA14-E7C57715DD1E}"/>
    <cellStyle name="40% - Accent2 4 2 2 3 2" xfId="4982" xr:uid="{CCE08CD8-F0E0-4AE5-BE49-8F690F0E2A6A}"/>
    <cellStyle name="40% - Accent2 4 2 2 3 2 2" xfId="10428" xr:uid="{8876FC31-011A-4CCD-9C64-76FAA7C7F2B1}"/>
    <cellStyle name="40% - Accent2 4 2 2 3 3" xfId="8051" xr:uid="{71A982FC-140F-4182-90F9-7640F96EFC12}"/>
    <cellStyle name="40% - Accent2 4 2 2 4" xfId="4979" xr:uid="{DD2669FC-7871-4858-A6D7-2F3D62A2B13A}"/>
    <cellStyle name="40% - Accent2 4 2 2 4 2" xfId="10425" xr:uid="{EB9149F1-A835-4E93-9EAC-E4EDD81557BA}"/>
    <cellStyle name="40% - Accent2 4 2 2 5" xfId="8048" xr:uid="{54B875E1-19D9-4720-A8F9-B188BD391076}"/>
    <cellStyle name="40% - Accent2 4 2 3" xfId="1211" xr:uid="{8120B3E8-E242-45D8-B3FE-17A81FCFC588}"/>
    <cellStyle name="40% - Accent2 4 2 3 2" xfId="1212" xr:uid="{09619168-B607-4652-90B8-FE885A54A035}"/>
    <cellStyle name="40% - Accent2 4 2 3 2 2" xfId="4984" xr:uid="{775D495A-211C-4A02-9080-00C65F795BC7}"/>
    <cellStyle name="40% - Accent2 4 2 3 2 2 2" xfId="10430" xr:uid="{28D814CA-116A-457F-A864-20FBEE22F17C}"/>
    <cellStyle name="40% - Accent2 4 2 3 2 3" xfId="8053" xr:uid="{04507DF2-EAC4-4FF3-A707-6BF04275AB81}"/>
    <cellStyle name="40% - Accent2 4 2 3 3" xfId="4983" xr:uid="{86A1F8AF-65F6-47A3-91B6-39C0B986884C}"/>
    <cellStyle name="40% - Accent2 4 2 3 3 2" xfId="10429" xr:uid="{353EBCE7-8AED-40DA-BA5E-392F58A9AE55}"/>
    <cellStyle name="40% - Accent2 4 2 3 4" xfId="8052" xr:uid="{54BB7CB2-9E75-4E3E-8F93-412A277B7E1A}"/>
    <cellStyle name="40% - Accent2 4 2 4" xfId="1213" xr:uid="{10DCB43E-A68D-4DC8-8782-2EF0C9323AB8}"/>
    <cellStyle name="40% - Accent2 4 2 4 2" xfId="4985" xr:uid="{2E0E4045-0737-4EED-A217-04186D691590}"/>
    <cellStyle name="40% - Accent2 4 2 4 2 2" xfId="10431" xr:uid="{401D55FF-0A5C-429D-ABD1-BEADD0AED767}"/>
    <cellStyle name="40% - Accent2 4 2 4 3" xfId="8054" xr:uid="{EF8242EE-B204-410D-BACC-D95CC8B2F21E}"/>
    <cellStyle name="40% - Accent2 4 2 5" xfId="4978" xr:uid="{CF0B077D-08D8-4C88-AC21-ED5D81178EE6}"/>
    <cellStyle name="40% - Accent2 4 2 5 2" xfId="10424" xr:uid="{7AA672F7-A210-4285-80A1-0128907419F9}"/>
    <cellStyle name="40% - Accent2 4 2 6" xfId="8047" xr:uid="{A077FE89-57BB-4897-92D2-A12707A6CEE7}"/>
    <cellStyle name="40% - Accent2 4 3" xfId="1214" xr:uid="{B598F777-AC1B-43F8-B007-25F03995F080}"/>
    <cellStyle name="40% - Accent2 4 3 2" xfId="1215" xr:uid="{F88361A8-3D73-46A8-B77C-021D9A3744B3}"/>
    <cellStyle name="40% - Accent2 4 3 2 2" xfId="1216" xr:uid="{FFDDF1E7-E643-4BE6-A55D-75501698BF72}"/>
    <cellStyle name="40% - Accent2 4 3 2 2 2" xfId="1217" xr:uid="{41065083-1910-40F8-83A5-9970446967BA}"/>
    <cellStyle name="40% - Accent2 4 3 2 2 2 2" xfId="4989" xr:uid="{15D17832-95A9-4116-943B-D22D41C62D9D}"/>
    <cellStyle name="40% - Accent2 4 3 2 2 2 2 2" xfId="10435" xr:uid="{8E262353-E85A-42B2-B435-CD532D3E9B1E}"/>
    <cellStyle name="40% - Accent2 4 3 2 2 2 3" xfId="8058" xr:uid="{9AE17CF6-7A5B-4CE1-9CE1-3FCF6069C7A0}"/>
    <cellStyle name="40% - Accent2 4 3 2 2 3" xfId="4988" xr:uid="{15225FD9-0744-44A6-8B3F-CA21C16EE74B}"/>
    <cellStyle name="40% - Accent2 4 3 2 2 3 2" xfId="10434" xr:uid="{CB2E9D54-6A7F-433A-A58A-03B555AD662C}"/>
    <cellStyle name="40% - Accent2 4 3 2 2 4" xfId="8057" xr:uid="{50561598-D592-48FB-BCDC-F99822AF0445}"/>
    <cellStyle name="40% - Accent2 4 3 2 3" xfId="1218" xr:uid="{C2FA30B9-3376-492C-821A-5FE4EAFC11EB}"/>
    <cellStyle name="40% - Accent2 4 3 2 3 2" xfId="4990" xr:uid="{32107951-5063-4D47-B5C1-C2F225620769}"/>
    <cellStyle name="40% - Accent2 4 3 2 3 2 2" xfId="10436" xr:uid="{51CAC30A-A5B1-4F13-965E-60F713F8344D}"/>
    <cellStyle name="40% - Accent2 4 3 2 3 3" xfId="8059" xr:uid="{160D2EE0-126A-45D3-B490-CEC21EA07407}"/>
    <cellStyle name="40% - Accent2 4 3 2 4" xfId="4987" xr:uid="{8CE246BC-7DCC-4799-AC0E-735490B9F409}"/>
    <cellStyle name="40% - Accent2 4 3 2 4 2" xfId="10433" xr:uid="{94FA0EBC-5CF7-4766-82EA-F8D28C1A7735}"/>
    <cellStyle name="40% - Accent2 4 3 2 5" xfId="8056" xr:uid="{F7C01C74-A678-4A02-B3F3-2BB20DDE9FF7}"/>
    <cellStyle name="40% - Accent2 4 3 3" xfId="1219" xr:uid="{CAA74C83-111C-400F-B19A-1773DDBC10EF}"/>
    <cellStyle name="40% - Accent2 4 3 3 2" xfId="1220" xr:uid="{A5B4B636-808F-4465-B3E1-727184BFBBA5}"/>
    <cellStyle name="40% - Accent2 4 3 3 2 2" xfId="4992" xr:uid="{56B80F6C-BF87-4375-996C-CD3881085D16}"/>
    <cellStyle name="40% - Accent2 4 3 3 2 2 2" xfId="10438" xr:uid="{EDFAD271-1EFC-4DB8-B4BF-E3B6CD3C9BB6}"/>
    <cellStyle name="40% - Accent2 4 3 3 2 3" xfId="8061" xr:uid="{96956386-C6C2-4BF9-BA9B-C8A7EF74E6A5}"/>
    <cellStyle name="40% - Accent2 4 3 3 3" xfId="4991" xr:uid="{7BAD3180-46C3-48CE-9356-5AF3AB939B3B}"/>
    <cellStyle name="40% - Accent2 4 3 3 3 2" xfId="10437" xr:uid="{DFC721C7-ABCC-4DDF-8477-EBCB70905FBE}"/>
    <cellStyle name="40% - Accent2 4 3 3 4" xfId="8060" xr:uid="{56B1E49F-0ED2-494D-80E1-9A66CC0BB37E}"/>
    <cellStyle name="40% - Accent2 4 3 4" xfId="1221" xr:uid="{3E1D4B64-2731-49AD-B668-5C9D80A35635}"/>
    <cellStyle name="40% - Accent2 4 3 4 2" xfId="4993" xr:uid="{ADAEBD14-67FB-417B-9B8C-7E97AFD5241F}"/>
    <cellStyle name="40% - Accent2 4 3 4 2 2" xfId="10439" xr:uid="{4DAB074F-4822-47A6-85FA-D9885299D109}"/>
    <cellStyle name="40% - Accent2 4 3 4 3" xfId="8062" xr:uid="{6207541D-C34A-40A6-A640-69AB677AD230}"/>
    <cellStyle name="40% - Accent2 4 3 5" xfId="4986" xr:uid="{499701BC-70F8-41E2-A620-124083017855}"/>
    <cellStyle name="40% - Accent2 4 3 5 2" xfId="10432" xr:uid="{7A571563-B942-491D-9E90-3DA7F5EDFEB4}"/>
    <cellStyle name="40% - Accent2 4 3 6" xfId="8055" xr:uid="{513471A4-E0BC-4B4A-AA8E-E988312B5411}"/>
    <cellStyle name="40% - Accent2 4 4" xfId="1222" xr:uid="{92A209F2-9737-426D-9C46-3554FBFFAA6A}"/>
    <cellStyle name="40% - Accent2 4 4 2" xfId="1223" xr:uid="{D3FE6FC7-3FB7-48FA-80C1-866E497EE49B}"/>
    <cellStyle name="40% - Accent2 4 4 2 2" xfId="1224" xr:uid="{3FBDAA76-0D64-4DEA-AA4A-3C06E75A8F4E}"/>
    <cellStyle name="40% - Accent2 4 4 2 2 2" xfId="4996" xr:uid="{6DF8BD89-75E2-4210-8870-F306DF47900C}"/>
    <cellStyle name="40% - Accent2 4 4 2 2 2 2" xfId="10442" xr:uid="{0EE1ABC1-5BAC-4EA6-A99E-8D9DECE42391}"/>
    <cellStyle name="40% - Accent2 4 4 2 2 3" xfId="8065" xr:uid="{B2E0D40B-B200-4DA8-BE6C-9A5412F3DFD3}"/>
    <cellStyle name="40% - Accent2 4 4 2 3" xfId="4995" xr:uid="{6CF86B1E-22DA-4722-AB83-A4FD7AFF8D08}"/>
    <cellStyle name="40% - Accent2 4 4 2 3 2" xfId="10441" xr:uid="{DF4B3239-ED5B-481E-B761-CAB32B27F27D}"/>
    <cellStyle name="40% - Accent2 4 4 2 4" xfId="8064" xr:uid="{27394244-A1E0-4DB9-8EB5-14FADC278D98}"/>
    <cellStyle name="40% - Accent2 4 4 3" xfId="1225" xr:uid="{4F45618F-32C4-40B4-9E39-59FD1985C9D3}"/>
    <cellStyle name="40% - Accent2 4 4 3 2" xfId="4997" xr:uid="{0CC22AB1-7812-4118-8756-56FD4B6492D2}"/>
    <cellStyle name="40% - Accent2 4 4 3 2 2" xfId="10443" xr:uid="{9A6E85A8-36A2-4D3B-BBD2-CB878C82B6F5}"/>
    <cellStyle name="40% - Accent2 4 4 3 3" xfId="8066" xr:uid="{D9045D1F-C62A-46E9-A9E8-FDD81CF8AA9B}"/>
    <cellStyle name="40% - Accent2 4 4 4" xfId="4994" xr:uid="{91D475CA-67D2-44AE-808C-3C2B9989D9C9}"/>
    <cellStyle name="40% - Accent2 4 4 4 2" xfId="10440" xr:uid="{55D94BCA-9DA1-422A-B5B7-C2EE5C5EED69}"/>
    <cellStyle name="40% - Accent2 4 4 5" xfId="8063" xr:uid="{D22A8F56-4E43-4082-8F6F-9E87FE7012CF}"/>
    <cellStyle name="40% - Accent2 4 5" xfId="1226" xr:uid="{07D6703D-867C-4647-821E-888025A305C3}"/>
    <cellStyle name="40% - Accent2 4 5 2" xfId="1227" xr:uid="{366EB58B-F94C-4B84-B3D8-47A8E6D51252}"/>
    <cellStyle name="40% - Accent2 4 5 2 2" xfId="4999" xr:uid="{695775F9-C27A-4D13-8C3D-810F02546AEE}"/>
    <cellStyle name="40% - Accent2 4 5 2 2 2" xfId="10445" xr:uid="{ABBA8F37-C47D-43C6-8DE4-293E1E74E08E}"/>
    <cellStyle name="40% - Accent2 4 5 2 3" xfId="8068" xr:uid="{83E68599-2048-48DB-860B-4F443BB6C626}"/>
    <cellStyle name="40% - Accent2 4 5 3" xfId="4998" xr:uid="{73CF0BE2-8537-41B5-8024-6B749073B621}"/>
    <cellStyle name="40% - Accent2 4 5 3 2" xfId="10444" xr:uid="{445B9E5B-56C9-4D85-A157-39B91C8EF919}"/>
    <cellStyle name="40% - Accent2 4 5 4" xfId="8067" xr:uid="{C2893287-2214-4585-BADF-F4B7903AC6B3}"/>
    <cellStyle name="40% - Accent2 4 6" xfId="1228" xr:uid="{DA06325F-4E5D-45F3-B3E1-897B3239093E}"/>
    <cellStyle name="40% - Accent2 4 6 2" xfId="5000" xr:uid="{7E57E51D-84EE-49C8-86F9-69E12E41C879}"/>
    <cellStyle name="40% - Accent2 4 6 2 2" xfId="10446" xr:uid="{66C461C2-85BC-4559-B5D2-317C95DD680D}"/>
    <cellStyle name="40% - Accent2 4 6 3" xfId="8069" xr:uid="{78265849-AA20-4D24-B970-C93615F4E819}"/>
    <cellStyle name="40% - Accent2 4 7" xfId="4977" xr:uid="{84E241D5-F950-4A21-9087-B5A42A373204}"/>
    <cellStyle name="40% - Accent2 4 7 2" xfId="10423" xr:uid="{C77961F0-8A8C-440E-8599-38763C4DEFD7}"/>
    <cellStyle name="40% - Accent2 4 8" xfId="8046" xr:uid="{3D508E95-6918-4CC4-800B-2F0143044FC3}"/>
    <cellStyle name="40% - Accent2 5" xfId="1229" xr:uid="{574FCC8A-5FC5-4F24-9B84-F25DF9956A95}"/>
    <cellStyle name="40% - Accent2 5 2" xfId="1230" xr:uid="{43FD040D-1D16-4CC2-AC7D-65E35E3D967B}"/>
    <cellStyle name="40% - Accent2 5 2 2" xfId="1231" xr:uid="{A0836BCA-A927-4F53-A4F9-E6C0755EF075}"/>
    <cellStyle name="40% - Accent2 5 2 2 2" xfId="1232" xr:uid="{23E2389A-4CBF-4AA2-B34F-AB657FDF04FF}"/>
    <cellStyle name="40% - Accent2 5 2 2 2 2" xfId="5004" xr:uid="{E8437395-1B85-48E4-94AD-80C42ACCF3B3}"/>
    <cellStyle name="40% - Accent2 5 2 2 2 2 2" xfId="10450" xr:uid="{52EA7549-C47C-4939-8CB4-4D478FE9235D}"/>
    <cellStyle name="40% - Accent2 5 2 2 2 3" xfId="8073" xr:uid="{8547DA03-CBA9-404D-84A2-F5923CD6226A}"/>
    <cellStyle name="40% - Accent2 5 2 2 3" xfId="5003" xr:uid="{89838FE8-0B18-4498-8F8C-ED07BC010FED}"/>
    <cellStyle name="40% - Accent2 5 2 2 3 2" xfId="10449" xr:uid="{C5ACBC1C-9301-4989-8F79-7C8E889322D7}"/>
    <cellStyle name="40% - Accent2 5 2 2 4" xfId="8072" xr:uid="{F3E6D456-6446-41D3-9FDE-0A3C95EDE570}"/>
    <cellStyle name="40% - Accent2 5 2 3" xfId="1233" xr:uid="{50D25C6E-E885-45B2-8A77-2EFE56D4A906}"/>
    <cellStyle name="40% - Accent2 5 2 3 2" xfId="5005" xr:uid="{A37A3C25-5B2F-49E9-8964-8864AC4A4323}"/>
    <cellStyle name="40% - Accent2 5 2 3 2 2" xfId="10451" xr:uid="{C71EA9A2-D944-4262-BFD7-20413EEAC797}"/>
    <cellStyle name="40% - Accent2 5 2 3 3" xfId="8074" xr:uid="{04B9F58C-5A86-4391-A8BB-0A7603693906}"/>
    <cellStyle name="40% - Accent2 5 2 4" xfId="5002" xr:uid="{400EDFBE-4229-4D65-B4B1-CDDC5546F4FF}"/>
    <cellStyle name="40% - Accent2 5 2 4 2" xfId="10448" xr:uid="{38595C85-6562-4D45-8696-21C24F340E0B}"/>
    <cellStyle name="40% - Accent2 5 2 5" xfId="8071" xr:uid="{E3381FBB-479F-4A97-AE7F-B329403C5717}"/>
    <cellStyle name="40% - Accent2 5 3" xfId="1234" xr:uid="{3155CF16-31DA-4B98-8AF2-3D8C73782C6A}"/>
    <cellStyle name="40% - Accent2 5 3 2" xfId="1235" xr:uid="{71E35656-EE28-42A8-A479-6EA717F30EEF}"/>
    <cellStyle name="40% - Accent2 5 3 2 2" xfId="5007" xr:uid="{8C84F4F1-190B-4782-BEF2-5E61CF54E5AE}"/>
    <cellStyle name="40% - Accent2 5 3 2 2 2" xfId="10453" xr:uid="{72A4F403-25E0-49FE-B99A-BA1AEC10D82B}"/>
    <cellStyle name="40% - Accent2 5 3 2 3" xfId="8076" xr:uid="{BB3AF260-48D6-4034-9DB9-24C32E4400CF}"/>
    <cellStyle name="40% - Accent2 5 3 3" xfId="5006" xr:uid="{4231E7B8-7E95-41CB-B895-D8A7B15049B5}"/>
    <cellStyle name="40% - Accent2 5 3 3 2" xfId="10452" xr:uid="{42492155-10CA-4DA8-922F-4174497CEED4}"/>
    <cellStyle name="40% - Accent2 5 3 4" xfId="8075" xr:uid="{92DDC92C-9CE7-482B-9E44-E61778584319}"/>
    <cellStyle name="40% - Accent2 5 4" xfId="1236" xr:uid="{5AF44930-1497-4280-97C9-2A1F0D297F14}"/>
    <cellStyle name="40% - Accent2 5 4 2" xfId="5008" xr:uid="{EDFC87AE-123A-4923-9946-AF6BF60AC810}"/>
    <cellStyle name="40% - Accent2 5 4 2 2" xfId="10454" xr:uid="{FAA9925B-BF6B-4694-B2B1-57BFF4DE2F47}"/>
    <cellStyle name="40% - Accent2 5 4 3" xfId="8077" xr:uid="{30D0FC10-3D63-49C0-8C2C-A8B77A0EA5CE}"/>
    <cellStyle name="40% - Accent2 5 5" xfId="5001" xr:uid="{12E16780-D7A6-4E43-AA4E-966C6735ED0E}"/>
    <cellStyle name="40% - Accent2 5 5 2" xfId="10447" xr:uid="{A4A265DE-6803-49D7-AA48-A9CB22F22861}"/>
    <cellStyle name="40% - Accent2 5 6" xfId="8070" xr:uid="{392DC00B-B2F3-492A-92E6-29FAA7332081}"/>
    <cellStyle name="40% - Accent2 6" xfId="1237" xr:uid="{57E76FE9-8871-4DBE-B841-1DD66B0CC3FB}"/>
    <cellStyle name="40% - Accent2 6 2" xfId="1238" xr:uid="{4E843B93-EB91-43BC-8D84-A62DE5ED5F61}"/>
    <cellStyle name="40% - Accent2 6 2 2" xfId="1239" xr:uid="{2C013E2A-4120-4174-936D-D113319877C0}"/>
    <cellStyle name="40% - Accent2 6 2 2 2" xfId="1240" xr:uid="{E88F11F1-3124-4329-8DEA-C4A2668AFBE9}"/>
    <cellStyle name="40% - Accent2 6 2 2 2 2" xfId="5012" xr:uid="{54019918-D34A-44A7-A428-EDD0A951DA0E}"/>
    <cellStyle name="40% - Accent2 6 2 2 2 2 2" xfId="10458" xr:uid="{21AB5D6F-F8D6-4594-A6C9-C9844F2E52BD}"/>
    <cellStyle name="40% - Accent2 6 2 2 2 3" xfId="8081" xr:uid="{5965AA9F-4B93-4B64-8904-94B117CD3C6A}"/>
    <cellStyle name="40% - Accent2 6 2 2 3" xfId="5011" xr:uid="{00818EE5-0C4A-4777-8180-E4FC68C3C3A9}"/>
    <cellStyle name="40% - Accent2 6 2 2 3 2" xfId="10457" xr:uid="{BDFD8B5D-6851-464B-94A8-FABC02AE5CA9}"/>
    <cellStyle name="40% - Accent2 6 2 2 4" xfId="8080" xr:uid="{2F74D33B-3222-45F1-94B7-964896692FFF}"/>
    <cellStyle name="40% - Accent2 6 2 3" xfId="1241" xr:uid="{F9A4BC9D-BD03-4D18-BE2E-3DE6070006BE}"/>
    <cellStyle name="40% - Accent2 6 2 3 2" xfId="5013" xr:uid="{E1DC72D3-5436-4497-8EB5-4E5A01AE45ED}"/>
    <cellStyle name="40% - Accent2 6 2 3 2 2" xfId="10459" xr:uid="{26096435-9B87-441A-A880-6E6602DD3D8D}"/>
    <cellStyle name="40% - Accent2 6 2 3 3" xfId="8082" xr:uid="{D3089725-51B8-47B4-8E3B-12A45E90AED9}"/>
    <cellStyle name="40% - Accent2 6 2 4" xfId="5010" xr:uid="{43479442-2645-4180-B703-2E98F148DF45}"/>
    <cellStyle name="40% - Accent2 6 2 4 2" xfId="10456" xr:uid="{0941C1DD-F660-43EF-ADA7-1F962E50EAB7}"/>
    <cellStyle name="40% - Accent2 6 2 5" xfId="8079" xr:uid="{580FDE77-8959-4266-855E-F9348409570D}"/>
    <cellStyle name="40% - Accent2 6 3" xfId="1242" xr:uid="{3F8BF1FD-C8DD-4AFF-B35F-3A8206079F59}"/>
    <cellStyle name="40% - Accent2 6 3 2" xfId="1243" xr:uid="{85A15025-A3B3-4C7C-AFED-065DD94F6EB9}"/>
    <cellStyle name="40% - Accent2 6 3 2 2" xfId="5015" xr:uid="{87817CE8-6F93-4958-B3E1-AD0AFE55F422}"/>
    <cellStyle name="40% - Accent2 6 3 2 2 2" xfId="10461" xr:uid="{9FB76D49-7AA0-499A-BAF7-C3C0DE485C49}"/>
    <cellStyle name="40% - Accent2 6 3 2 3" xfId="8084" xr:uid="{E3AD0E16-7631-491B-8065-9655B357E9C4}"/>
    <cellStyle name="40% - Accent2 6 3 3" xfId="5014" xr:uid="{6538205B-7291-4504-8D64-D8D70BAB6C7B}"/>
    <cellStyle name="40% - Accent2 6 3 3 2" xfId="10460" xr:uid="{8E9B2094-17B1-428E-B343-8A28FB360E17}"/>
    <cellStyle name="40% - Accent2 6 3 4" xfId="8083" xr:uid="{C04641FD-47D9-40E8-B467-618D484543CF}"/>
    <cellStyle name="40% - Accent2 6 4" xfId="1244" xr:uid="{F6B1AA63-C145-4AA5-8AF9-564E205395A2}"/>
    <cellStyle name="40% - Accent2 6 4 2" xfId="5016" xr:uid="{B7D28C71-2380-4F8B-B4BB-115D300EA71D}"/>
    <cellStyle name="40% - Accent2 6 4 2 2" xfId="10462" xr:uid="{C658FFA0-B35E-47C2-84EA-5A51C332CE40}"/>
    <cellStyle name="40% - Accent2 6 4 3" xfId="8085" xr:uid="{4DD7599C-B605-4FD2-B8FC-6023C229F7A4}"/>
    <cellStyle name="40% - Accent2 6 5" xfId="5009" xr:uid="{9ABF6B45-3F4C-4361-9FFD-E5715031E076}"/>
    <cellStyle name="40% - Accent2 6 5 2" xfId="10455" xr:uid="{1BB09D01-BC41-4EFF-BCE1-0AE749F08BDC}"/>
    <cellStyle name="40% - Accent2 6 6" xfId="8078" xr:uid="{074480C7-898C-409F-AC1C-9FA2A8C5B1D8}"/>
    <cellStyle name="40% - Accent2 7" xfId="1245" xr:uid="{5D1C5210-7147-43B2-A5E4-D625E739F12B}"/>
    <cellStyle name="40% - Accent2 7 2" xfId="1246" xr:uid="{A5069800-89C8-44D8-8F5A-877E25528097}"/>
    <cellStyle name="40% - Accent2 7 2 2" xfId="1247" xr:uid="{E0D7E652-60AA-4AAA-93C2-21FB46371EC2}"/>
    <cellStyle name="40% - Accent2 7 2 2 2" xfId="5019" xr:uid="{ECE33089-AFD1-4514-A896-8DDA6E646B20}"/>
    <cellStyle name="40% - Accent2 7 2 2 2 2" xfId="10465" xr:uid="{9557077D-F1BA-42E5-B65D-970F65798CBC}"/>
    <cellStyle name="40% - Accent2 7 2 2 3" xfId="8088" xr:uid="{0CCCDD45-2411-43BF-8C78-9577A500853B}"/>
    <cellStyle name="40% - Accent2 7 2 3" xfId="5018" xr:uid="{FD63035B-69BD-4DA7-B714-102F3C91B9C3}"/>
    <cellStyle name="40% - Accent2 7 2 3 2" xfId="10464" xr:uid="{21B3BF60-A7FB-441B-8826-FB015AD6CA7B}"/>
    <cellStyle name="40% - Accent2 7 2 4" xfId="8087" xr:uid="{CFC1CD0B-4680-4ED4-92D6-ECF5DF03EA44}"/>
    <cellStyle name="40% - Accent2 7 3" xfId="1248" xr:uid="{529280B3-E66B-493B-92BC-584E87F0B70F}"/>
    <cellStyle name="40% - Accent2 7 3 2" xfId="5020" xr:uid="{3EF57E7A-BDDE-401D-9FD7-158E3A3065A9}"/>
    <cellStyle name="40% - Accent2 7 3 2 2" xfId="10466" xr:uid="{758FD341-2FE7-4435-B003-3577EBE4A0DB}"/>
    <cellStyle name="40% - Accent2 7 3 3" xfId="8089" xr:uid="{C8344E8C-CA9A-4341-BEDF-EF8622F6F5EA}"/>
    <cellStyle name="40% - Accent2 7 4" xfId="5017" xr:uid="{1CE331B9-2A2A-4A0B-98A4-43B2E12B6BDD}"/>
    <cellStyle name="40% - Accent2 7 4 2" xfId="10463" xr:uid="{442405F5-E8BD-4A42-A834-D8BF288EFB75}"/>
    <cellStyle name="40% - Accent2 7 5" xfId="8086" xr:uid="{5067FB23-663F-476B-8CDE-B2B2F45E3C45}"/>
    <cellStyle name="40% - Accent2 8" xfId="1249" xr:uid="{FCF89A1D-96FB-4F10-B1F7-FC194722477C}"/>
    <cellStyle name="40% - Accent2 8 2" xfId="1250" xr:uid="{E6CFD2C6-028B-4AB3-8171-A76D35E8905E}"/>
    <cellStyle name="40% - Accent2 8 2 2" xfId="1251" xr:uid="{0C27C7F4-068A-4418-A383-E898FA20813C}"/>
    <cellStyle name="40% - Accent2 8 2 2 2" xfId="5023" xr:uid="{84ECF2C4-7685-4386-85C6-547E96CF6D07}"/>
    <cellStyle name="40% - Accent2 8 2 2 2 2" xfId="10469" xr:uid="{42F289B0-B7E5-44F6-B76D-562DF71A307E}"/>
    <cellStyle name="40% - Accent2 8 2 2 3" xfId="8092" xr:uid="{9849FEC5-CF3C-447E-BAAC-3342CAEEEC1E}"/>
    <cellStyle name="40% - Accent2 8 2 3" xfId="5022" xr:uid="{754B33F8-3A88-493F-BACE-F70485283985}"/>
    <cellStyle name="40% - Accent2 8 2 3 2" xfId="10468" xr:uid="{EB9BDD3B-B265-463E-B16C-90EF316CAD6D}"/>
    <cellStyle name="40% - Accent2 8 2 4" xfId="8091" xr:uid="{F9677D2C-5B8B-4328-A043-8C2F2B85AFB6}"/>
    <cellStyle name="40% - Accent2 8 3" xfId="1252" xr:uid="{BC83A7D2-3C42-443D-9237-63AC75B895FA}"/>
    <cellStyle name="40% - Accent2 8 3 2" xfId="5024" xr:uid="{E6104EAD-864F-4E49-B9D0-0A3DD639D1CF}"/>
    <cellStyle name="40% - Accent2 8 3 2 2" xfId="10470" xr:uid="{649100E8-4D55-4BCF-BF52-E2607B8EC38C}"/>
    <cellStyle name="40% - Accent2 8 3 3" xfId="8093" xr:uid="{8956B786-E28E-46FD-8F1A-795C99040D22}"/>
    <cellStyle name="40% - Accent2 8 4" xfId="5021" xr:uid="{53C49133-CCE3-4520-9FC3-C25A4AB6FE37}"/>
    <cellStyle name="40% - Accent2 8 4 2" xfId="10467" xr:uid="{79F551D3-1D88-4D3E-997C-8D8E91DDD4CE}"/>
    <cellStyle name="40% - Accent2 8 5" xfId="8090" xr:uid="{12980F92-432C-4C5F-B867-2046202A9861}"/>
    <cellStyle name="40% - Accent2 9" xfId="1253" xr:uid="{149DE061-6B00-4973-9C0A-F81925429E76}"/>
    <cellStyle name="40% - Accent2 9 2" xfId="1254" xr:uid="{81ADE5F7-DA9C-4A6A-934A-C93B4263C659}"/>
    <cellStyle name="40% - Accent2 9 2 2" xfId="5026" xr:uid="{20471D8A-8A78-4DCD-925F-6B360B716444}"/>
    <cellStyle name="40% - Accent2 9 2 2 2" xfId="10472" xr:uid="{7AEA58A9-3EC1-4546-8655-29A2F24A2D30}"/>
    <cellStyle name="40% - Accent2 9 2 3" xfId="8095" xr:uid="{8FE791EA-DDD6-40F7-BAD6-88170F34DD8E}"/>
    <cellStyle name="40% - Accent2 9 3" xfId="5025" xr:uid="{99955E59-03FA-4BD2-9A79-FC45BFE76625}"/>
    <cellStyle name="40% - Accent2 9 3 2" xfId="10471" xr:uid="{5D120509-68E3-4034-83ED-EA01DC264A7C}"/>
    <cellStyle name="40% - Accent2 9 4" xfId="8094" xr:uid="{5220EE0A-6B5D-49EB-84DD-94C2E9F7E549}"/>
    <cellStyle name="40% - Accent3" xfId="9" builtinId="39" hidden="1" customBuiltin="1"/>
    <cellStyle name="40% - Accent3" xfId="363" builtinId="39" customBuiltin="1"/>
    <cellStyle name="40% - Accent3 10" xfId="1255" xr:uid="{BB2755BB-B260-4251-8562-26187CEC7193}"/>
    <cellStyle name="40% - Accent3 10 2" xfId="1256" xr:uid="{D7ADE77A-B6E4-44AE-9221-FAA839C1F012}"/>
    <cellStyle name="40% - Accent3 10 2 2" xfId="5028" xr:uid="{0DA8AE12-F22D-47F5-B680-44B52E99F821}"/>
    <cellStyle name="40% - Accent3 10 2 2 2" xfId="10474" xr:uid="{9214307E-2D4E-4FF2-ADC9-3FE9E0F907B9}"/>
    <cellStyle name="40% - Accent3 10 2 3" xfId="8097" xr:uid="{32F7B675-6BE1-4FB7-B9FF-B65AB7C37D9B}"/>
    <cellStyle name="40% - Accent3 10 3" xfId="5027" xr:uid="{58B337CA-BF88-4E74-B6E7-1971F1AB9917}"/>
    <cellStyle name="40% - Accent3 10 3 2" xfId="10473" xr:uid="{093C87A2-C6EC-403C-B850-98B2AF8C4564}"/>
    <cellStyle name="40% - Accent3 10 4" xfId="8096" xr:uid="{B251934C-461E-47BA-A459-D36753BFCFE8}"/>
    <cellStyle name="40% - Accent3 11" xfId="1257" xr:uid="{EBA1FDD9-9420-4901-A03B-378E0CD54424}"/>
    <cellStyle name="40% - Accent3 11 2" xfId="5029" xr:uid="{199A3E78-74AD-4D5A-90E6-5B353B82EC51}"/>
    <cellStyle name="40% - Accent3 11 2 2" xfId="10475" xr:uid="{D70AE132-A2CF-4BBD-9327-9814F0B907F7}"/>
    <cellStyle name="40% - Accent3 11 3" xfId="8098" xr:uid="{7D030746-BDD8-45C3-920D-9BBDC9A45F38}"/>
    <cellStyle name="40% - Accent3 12" xfId="1258" xr:uid="{6A3F7DDC-F865-4FD9-8E6D-33EE95C6ABC8}"/>
    <cellStyle name="40% - Accent3 12 2" xfId="5030" xr:uid="{77301B32-93DE-4FC6-B1B6-ADA7145A8A4B}"/>
    <cellStyle name="40% - Accent3 12 2 2" xfId="10476" xr:uid="{1BA60CF2-1A79-43F1-AF7D-F519889A0E2C}"/>
    <cellStyle name="40% - Accent3 12 3" xfId="8099" xr:uid="{27771248-977F-401D-B97F-36A4A6ECE409}"/>
    <cellStyle name="40% - Accent3 13" xfId="4190" xr:uid="{03F9FCAE-39E9-46BF-A3D1-10CA214767D0}"/>
    <cellStyle name="40% - Accent3 13 2" xfId="9636" xr:uid="{80AF183A-34E8-4383-85EE-66CD950B6DEB}"/>
    <cellStyle name="40% - Accent3 14" xfId="7258" xr:uid="{B52550D2-5F68-483C-95E2-7F97F9B6EDD9}"/>
    <cellStyle name="40% - Accent3 2" xfId="1259" xr:uid="{565EAB68-62A7-4170-B8B4-F9C55E99A193}"/>
    <cellStyle name="40% - Accent3 2 2" xfId="1260" xr:uid="{D4E461F4-31CE-4C66-B21A-B41B82E9E8E5}"/>
    <cellStyle name="40% - Accent3 2 2 2" xfId="1261" xr:uid="{98A8FF72-7549-43C2-A362-248044AA7736}"/>
    <cellStyle name="40% - Accent3 2 2 2 2" xfId="1262" xr:uid="{95080D41-5C2E-48FE-8ACF-D2A778B3F409}"/>
    <cellStyle name="40% - Accent3 2 2 2 2 2" xfId="1263" xr:uid="{5A6034A9-8A33-4DC9-B8C6-4BAE11A97BC6}"/>
    <cellStyle name="40% - Accent3 2 2 2 2 2 2" xfId="5035" xr:uid="{FCC96952-2BF5-422B-B172-34903492B524}"/>
    <cellStyle name="40% - Accent3 2 2 2 2 2 2 2" xfId="10481" xr:uid="{1370F7A3-D2D2-4770-8923-9BB7469F0D8C}"/>
    <cellStyle name="40% - Accent3 2 2 2 2 2 3" xfId="8104" xr:uid="{3AD58AF0-CDCF-44B1-8AB3-95C89B492F50}"/>
    <cellStyle name="40% - Accent3 2 2 2 2 3" xfId="5034" xr:uid="{FF516B40-1C4A-4626-926E-F5B7AD352632}"/>
    <cellStyle name="40% - Accent3 2 2 2 2 3 2" xfId="10480" xr:uid="{C9937A11-41C5-45DC-9792-6E1C514540DB}"/>
    <cellStyle name="40% - Accent3 2 2 2 2 4" xfId="8103" xr:uid="{354B3DD3-092F-416C-A1B2-17C853C1AE84}"/>
    <cellStyle name="40% - Accent3 2 2 2 3" xfId="1264" xr:uid="{3317A3B7-9937-4E73-9549-302CD38EAF72}"/>
    <cellStyle name="40% - Accent3 2 2 2 3 2" xfId="5036" xr:uid="{6B600690-F8DB-447E-B6F4-FD5558B6A864}"/>
    <cellStyle name="40% - Accent3 2 2 2 3 2 2" xfId="10482" xr:uid="{183A818C-5BAE-4649-9893-CBAEAE424D93}"/>
    <cellStyle name="40% - Accent3 2 2 2 3 3" xfId="8105" xr:uid="{1050A547-0355-47ED-9A5A-588A4AAF9584}"/>
    <cellStyle name="40% - Accent3 2 2 2 4" xfId="5033" xr:uid="{597D7A03-A95B-4BF3-8666-FA6CF7720CF3}"/>
    <cellStyle name="40% - Accent3 2 2 2 4 2" xfId="10479" xr:uid="{D1B4433F-4FA7-4CD0-8DC9-7D36FD7CAB6A}"/>
    <cellStyle name="40% - Accent3 2 2 2 5" xfId="8102" xr:uid="{975F8EE4-B627-4ED0-92AD-E156752C60C3}"/>
    <cellStyle name="40% - Accent3 2 2 3" xfId="1265" xr:uid="{82B69960-04AF-4019-9695-B19543A00F06}"/>
    <cellStyle name="40% - Accent3 2 2 3 2" xfId="1266" xr:uid="{1687E778-6490-401E-B2CB-606900844AA2}"/>
    <cellStyle name="40% - Accent3 2 2 3 2 2" xfId="5038" xr:uid="{7524850A-8FF8-48A6-964A-A3372350855B}"/>
    <cellStyle name="40% - Accent3 2 2 3 2 2 2" xfId="10484" xr:uid="{C4153414-82A3-4179-8A30-B0CA446D78E8}"/>
    <cellStyle name="40% - Accent3 2 2 3 2 3" xfId="8107" xr:uid="{87895122-1489-406B-8AD8-3BB08A023CAF}"/>
    <cellStyle name="40% - Accent3 2 2 3 3" xfId="5037" xr:uid="{3508AE60-704B-4D31-A31D-D6DE8840D332}"/>
    <cellStyle name="40% - Accent3 2 2 3 3 2" xfId="10483" xr:uid="{7CA0B474-8C1A-4CB8-B6F8-C1F99BEE7CBC}"/>
    <cellStyle name="40% - Accent3 2 2 3 4" xfId="8106" xr:uid="{AB71EBAD-6184-45B9-9B06-2767EB809A8F}"/>
    <cellStyle name="40% - Accent3 2 2 4" xfId="1267" xr:uid="{D3C716A1-1BAB-458A-95E8-CB1D0FCE14D7}"/>
    <cellStyle name="40% - Accent3 2 2 4 2" xfId="5039" xr:uid="{05DF449B-211D-458C-8B2F-39C305403363}"/>
    <cellStyle name="40% - Accent3 2 2 4 2 2" xfId="10485" xr:uid="{A46EAEF0-F396-4326-86E5-68E37427A935}"/>
    <cellStyle name="40% - Accent3 2 2 4 3" xfId="8108" xr:uid="{1762BBFF-3A58-4351-AADD-066E5A259CD3}"/>
    <cellStyle name="40% - Accent3 2 2 5" xfId="5032" xr:uid="{601D2527-F537-4D41-9E50-52F0FC0A46ED}"/>
    <cellStyle name="40% - Accent3 2 2 5 2" xfId="10478" xr:uid="{83AE055D-682F-4741-84FE-F1F3A3228FA6}"/>
    <cellStyle name="40% - Accent3 2 2 6" xfId="8101" xr:uid="{2EA34152-2790-4B13-9DC4-D6C246F66D8F}"/>
    <cellStyle name="40% - Accent3 2 3" xfId="1268" xr:uid="{EA6E0931-86DE-4AD3-9FDB-C36717C6457E}"/>
    <cellStyle name="40% - Accent3 2 3 2" xfId="1269" xr:uid="{1706E99B-79B6-447F-9BF0-D59F119E6910}"/>
    <cellStyle name="40% - Accent3 2 3 2 2" xfId="1270" xr:uid="{49735449-F5D0-4FFA-A47A-D9E48761C852}"/>
    <cellStyle name="40% - Accent3 2 3 2 2 2" xfId="1271" xr:uid="{0499F208-CC2E-46CC-975A-13F53EADB7F7}"/>
    <cellStyle name="40% - Accent3 2 3 2 2 2 2" xfId="5043" xr:uid="{9E937F49-079A-40A4-A44A-F8C5853E9A61}"/>
    <cellStyle name="40% - Accent3 2 3 2 2 2 2 2" xfId="10489" xr:uid="{7F663161-9A60-4512-AD1E-603879D849F4}"/>
    <cellStyle name="40% - Accent3 2 3 2 2 2 3" xfId="8112" xr:uid="{781957F6-6410-466D-806F-60F4FFEB2F3F}"/>
    <cellStyle name="40% - Accent3 2 3 2 2 3" xfId="5042" xr:uid="{5F26CCB7-A3FF-4F8C-AD3D-FB0C254151B7}"/>
    <cellStyle name="40% - Accent3 2 3 2 2 3 2" xfId="10488" xr:uid="{352C6A31-A77F-4AAA-8838-2F993968999E}"/>
    <cellStyle name="40% - Accent3 2 3 2 2 4" xfId="8111" xr:uid="{55A09351-6599-455A-98AD-1EBD2293079D}"/>
    <cellStyle name="40% - Accent3 2 3 2 3" xfId="1272" xr:uid="{91408B41-3719-44FE-96CA-4CE3B1899BA7}"/>
    <cellStyle name="40% - Accent3 2 3 2 3 2" xfId="5044" xr:uid="{11C79880-E2BC-4083-AABC-BC4D0E460150}"/>
    <cellStyle name="40% - Accent3 2 3 2 3 2 2" xfId="10490" xr:uid="{A1AAFE84-BD73-40ED-A908-EE049CA732EC}"/>
    <cellStyle name="40% - Accent3 2 3 2 3 3" xfId="8113" xr:uid="{6E53E8F8-ABB3-4401-AC02-02D89273CF9D}"/>
    <cellStyle name="40% - Accent3 2 3 2 4" xfId="5041" xr:uid="{207A9F55-986F-4ABA-9A83-646FC62FA5EC}"/>
    <cellStyle name="40% - Accent3 2 3 2 4 2" xfId="10487" xr:uid="{4AD95182-0D47-48B5-A690-A7CF3B3452D1}"/>
    <cellStyle name="40% - Accent3 2 3 2 5" xfId="8110" xr:uid="{679B8AF5-F722-459C-9C49-64FAFFA3E622}"/>
    <cellStyle name="40% - Accent3 2 3 3" xfId="1273" xr:uid="{9E90E6D0-3DC9-4EBA-89C8-F34F18CD0ADC}"/>
    <cellStyle name="40% - Accent3 2 3 3 2" xfId="1274" xr:uid="{F88B2AE0-0CA0-4555-8B50-A3A8EDB690F9}"/>
    <cellStyle name="40% - Accent3 2 3 3 2 2" xfId="5046" xr:uid="{3BD53273-E338-4E19-9C40-8DD599D0EC22}"/>
    <cellStyle name="40% - Accent3 2 3 3 2 2 2" xfId="10492" xr:uid="{9AFD6FFF-1A79-4E03-8705-9377581FC060}"/>
    <cellStyle name="40% - Accent3 2 3 3 2 3" xfId="8115" xr:uid="{E6A2B0A1-B1CA-46EA-81F0-D7D741C7BB7A}"/>
    <cellStyle name="40% - Accent3 2 3 3 3" xfId="5045" xr:uid="{9B2BAFF3-88F2-4EB9-90C6-B83B513774FA}"/>
    <cellStyle name="40% - Accent3 2 3 3 3 2" xfId="10491" xr:uid="{F5F30430-B52D-4E48-A997-138EF2F523FA}"/>
    <cellStyle name="40% - Accent3 2 3 3 4" xfId="8114" xr:uid="{48E7E746-B0FA-43E9-AD96-EFA5B8B29182}"/>
    <cellStyle name="40% - Accent3 2 3 4" xfId="1275" xr:uid="{95DB2A99-1B82-413A-ABEC-F36B2729DCF1}"/>
    <cellStyle name="40% - Accent3 2 3 4 2" xfId="5047" xr:uid="{EF7ACC95-0A61-4794-8513-2CB7EC30C1C9}"/>
    <cellStyle name="40% - Accent3 2 3 4 2 2" xfId="10493" xr:uid="{80D28BC8-367F-4D00-A973-45E3B95DAAC3}"/>
    <cellStyle name="40% - Accent3 2 3 4 3" xfId="8116" xr:uid="{8FBE2C4C-8C9D-4D00-8987-9125D6F2555A}"/>
    <cellStyle name="40% - Accent3 2 3 5" xfId="3393" xr:uid="{60100CA3-9C76-4AB0-B2F6-7908DA82A6C1}"/>
    <cellStyle name="40% - Accent3 2 3 5 2" xfId="5882" xr:uid="{53959D94-7F49-4F51-9A7A-C8C3E1570E11}"/>
    <cellStyle name="40% - Accent3 2 3 5 2 2" xfId="11324" xr:uid="{18DFCE0D-686A-4A5E-9738-93393AE4A076}"/>
    <cellStyle name="40% - Accent3 2 3 5 3" xfId="8940" xr:uid="{2656A4CE-DFA6-4867-9142-8426AB524A42}"/>
    <cellStyle name="40% - Accent3 2 3 6" xfId="2088" xr:uid="{07F6436B-E89C-4DD5-907E-5D067E3E6B55}"/>
    <cellStyle name="40% - Accent3 2 3 7" xfId="5040" xr:uid="{F5E61C63-9876-403B-9ACA-526FFF268301}"/>
    <cellStyle name="40% - Accent3 2 3 7 2" xfId="10486" xr:uid="{EB58E626-C45D-4065-9FD3-F83B4CC004F0}"/>
    <cellStyle name="40% - Accent3 2 3 8" xfId="8109" xr:uid="{00688A49-F06E-49AF-A1CB-9CAA082B0984}"/>
    <cellStyle name="40% - Accent3 2 4" xfId="1276" xr:uid="{DABDC718-340C-4D3F-AE8C-5140A8713C07}"/>
    <cellStyle name="40% - Accent3 2 4 2" xfId="1277" xr:uid="{D4BFA455-8EB2-4D9B-8911-C5B297E8D130}"/>
    <cellStyle name="40% - Accent3 2 4 2 2" xfId="1278" xr:uid="{150434EE-5CEF-4BCA-B3BD-2A1F2650AF6C}"/>
    <cellStyle name="40% - Accent3 2 4 2 2 2" xfId="5050" xr:uid="{6AF448AF-63F1-4604-BAC2-A7147BCE5230}"/>
    <cellStyle name="40% - Accent3 2 4 2 2 2 2" xfId="10496" xr:uid="{38ED8F13-D849-4E75-8F5B-794CA5544060}"/>
    <cellStyle name="40% - Accent3 2 4 2 2 3" xfId="8119" xr:uid="{FC9EDB97-F9AB-47AD-A833-96C9EA55D6C9}"/>
    <cellStyle name="40% - Accent3 2 4 2 3" xfId="5049" xr:uid="{308DA7A6-A6CD-4AC2-B341-E5AA376C394F}"/>
    <cellStyle name="40% - Accent3 2 4 2 3 2" xfId="10495" xr:uid="{06C0EB51-2037-467C-BFD8-B070E6491DAC}"/>
    <cellStyle name="40% - Accent3 2 4 2 4" xfId="8118" xr:uid="{97CA1046-8D25-4844-8CB0-5E24B6B6988B}"/>
    <cellStyle name="40% - Accent3 2 4 3" xfId="1279" xr:uid="{1B85A968-7FA2-4AB8-B888-9D5F5660D1E0}"/>
    <cellStyle name="40% - Accent3 2 4 3 2" xfId="5051" xr:uid="{9398FC0B-868E-45CE-B8C0-24A9E0038C1D}"/>
    <cellStyle name="40% - Accent3 2 4 3 2 2" xfId="10497" xr:uid="{FD2B8DE3-558C-4332-AD7B-3BD561002C0E}"/>
    <cellStyle name="40% - Accent3 2 4 3 3" xfId="8120" xr:uid="{223949C7-8EF0-4F14-814C-9A46F8154360}"/>
    <cellStyle name="40% - Accent3 2 4 4" xfId="3394" xr:uid="{6EAB7956-29D7-4677-AD23-6EDD9875463A}"/>
    <cellStyle name="40% - Accent3 2 4 4 2" xfId="5883" xr:uid="{5AF2A3C8-9909-4A6C-9CE8-0C5036A67EAD}"/>
    <cellStyle name="40% - Accent3 2 4 4 2 2" xfId="11325" xr:uid="{740A59E7-8442-4709-AE30-8A7B8E9016F2}"/>
    <cellStyle name="40% - Accent3 2 4 4 3" xfId="8941" xr:uid="{8B485916-05E1-4B4E-8CC0-3E63563A9ECB}"/>
    <cellStyle name="40% - Accent3 2 4 5" xfId="2087" xr:uid="{8D6448CD-BFCA-47F6-94B8-9A7F1D549FEB}"/>
    <cellStyle name="40% - Accent3 2 4 6" xfId="5048" xr:uid="{B75E6C31-8F0F-4343-AB4D-07A5E2BD3C80}"/>
    <cellStyle name="40% - Accent3 2 4 6 2" xfId="10494" xr:uid="{5A093CE6-4732-4163-9A3C-61D4673C68BF}"/>
    <cellStyle name="40% - Accent3 2 4 7" xfId="8117" xr:uid="{E482EEB6-A1B0-4285-BDB1-CCA7A48C2B3E}"/>
    <cellStyle name="40% - Accent3 2 5" xfId="1280" xr:uid="{BAD68398-F9E0-4386-8AAF-62BF7FA192A9}"/>
    <cellStyle name="40% - Accent3 2 5 2" xfId="1281" xr:uid="{3DBF0744-0EA4-4A32-A2D6-FBE3B2379F48}"/>
    <cellStyle name="40% - Accent3 2 5 2 2" xfId="5053" xr:uid="{72755D0C-40D3-48B0-BA4C-7276497B5A3C}"/>
    <cellStyle name="40% - Accent3 2 5 2 2 2" xfId="10499" xr:uid="{D3C87AA9-5F4A-44C4-AE87-1454CBBA6080}"/>
    <cellStyle name="40% - Accent3 2 5 2 3" xfId="8122" xr:uid="{C87B7E1D-D48D-4043-84AA-DC0A0453F563}"/>
    <cellStyle name="40% - Accent3 2 5 3" xfId="5052" xr:uid="{88E9B7C4-A30E-4CBE-97D6-D6C4978D34F0}"/>
    <cellStyle name="40% - Accent3 2 5 3 2" xfId="10498" xr:uid="{0EE0CFC4-53D1-4423-B12A-3F3247BA4B7C}"/>
    <cellStyle name="40% - Accent3 2 5 4" xfId="8121" xr:uid="{FFFF0ECF-6E32-4933-82C3-AFA74899A418}"/>
    <cellStyle name="40% - Accent3 2 6" xfId="1282" xr:uid="{851E531A-4CB1-48E3-9C06-BE1BC08573AF}"/>
    <cellStyle name="40% - Accent3 2 6 2" xfId="5054" xr:uid="{85A4F512-48DA-4D25-84E4-F57222E288CC}"/>
    <cellStyle name="40% - Accent3 2 6 2 2" xfId="10500" xr:uid="{E8923727-4FA8-45E8-95FB-90B8495621CB}"/>
    <cellStyle name="40% - Accent3 2 6 3" xfId="8123" xr:uid="{0E2F742F-4655-4464-9569-6BC0E70FB4C0}"/>
    <cellStyle name="40% - Accent3 2 7" xfId="394" xr:uid="{03207094-246B-4D70-ADE8-0530477009B7}"/>
    <cellStyle name="40% - Accent3 2 8" xfId="5031" xr:uid="{FE90E962-9816-45AC-BE80-049FEE1DC2EE}"/>
    <cellStyle name="40% - Accent3 2 8 2" xfId="10477" xr:uid="{7C554EC4-05CC-4258-B620-D7F0A1891832}"/>
    <cellStyle name="40% - Accent3 2 9" xfId="8100" xr:uid="{496C8A50-AB7A-48EC-B5AE-E2F32CF87709}"/>
    <cellStyle name="40% - Accent3 3" xfId="1283" xr:uid="{AE4B7586-0C6E-468A-99B1-65FD3928FA81}"/>
    <cellStyle name="40% - Accent3 3 2" xfId="1284" xr:uid="{69ABF2A8-1E22-4B9C-A89F-EB0109D92522}"/>
    <cellStyle name="40% - Accent3 3 2 2" xfId="1285" xr:uid="{C459566B-8CA5-4F0E-9F53-81AC6133B14F}"/>
    <cellStyle name="40% - Accent3 3 2 2 2" xfId="1286" xr:uid="{D4373AD8-2790-42F9-AA45-4C3CFF3DF7B8}"/>
    <cellStyle name="40% - Accent3 3 2 2 2 2" xfId="1287" xr:uid="{709D9AD1-F683-4F98-BBF9-808C36F98E98}"/>
    <cellStyle name="40% - Accent3 3 2 2 2 2 2" xfId="5059" xr:uid="{33B0F05D-45E7-45AD-9971-5EA2A0214B48}"/>
    <cellStyle name="40% - Accent3 3 2 2 2 2 2 2" xfId="10505" xr:uid="{69190C37-7242-441F-B692-F530DF5B6EEA}"/>
    <cellStyle name="40% - Accent3 3 2 2 2 2 3" xfId="8128" xr:uid="{9C47C621-3E5E-41AC-B03B-222155FB1434}"/>
    <cellStyle name="40% - Accent3 3 2 2 2 3" xfId="5058" xr:uid="{BEC751C4-81A1-43E6-88C3-1D6E9BED2405}"/>
    <cellStyle name="40% - Accent3 3 2 2 2 3 2" xfId="10504" xr:uid="{F5272C4B-8E5C-4FD9-BB51-18144AA5C3D8}"/>
    <cellStyle name="40% - Accent3 3 2 2 2 4" xfId="8127" xr:uid="{14B90E80-F905-4EBD-AF62-62F58A1A226E}"/>
    <cellStyle name="40% - Accent3 3 2 2 3" xfId="1288" xr:uid="{55D3C553-56EF-4682-BFAB-555BF4E032E1}"/>
    <cellStyle name="40% - Accent3 3 2 2 3 2" xfId="5060" xr:uid="{DC127620-2D7B-4929-BA98-136D2870AF36}"/>
    <cellStyle name="40% - Accent3 3 2 2 3 2 2" xfId="10506" xr:uid="{A927D10B-E7FA-4385-9F30-20899030FFD9}"/>
    <cellStyle name="40% - Accent3 3 2 2 3 3" xfId="8129" xr:uid="{E9A165CB-B1AF-48BC-9281-68A94F58F908}"/>
    <cellStyle name="40% - Accent3 3 2 2 4" xfId="5057" xr:uid="{02A9E1F6-E3FE-4B3E-A006-9C5F9EDBA9DD}"/>
    <cellStyle name="40% - Accent3 3 2 2 4 2" xfId="10503" xr:uid="{F90050BF-1D91-4D26-8347-A4FF66FFB139}"/>
    <cellStyle name="40% - Accent3 3 2 2 5" xfId="8126" xr:uid="{1C8277CC-6D41-452E-ADF1-3EC2BC6C2788}"/>
    <cellStyle name="40% - Accent3 3 2 3" xfId="1289" xr:uid="{45592CDE-B3F2-460B-9C29-1B5D85D720AC}"/>
    <cellStyle name="40% - Accent3 3 2 3 2" xfId="1290" xr:uid="{F41F319B-D946-4E61-9315-3D1C8F5A3DF9}"/>
    <cellStyle name="40% - Accent3 3 2 3 2 2" xfId="5062" xr:uid="{595A1E77-90B9-45D0-8702-95023330E631}"/>
    <cellStyle name="40% - Accent3 3 2 3 2 2 2" xfId="10508" xr:uid="{301432A9-CEB2-42C4-A374-96022DA18A69}"/>
    <cellStyle name="40% - Accent3 3 2 3 2 3" xfId="8131" xr:uid="{D7CABA45-BBD4-4FEF-A426-9A32AE570545}"/>
    <cellStyle name="40% - Accent3 3 2 3 3" xfId="5061" xr:uid="{A60E7681-9071-4223-AB22-2C070C66E219}"/>
    <cellStyle name="40% - Accent3 3 2 3 3 2" xfId="10507" xr:uid="{ED08870D-34CE-49B8-913B-8DFCA0014CC9}"/>
    <cellStyle name="40% - Accent3 3 2 3 4" xfId="8130" xr:uid="{50302915-52BC-4AC0-9964-C6BEA533D84F}"/>
    <cellStyle name="40% - Accent3 3 2 4" xfId="1291" xr:uid="{F4E750F4-3CB3-4A50-B86F-D9758A5D163B}"/>
    <cellStyle name="40% - Accent3 3 2 4 2" xfId="5063" xr:uid="{EE00F058-1DB4-4F44-B1EB-D6BDCE59C181}"/>
    <cellStyle name="40% - Accent3 3 2 4 2 2" xfId="10509" xr:uid="{95ABAC47-1F0B-482C-A8CE-754588577358}"/>
    <cellStyle name="40% - Accent3 3 2 4 3" xfId="8132" xr:uid="{E223A67D-3C2F-476B-AFAF-08589F845488}"/>
    <cellStyle name="40% - Accent3 3 2 5" xfId="3395" xr:uid="{88834FC7-7C4B-4B80-801E-1A061EA082A4}"/>
    <cellStyle name="40% - Accent3 3 2 5 2" xfId="5884" xr:uid="{D3F5A6CB-86F3-4520-B660-3A64085E1199}"/>
    <cellStyle name="40% - Accent3 3 2 5 2 2" xfId="11326" xr:uid="{26EFD1FF-224D-40B6-AC0D-2E3F710DA3B9}"/>
    <cellStyle name="40% - Accent3 3 2 5 3" xfId="8942" xr:uid="{E9C83C2B-A99D-4044-BFB1-FF81A8C61D75}"/>
    <cellStyle name="40% - Accent3 3 2 6" xfId="2089" xr:uid="{4A3D723E-9CDA-4CE9-B71D-9EC65BD95F9E}"/>
    <cellStyle name="40% - Accent3 3 2 7" xfId="5056" xr:uid="{43564F76-90CC-4301-9CB0-7139165643F7}"/>
    <cellStyle name="40% - Accent3 3 2 7 2" xfId="10502" xr:uid="{DF7B1E3E-2509-4CA4-8129-0BB8A60E56E1}"/>
    <cellStyle name="40% - Accent3 3 2 8" xfId="8125" xr:uid="{FD612B30-E559-42D3-97C5-638D5A5CBC67}"/>
    <cellStyle name="40% - Accent3 3 3" xfId="1292" xr:uid="{84B9C3EB-69C7-4F52-91EA-EF5AB8AF04D6}"/>
    <cellStyle name="40% - Accent3 3 3 2" xfId="1293" xr:uid="{D10AEF17-B28F-48C7-B5BF-D57AF97BB10F}"/>
    <cellStyle name="40% - Accent3 3 3 2 2" xfId="1294" xr:uid="{B3E878BD-F6E3-4CDF-A2E5-58F4B9B0173F}"/>
    <cellStyle name="40% - Accent3 3 3 2 2 2" xfId="1295" xr:uid="{47E4DBFC-D69E-4CF5-A00C-F445CDD56693}"/>
    <cellStyle name="40% - Accent3 3 3 2 2 2 2" xfId="5067" xr:uid="{FBB37CB7-02E2-4F95-9B38-6E10DE4171E2}"/>
    <cellStyle name="40% - Accent3 3 3 2 2 2 2 2" xfId="10513" xr:uid="{841CF229-FD85-4364-9BF5-C2C3776B5F33}"/>
    <cellStyle name="40% - Accent3 3 3 2 2 2 3" xfId="8136" xr:uid="{7E4CAEA0-45E0-4BD4-B7BD-AB72AC48E314}"/>
    <cellStyle name="40% - Accent3 3 3 2 2 3" xfId="5066" xr:uid="{57245D35-08F8-4EAF-AE55-298C2BB81593}"/>
    <cellStyle name="40% - Accent3 3 3 2 2 3 2" xfId="10512" xr:uid="{C27049EC-6CA0-4FC7-8844-D5CA720E9AE2}"/>
    <cellStyle name="40% - Accent3 3 3 2 2 4" xfId="8135" xr:uid="{D2B73429-F256-4ECF-9854-FA610BB2CE57}"/>
    <cellStyle name="40% - Accent3 3 3 2 3" xfId="1296" xr:uid="{FF5F2F11-B5E9-4CE0-9262-CD5253760FAA}"/>
    <cellStyle name="40% - Accent3 3 3 2 3 2" xfId="5068" xr:uid="{C111334C-8C02-4636-9505-343174F3C46C}"/>
    <cellStyle name="40% - Accent3 3 3 2 3 2 2" xfId="10514" xr:uid="{F1CD2884-C530-4D4C-9DD0-ED97928518E4}"/>
    <cellStyle name="40% - Accent3 3 3 2 3 3" xfId="8137" xr:uid="{F4FF1457-3B60-492A-94BF-D23A9C89CEC6}"/>
    <cellStyle name="40% - Accent3 3 3 2 4" xfId="5065" xr:uid="{413AC8B2-E665-4BEB-8298-32593E55E751}"/>
    <cellStyle name="40% - Accent3 3 3 2 4 2" xfId="10511" xr:uid="{E5EABCFF-6D31-47D2-B280-CC153FDF2F93}"/>
    <cellStyle name="40% - Accent3 3 3 2 5" xfId="8134" xr:uid="{BCDDB5D9-92A8-4BB2-A38D-F959FFAFD0E5}"/>
    <cellStyle name="40% - Accent3 3 3 3" xfId="1297" xr:uid="{A8D451FA-3EE4-4331-869D-4CC7883314D5}"/>
    <cellStyle name="40% - Accent3 3 3 3 2" xfId="1298" xr:uid="{5BD17F50-4CCD-4EF4-821D-01F72F811240}"/>
    <cellStyle name="40% - Accent3 3 3 3 2 2" xfId="5070" xr:uid="{CEFBBB64-C19F-411F-9A19-D22CA1DA4CCB}"/>
    <cellStyle name="40% - Accent3 3 3 3 2 2 2" xfId="10516" xr:uid="{985A8A7E-D0A6-4849-8647-2C53E3AD028E}"/>
    <cellStyle name="40% - Accent3 3 3 3 2 3" xfId="8139" xr:uid="{3FA39119-344B-4573-9E98-14BAAD072309}"/>
    <cellStyle name="40% - Accent3 3 3 3 3" xfId="5069" xr:uid="{EAEF0B12-8A48-48C8-B332-A35C74CFBDCC}"/>
    <cellStyle name="40% - Accent3 3 3 3 3 2" xfId="10515" xr:uid="{009A1876-1621-40BF-99E7-F7A845B41C6E}"/>
    <cellStyle name="40% - Accent3 3 3 3 4" xfId="8138" xr:uid="{262BB060-945E-4F1E-AB3E-383AEB1F87E5}"/>
    <cellStyle name="40% - Accent3 3 3 4" xfId="1299" xr:uid="{351586EC-E96F-4928-913B-C7BFD4B663E8}"/>
    <cellStyle name="40% - Accent3 3 3 4 2" xfId="5071" xr:uid="{EB5F5120-F920-4218-A8F2-6C0E82D59C43}"/>
    <cellStyle name="40% - Accent3 3 3 4 2 2" xfId="10517" xr:uid="{E0447DB0-B66D-48FD-A0DC-B2014C5C3AB0}"/>
    <cellStyle name="40% - Accent3 3 3 4 3" xfId="8140" xr:uid="{56B568CD-8B7E-4763-8074-7FF7643D4156}"/>
    <cellStyle name="40% - Accent3 3 3 5" xfId="5064" xr:uid="{937B4401-6FEA-42AB-99E8-14B4CFB98AB6}"/>
    <cellStyle name="40% - Accent3 3 3 5 2" xfId="10510" xr:uid="{C060334B-5BEB-47E7-933B-DC0AA5B85317}"/>
    <cellStyle name="40% - Accent3 3 3 6" xfId="8133" xr:uid="{3091541B-AAB2-41E0-B44B-B49175177D88}"/>
    <cellStyle name="40% - Accent3 3 4" xfId="1300" xr:uid="{CE54A683-DF77-45DE-8120-CE5EEF696902}"/>
    <cellStyle name="40% - Accent3 3 4 2" xfId="1301" xr:uid="{7F4AD835-D5BE-43DD-BC2C-5D6B0C452CBC}"/>
    <cellStyle name="40% - Accent3 3 4 2 2" xfId="1302" xr:uid="{50368E6F-709E-4ECC-A511-BA8EC1355BD1}"/>
    <cellStyle name="40% - Accent3 3 4 2 2 2" xfId="5074" xr:uid="{13327D94-552F-4EEA-A9B6-30578C30AD9D}"/>
    <cellStyle name="40% - Accent3 3 4 2 2 2 2" xfId="10520" xr:uid="{809B00B3-9117-4349-BB2A-BEDC84ABCA9B}"/>
    <cellStyle name="40% - Accent3 3 4 2 2 3" xfId="8143" xr:uid="{BE539C64-C209-4C44-BCD4-AA57A1C05158}"/>
    <cellStyle name="40% - Accent3 3 4 2 3" xfId="5073" xr:uid="{821F1105-34DD-470D-BCD7-6715D24758FD}"/>
    <cellStyle name="40% - Accent3 3 4 2 3 2" xfId="10519" xr:uid="{09ED1442-C1CE-4E11-B12C-BE0A08444844}"/>
    <cellStyle name="40% - Accent3 3 4 2 4" xfId="8142" xr:uid="{C53C7D8C-E896-4B93-96A3-09BFF64D239E}"/>
    <cellStyle name="40% - Accent3 3 4 3" xfId="1303" xr:uid="{C92A6066-4A21-4CA1-B812-DF3C9C27ADA2}"/>
    <cellStyle name="40% - Accent3 3 4 3 2" xfId="5075" xr:uid="{A0BD53EA-4BEA-427F-98DB-8D93F968F358}"/>
    <cellStyle name="40% - Accent3 3 4 3 2 2" xfId="10521" xr:uid="{55829B02-5131-4A82-BE96-77E20C1D07B5}"/>
    <cellStyle name="40% - Accent3 3 4 3 3" xfId="8144" xr:uid="{FF862768-63C5-4922-942C-FAA10D9E7CD0}"/>
    <cellStyle name="40% - Accent3 3 4 4" xfId="5072" xr:uid="{8BF4113A-5B78-41C9-B54A-4728664FAF66}"/>
    <cellStyle name="40% - Accent3 3 4 4 2" xfId="10518" xr:uid="{A786E05E-0F71-4A3C-8E3D-40CA2C15B430}"/>
    <cellStyle name="40% - Accent3 3 4 5" xfId="8141" xr:uid="{DB25F359-A4E6-42FD-AFA1-B28A228489FA}"/>
    <cellStyle name="40% - Accent3 3 5" xfId="1304" xr:uid="{FBE11199-D6F6-455B-9719-F5561C37B52F}"/>
    <cellStyle name="40% - Accent3 3 5 2" xfId="1305" xr:uid="{04793FCF-DE07-480B-BEC8-684BA80B4956}"/>
    <cellStyle name="40% - Accent3 3 5 2 2" xfId="5077" xr:uid="{6B52AD5D-4379-4A9B-9E56-E0F4F51D2CE2}"/>
    <cellStyle name="40% - Accent3 3 5 2 2 2" xfId="10523" xr:uid="{3D613F09-7225-4C67-B741-F67F4D55284C}"/>
    <cellStyle name="40% - Accent3 3 5 2 3" xfId="8146" xr:uid="{F170E8F0-5DF4-469A-B227-4D0984BF78AF}"/>
    <cellStyle name="40% - Accent3 3 5 3" xfId="5076" xr:uid="{1FE586C2-84DD-4F42-958D-941CA603085C}"/>
    <cellStyle name="40% - Accent3 3 5 3 2" xfId="10522" xr:uid="{C3DEDF14-8FAB-404A-BAE3-9ED32A6E5925}"/>
    <cellStyle name="40% - Accent3 3 5 4" xfId="8145" xr:uid="{780FE896-790D-4B8C-888C-C4F9206EE0C8}"/>
    <cellStyle name="40% - Accent3 3 6" xfId="1306" xr:uid="{83D80A8A-2853-4C04-BC02-1C961FA64945}"/>
    <cellStyle name="40% - Accent3 3 6 2" xfId="5078" xr:uid="{EE2C4FEA-1E46-454B-A8A0-C6EF6947F3DE}"/>
    <cellStyle name="40% - Accent3 3 6 2 2" xfId="10524" xr:uid="{3A91E2E1-A680-453D-8252-75E9D3182508}"/>
    <cellStyle name="40% - Accent3 3 6 3" xfId="8147" xr:uid="{186AD589-A47B-4BAB-8CBE-30A1A6136F07}"/>
    <cellStyle name="40% - Accent3 3 7" xfId="5055" xr:uid="{6E1A1AD0-401D-43AF-9A8F-424679CE45C7}"/>
    <cellStyle name="40% - Accent3 3 7 2" xfId="10501" xr:uid="{B00EF0AA-6339-43D4-AC0D-018A07AAD2A3}"/>
    <cellStyle name="40% - Accent3 3 8" xfId="8124" xr:uid="{A3C8B721-FA35-42FA-BDE3-2B3CC05A0612}"/>
    <cellStyle name="40% - Accent3 4" xfId="1307" xr:uid="{04ABCAE6-DB94-4BB6-956D-623FFF55CA40}"/>
    <cellStyle name="40% - Accent3 4 2" xfId="1308" xr:uid="{B9077D6C-4C57-44BE-A043-EDB48561E849}"/>
    <cellStyle name="40% - Accent3 4 2 2" xfId="1309" xr:uid="{3E69B066-0D0A-447E-A91A-60C94A34E039}"/>
    <cellStyle name="40% - Accent3 4 2 2 2" xfId="1310" xr:uid="{5AC22FC8-7B0F-4F90-90E3-D18FDE396249}"/>
    <cellStyle name="40% - Accent3 4 2 2 2 2" xfId="1311" xr:uid="{861BA378-D4C3-4AE9-850B-B451F3472E4E}"/>
    <cellStyle name="40% - Accent3 4 2 2 2 2 2" xfId="5083" xr:uid="{9C7976D6-B9DF-48EB-BDA3-C2C7ADEB6588}"/>
    <cellStyle name="40% - Accent3 4 2 2 2 2 2 2" xfId="10529" xr:uid="{097F53BC-EBDA-4EE0-BABC-0B17A67099D0}"/>
    <cellStyle name="40% - Accent3 4 2 2 2 2 3" xfId="8152" xr:uid="{5D0ABEA6-3ACE-431E-AB43-FDF284122404}"/>
    <cellStyle name="40% - Accent3 4 2 2 2 3" xfId="5082" xr:uid="{9B39E581-7CFF-4882-9983-CF89685C5C2B}"/>
    <cellStyle name="40% - Accent3 4 2 2 2 3 2" xfId="10528" xr:uid="{3FD501C7-0299-404A-842A-EB1EC829D2F6}"/>
    <cellStyle name="40% - Accent3 4 2 2 2 4" xfId="8151" xr:uid="{1901A705-7870-4E59-8C04-1EA21D8DC803}"/>
    <cellStyle name="40% - Accent3 4 2 2 3" xfId="1312" xr:uid="{FFFDBFD4-A564-4F42-B8B4-F331A4B6977C}"/>
    <cellStyle name="40% - Accent3 4 2 2 3 2" xfId="5084" xr:uid="{2DB2B779-5554-4A8C-A5C8-B8F8448E5CB5}"/>
    <cellStyle name="40% - Accent3 4 2 2 3 2 2" xfId="10530" xr:uid="{D1C4AA75-975B-4136-9E0E-1703E6C86E83}"/>
    <cellStyle name="40% - Accent3 4 2 2 3 3" xfId="8153" xr:uid="{124CBDBD-EFC6-426C-A559-2BD95CC6847C}"/>
    <cellStyle name="40% - Accent3 4 2 2 4" xfId="5081" xr:uid="{FFD0A562-17D2-4B68-A1DA-CAA3F04ED6AD}"/>
    <cellStyle name="40% - Accent3 4 2 2 4 2" xfId="10527" xr:uid="{573C3F4D-76EB-485E-8309-29E14A57B966}"/>
    <cellStyle name="40% - Accent3 4 2 2 5" xfId="8150" xr:uid="{76E9DE5C-20E2-4825-8E0B-00D4F4DA0B1C}"/>
    <cellStyle name="40% - Accent3 4 2 3" xfId="1313" xr:uid="{1E5765D0-9FA5-4FAF-8348-AE064176D1E3}"/>
    <cellStyle name="40% - Accent3 4 2 3 2" xfId="1314" xr:uid="{EEB6427D-EE6E-4EB8-89DF-974CA7C9C4C7}"/>
    <cellStyle name="40% - Accent3 4 2 3 2 2" xfId="5086" xr:uid="{86EFED1F-5C2C-4673-8321-6B8840C613E8}"/>
    <cellStyle name="40% - Accent3 4 2 3 2 2 2" xfId="10532" xr:uid="{7EDDCEDD-BA6B-41CF-A707-0BECFABE6497}"/>
    <cellStyle name="40% - Accent3 4 2 3 2 3" xfId="8155" xr:uid="{69DB55C1-7A17-4FA7-8EFF-3801439169F1}"/>
    <cellStyle name="40% - Accent3 4 2 3 3" xfId="5085" xr:uid="{AF3C1F35-0EE8-4A20-BB68-B51B20BA5EC3}"/>
    <cellStyle name="40% - Accent3 4 2 3 3 2" xfId="10531" xr:uid="{2F249C3D-FC3E-4354-95FC-B94CE89F8D9B}"/>
    <cellStyle name="40% - Accent3 4 2 3 4" xfId="8154" xr:uid="{7E7BF367-9607-4B2A-BCEC-7424827B28D7}"/>
    <cellStyle name="40% - Accent3 4 2 4" xfId="1315" xr:uid="{515BB4B4-9EA0-4845-B81E-1FA4F4E2F73D}"/>
    <cellStyle name="40% - Accent3 4 2 4 2" xfId="5087" xr:uid="{C5986932-3514-49A5-93EC-D44B85BF9128}"/>
    <cellStyle name="40% - Accent3 4 2 4 2 2" xfId="10533" xr:uid="{7F612B05-AD25-463E-A82D-9983B0905AAD}"/>
    <cellStyle name="40% - Accent3 4 2 4 3" xfId="8156" xr:uid="{81C9EEEA-7CE8-493B-BB6A-E380420E3616}"/>
    <cellStyle name="40% - Accent3 4 2 5" xfId="5080" xr:uid="{D1DCADA2-F05E-4FBA-945A-C7E65222830E}"/>
    <cellStyle name="40% - Accent3 4 2 5 2" xfId="10526" xr:uid="{6B99B3DB-31A0-4F99-BA34-0C6E8F37C5A9}"/>
    <cellStyle name="40% - Accent3 4 2 6" xfId="8149" xr:uid="{BCA18B04-232F-4670-A1C8-96C1201F2283}"/>
    <cellStyle name="40% - Accent3 4 3" xfId="1316" xr:uid="{C3730851-50C3-43E2-B3C1-D85121594B63}"/>
    <cellStyle name="40% - Accent3 4 3 2" xfId="1317" xr:uid="{2B1F4D2D-C0FC-4AC6-B093-F6FC85C236F1}"/>
    <cellStyle name="40% - Accent3 4 3 2 2" xfId="1318" xr:uid="{57997AB5-C72E-4B12-94F0-4F5F97A81070}"/>
    <cellStyle name="40% - Accent3 4 3 2 2 2" xfId="1319" xr:uid="{784319D6-339F-48CD-8EB8-ABD398C9E273}"/>
    <cellStyle name="40% - Accent3 4 3 2 2 2 2" xfId="5091" xr:uid="{C8C1FD29-3564-4BB4-A6F4-88FE4BD8990D}"/>
    <cellStyle name="40% - Accent3 4 3 2 2 2 2 2" xfId="10537" xr:uid="{C2E5B1C1-FC41-478A-A72A-7A12875B8849}"/>
    <cellStyle name="40% - Accent3 4 3 2 2 2 3" xfId="8160" xr:uid="{DD7DB915-0353-4ADA-920B-09D39DF48100}"/>
    <cellStyle name="40% - Accent3 4 3 2 2 3" xfId="5090" xr:uid="{06FEFCD6-2353-48EF-8285-C2B8BA7505B6}"/>
    <cellStyle name="40% - Accent3 4 3 2 2 3 2" xfId="10536" xr:uid="{70C757F6-0A64-4979-A6AA-FADD533A63A3}"/>
    <cellStyle name="40% - Accent3 4 3 2 2 4" xfId="8159" xr:uid="{34559DA0-65A1-4DD4-A1A9-87DD8547147E}"/>
    <cellStyle name="40% - Accent3 4 3 2 3" xfId="1320" xr:uid="{7F6A4480-55B0-48F4-A28F-537F7D933237}"/>
    <cellStyle name="40% - Accent3 4 3 2 3 2" xfId="5092" xr:uid="{8AB1DCE6-BAEB-4CC2-A90D-7194A8160624}"/>
    <cellStyle name="40% - Accent3 4 3 2 3 2 2" xfId="10538" xr:uid="{4F80A9D3-FA7E-447B-8673-64547195418D}"/>
    <cellStyle name="40% - Accent3 4 3 2 3 3" xfId="8161" xr:uid="{B5E2AA50-228E-4529-A2E2-D81332DB1F19}"/>
    <cellStyle name="40% - Accent3 4 3 2 4" xfId="5089" xr:uid="{48878986-CC90-4F99-99C0-DB4E017D41F2}"/>
    <cellStyle name="40% - Accent3 4 3 2 4 2" xfId="10535" xr:uid="{46DC1823-55B5-47BE-B15A-18EFBDE49C80}"/>
    <cellStyle name="40% - Accent3 4 3 2 5" xfId="8158" xr:uid="{FE6343E2-AD41-4844-A19D-99D74FFB7181}"/>
    <cellStyle name="40% - Accent3 4 3 3" xfId="1321" xr:uid="{04C77264-E481-411D-AA3E-6FE651383649}"/>
    <cellStyle name="40% - Accent3 4 3 3 2" xfId="1322" xr:uid="{4C25A804-0D29-4398-89E4-2145F77D31B1}"/>
    <cellStyle name="40% - Accent3 4 3 3 2 2" xfId="5094" xr:uid="{5F993319-C9D3-476E-9C70-C80AF3201173}"/>
    <cellStyle name="40% - Accent3 4 3 3 2 2 2" xfId="10540" xr:uid="{3A53B5DF-4742-4826-BCDF-BE575E4E1BF0}"/>
    <cellStyle name="40% - Accent3 4 3 3 2 3" xfId="8163" xr:uid="{A521A4AE-1057-4D1F-9EEA-F4C751513638}"/>
    <cellStyle name="40% - Accent3 4 3 3 3" xfId="5093" xr:uid="{E30DB611-3F69-4A6A-9A84-2A2812A0B7F3}"/>
    <cellStyle name="40% - Accent3 4 3 3 3 2" xfId="10539" xr:uid="{111DD057-010A-49F0-B1E5-2D1F717FB5B5}"/>
    <cellStyle name="40% - Accent3 4 3 3 4" xfId="8162" xr:uid="{4D4AD16F-F717-4986-B761-3F5D8C571065}"/>
    <cellStyle name="40% - Accent3 4 3 4" xfId="1323" xr:uid="{252A79D3-53F3-4794-9446-BB6931CC75F8}"/>
    <cellStyle name="40% - Accent3 4 3 4 2" xfId="5095" xr:uid="{1EC573F5-078A-419C-BFD7-189158E4B7C1}"/>
    <cellStyle name="40% - Accent3 4 3 4 2 2" xfId="10541" xr:uid="{11BBE6D6-FCB5-4201-AC3C-247649B6AFB9}"/>
    <cellStyle name="40% - Accent3 4 3 4 3" xfId="8164" xr:uid="{660973C3-EF2D-474E-A20B-71E53091C43B}"/>
    <cellStyle name="40% - Accent3 4 3 5" xfId="5088" xr:uid="{054C1FB6-B61C-4B2C-8BA9-B91825407BEA}"/>
    <cellStyle name="40% - Accent3 4 3 5 2" xfId="10534" xr:uid="{858DD907-5A0A-4529-8144-09A468FEF0A5}"/>
    <cellStyle name="40% - Accent3 4 3 6" xfId="8157" xr:uid="{93AD5033-E503-4A77-A55E-7B75F9A71FB3}"/>
    <cellStyle name="40% - Accent3 4 4" xfId="1324" xr:uid="{C0CB89B8-CF5D-44EC-B578-1F8FEB39562C}"/>
    <cellStyle name="40% - Accent3 4 4 2" xfId="1325" xr:uid="{72FCB7CD-4773-4E72-965E-A737A1F69A36}"/>
    <cellStyle name="40% - Accent3 4 4 2 2" xfId="1326" xr:uid="{B600A107-8202-40B0-B071-D341C3FA5196}"/>
    <cellStyle name="40% - Accent3 4 4 2 2 2" xfId="5098" xr:uid="{74646605-D655-4CD9-A89D-01D508D155B1}"/>
    <cellStyle name="40% - Accent3 4 4 2 2 2 2" xfId="10544" xr:uid="{F65F088A-DC42-4719-B0DB-D31525F6C65B}"/>
    <cellStyle name="40% - Accent3 4 4 2 2 3" xfId="8167" xr:uid="{A146D449-685C-45A5-A05F-17D712AF12E0}"/>
    <cellStyle name="40% - Accent3 4 4 2 3" xfId="5097" xr:uid="{25913C04-6350-42DA-AC2A-1C1E4E193ED9}"/>
    <cellStyle name="40% - Accent3 4 4 2 3 2" xfId="10543" xr:uid="{02775AAC-1C4F-4EE6-B55A-2389E326E295}"/>
    <cellStyle name="40% - Accent3 4 4 2 4" xfId="8166" xr:uid="{84CEDDD7-7694-4E0A-A665-3950EF70C371}"/>
    <cellStyle name="40% - Accent3 4 4 3" xfId="1327" xr:uid="{C0FA2B1E-0734-47C7-A05A-56239CFD6D8A}"/>
    <cellStyle name="40% - Accent3 4 4 3 2" xfId="5099" xr:uid="{AA76DB66-ABF3-4F9B-89D6-7D6DF481661B}"/>
    <cellStyle name="40% - Accent3 4 4 3 2 2" xfId="10545" xr:uid="{43E63BFB-C633-4FF2-B6B9-866B8456939D}"/>
    <cellStyle name="40% - Accent3 4 4 3 3" xfId="8168" xr:uid="{4662DED1-AC50-4862-913C-6909B26A35E5}"/>
    <cellStyle name="40% - Accent3 4 4 4" xfId="5096" xr:uid="{55BF67D9-8E7F-4E11-A085-D0D550448475}"/>
    <cellStyle name="40% - Accent3 4 4 4 2" xfId="10542" xr:uid="{30C339B9-A318-4099-BAC5-043FC62A571E}"/>
    <cellStyle name="40% - Accent3 4 4 5" xfId="8165" xr:uid="{267CF357-1617-4348-B280-E28C67126629}"/>
    <cellStyle name="40% - Accent3 4 5" xfId="1328" xr:uid="{E433A319-8106-464E-B217-DC4A6D46AA31}"/>
    <cellStyle name="40% - Accent3 4 5 2" xfId="1329" xr:uid="{54B62F53-86D3-4837-891D-36F969BBD4FB}"/>
    <cellStyle name="40% - Accent3 4 5 2 2" xfId="5101" xr:uid="{F86FAFBA-1281-4022-A07E-4C21D44CFFCC}"/>
    <cellStyle name="40% - Accent3 4 5 2 2 2" xfId="10547" xr:uid="{01A4924E-336F-45F7-98E7-DF94C258E0E5}"/>
    <cellStyle name="40% - Accent3 4 5 2 3" xfId="8170" xr:uid="{C352C819-39C3-4F36-B01C-C178A0C6BABA}"/>
    <cellStyle name="40% - Accent3 4 5 3" xfId="5100" xr:uid="{3B6A842B-9267-4F09-A5EC-5E1FF3F0759E}"/>
    <cellStyle name="40% - Accent3 4 5 3 2" xfId="10546" xr:uid="{6F328326-0E6B-4B68-B4F2-4386DF9842C5}"/>
    <cellStyle name="40% - Accent3 4 5 4" xfId="8169" xr:uid="{098F8743-A890-42AA-B79A-837EB4A6F429}"/>
    <cellStyle name="40% - Accent3 4 6" xfId="1330" xr:uid="{B8A07A68-E4C8-4CA4-9DEF-CABF5D4C368F}"/>
    <cellStyle name="40% - Accent3 4 6 2" xfId="5102" xr:uid="{7891E103-DC06-4C7A-A631-051CE56885CC}"/>
    <cellStyle name="40% - Accent3 4 6 2 2" xfId="10548" xr:uid="{EF4DAE1F-707E-4AB5-9D25-807D69134A69}"/>
    <cellStyle name="40% - Accent3 4 6 3" xfId="8171" xr:uid="{7A0BBF22-D821-4626-B62D-65C28303D2F9}"/>
    <cellStyle name="40% - Accent3 4 7" xfId="5079" xr:uid="{185776E4-FECB-467E-915A-C9DAE9FEF8AF}"/>
    <cellStyle name="40% - Accent3 4 7 2" xfId="10525" xr:uid="{CB055077-3EF4-4FE5-AA32-B0EB635DEAB3}"/>
    <cellStyle name="40% - Accent3 4 8" xfId="8148" xr:uid="{D4686E24-FA14-41BC-AB4B-C0A8F78DF98F}"/>
    <cellStyle name="40% - Accent3 5" xfId="1331" xr:uid="{B8650809-D9FE-4E4F-BFE0-6ACA8D44DA8E}"/>
    <cellStyle name="40% - Accent3 5 2" xfId="1332" xr:uid="{233F4C73-555E-4B59-8EC9-38CCA3055A9F}"/>
    <cellStyle name="40% - Accent3 5 2 2" xfId="1333" xr:uid="{D0080F15-C25F-4C0D-B041-01C042754163}"/>
    <cellStyle name="40% - Accent3 5 2 2 2" xfId="1334" xr:uid="{B686FB6E-F67E-48A4-94C2-93F208ECC795}"/>
    <cellStyle name="40% - Accent3 5 2 2 2 2" xfId="5106" xr:uid="{6097EC4A-8C92-453E-BB67-6AD32F8BA3EF}"/>
    <cellStyle name="40% - Accent3 5 2 2 2 2 2" xfId="10552" xr:uid="{1A916595-A9C4-49A8-BB3D-33735B128A26}"/>
    <cellStyle name="40% - Accent3 5 2 2 2 3" xfId="8175" xr:uid="{17AC93F7-3D08-46C1-A3CA-D0E9A1002339}"/>
    <cellStyle name="40% - Accent3 5 2 2 3" xfId="5105" xr:uid="{2E052F4E-8482-48E3-9297-D370380FB749}"/>
    <cellStyle name="40% - Accent3 5 2 2 3 2" xfId="10551" xr:uid="{04F6E9F0-2E3E-4B9C-8196-17C554C90A76}"/>
    <cellStyle name="40% - Accent3 5 2 2 4" xfId="8174" xr:uid="{91905278-B474-49D3-AABD-D0D0C6336367}"/>
    <cellStyle name="40% - Accent3 5 2 3" xfId="1335" xr:uid="{05F5FF15-6374-48B1-B38E-A95C2B035678}"/>
    <cellStyle name="40% - Accent3 5 2 3 2" xfId="5107" xr:uid="{F979B018-5A03-43F7-97D4-F68226412F70}"/>
    <cellStyle name="40% - Accent3 5 2 3 2 2" xfId="10553" xr:uid="{27ECAB87-FB27-41F0-A56B-57BAB9D141DC}"/>
    <cellStyle name="40% - Accent3 5 2 3 3" xfId="8176" xr:uid="{25D5D64C-4C04-43CE-8535-60FF64977AAB}"/>
    <cellStyle name="40% - Accent3 5 2 4" xfId="5104" xr:uid="{C9A60211-530D-4A2C-AD8A-D24BC12DF779}"/>
    <cellStyle name="40% - Accent3 5 2 4 2" xfId="10550" xr:uid="{6E24EBDD-9616-485C-87C7-AB5AF2184A33}"/>
    <cellStyle name="40% - Accent3 5 2 5" xfId="8173" xr:uid="{0D013075-5DCE-426F-AE71-51DCE335FD8D}"/>
    <cellStyle name="40% - Accent3 5 3" xfId="1336" xr:uid="{D3879BF6-AD96-4D20-B354-1430191B0BE5}"/>
    <cellStyle name="40% - Accent3 5 3 2" xfId="1337" xr:uid="{F0F11490-5E73-4C5C-9B66-9266EE2DF476}"/>
    <cellStyle name="40% - Accent3 5 3 2 2" xfId="5109" xr:uid="{18EB4AE1-2421-4778-9006-E7A3387A70F2}"/>
    <cellStyle name="40% - Accent3 5 3 2 2 2" xfId="10555" xr:uid="{BD4E409B-DA3C-42B3-B95F-8074BB434C19}"/>
    <cellStyle name="40% - Accent3 5 3 2 3" xfId="8178" xr:uid="{2A0BF98A-F306-4974-B9A1-8E32D04DC077}"/>
    <cellStyle name="40% - Accent3 5 3 3" xfId="5108" xr:uid="{4322FA07-D0D5-46BC-8155-24CF1DD8EA16}"/>
    <cellStyle name="40% - Accent3 5 3 3 2" xfId="10554" xr:uid="{02E9EDAD-FAD9-4A07-8295-8628745052AC}"/>
    <cellStyle name="40% - Accent3 5 3 4" xfId="8177" xr:uid="{E22D4DE9-5095-49B7-8F03-1FF1F48FAE56}"/>
    <cellStyle name="40% - Accent3 5 4" xfId="1338" xr:uid="{C8C43C45-C82A-43DA-B448-D421DC0208A0}"/>
    <cellStyle name="40% - Accent3 5 4 2" xfId="5110" xr:uid="{B542015E-ABB1-4E74-8B82-ED0E88D68069}"/>
    <cellStyle name="40% - Accent3 5 4 2 2" xfId="10556" xr:uid="{D7C13763-F0BB-40BF-9F51-6964BFD99904}"/>
    <cellStyle name="40% - Accent3 5 4 3" xfId="8179" xr:uid="{1C886B5F-C80E-412C-A5FF-D588EF1EBB5C}"/>
    <cellStyle name="40% - Accent3 5 5" xfId="5103" xr:uid="{85EC8A16-4033-4721-B2AB-29113AA4715A}"/>
    <cellStyle name="40% - Accent3 5 5 2" xfId="10549" xr:uid="{ECAE4E6F-0804-4F97-94D6-04B4F25342F2}"/>
    <cellStyle name="40% - Accent3 5 6" xfId="8172" xr:uid="{D7ADB489-D214-432D-91AF-5E3F3D95DCD7}"/>
    <cellStyle name="40% - Accent3 6" xfId="1339" xr:uid="{1C17CF50-B9FF-4176-95BD-6D1A1CECB5C4}"/>
    <cellStyle name="40% - Accent3 6 2" xfId="1340" xr:uid="{0A855AA9-4992-48FB-AEE4-8A4AC79D740A}"/>
    <cellStyle name="40% - Accent3 6 2 2" xfId="1341" xr:uid="{0274A5CF-75C6-4A5D-96FB-9E7E7A28EB74}"/>
    <cellStyle name="40% - Accent3 6 2 2 2" xfId="1342" xr:uid="{6FF315B0-2F4B-411C-9DDC-D54DEA735D66}"/>
    <cellStyle name="40% - Accent3 6 2 2 2 2" xfId="5114" xr:uid="{A3754AD7-88BF-4734-BD6F-BD6D91C3B44B}"/>
    <cellStyle name="40% - Accent3 6 2 2 2 2 2" xfId="10560" xr:uid="{4DB29A07-0513-482D-B7FB-720F1B2FFF9C}"/>
    <cellStyle name="40% - Accent3 6 2 2 2 3" xfId="8183" xr:uid="{DC7F272D-E347-4F9C-8FCA-C42FD95218D0}"/>
    <cellStyle name="40% - Accent3 6 2 2 3" xfId="5113" xr:uid="{8D1085AF-8EDA-46BE-A507-DD469332C5BA}"/>
    <cellStyle name="40% - Accent3 6 2 2 3 2" xfId="10559" xr:uid="{52181D4C-3E30-4756-8251-8E25DDD6A69C}"/>
    <cellStyle name="40% - Accent3 6 2 2 4" xfId="8182" xr:uid="{6482F553-80D3-4EEF-B9C8-11823F51DE1B}"/>
    <cellStyle name="40% - Accent3 6 2 3" xfId="1343" xr:uid="{3873B6EE-F3EB-433E-82AD-564EE0838019}"/>
    <cellStyle name="40% - Accent3 6 2 3 2" xfId="5115" xr:uid="{CE6080F8-CF88-4F2E-AD15-AB27BB94CD39}"/>
    <cellStyle name="40% - Accent3 6 2 3 2 2" xfId="10561" xr:uid="{CAF8BAEE-39BB-47CD-97D9-CB4059628138}"/>
    <cellStyle name="40% - Accent3 6 2 3 3" xfId="8184" xr:uid="{35151587-D88E-41EB-987F-EF202052DC55}"/>
    <cellStyle name="40% - Accent3 6 2 4" xfId="5112" xr:uid="{D9A870C4-D3AB-40FB-A44C-6324C67A3C3C}"/>
    <cellStyle name="40% - Accent3 6 2 4 2" xfId="10558" xr:uid="{153F1D44-759C-483C-AE1E-C4080D323624}"/>
    <cellStyle name="40% - Accent3 6 2 5" xfId="8181" xr:uid="{5A14136E-D031-490C-AC48-BD544C36BD18}"/>
    <cellStyle name="40% - Accent3 6 3" xfId="1344" xr:uid="{1C86F1E9-3579-491C-AB6B-10756A6F287D}"/>
    <cellStyle name="40% - Accent3 6 3 2" xfId="1345" xr:uid="{ACBD1609-2F0A-426A-85AD-AABC7195D6F7}"/>
    <cellStyle name="40% - Accent3 6 3 2 2" xfId="5117" xr:uid="{C037815F-BE6C-4B68-8740-E795F4F2C069}"/>
    <cellStyle name="40% - Accent3 6 3 2 2 2" xfId="10563" xr:uid="{B1E38BA3-7126-4037-ABE1-F8559A41703F}"/>
    <cellStyle name="40% - Accent3 6 3 2 3" xfId="8186" xr:uid="{2DE052C8-F9EF-4175-832E-57172C07AC1D}"/>
    <cellStyle name="40% - Accent3 6 3 3" xfId="5116" xr:uid="{2ECBAB60-416B-4850-979C-76BB90543FB4}"/>
    <cellStyle name="40% - Accent3 6 3 3 2" xfId="10562" xr:uid="{ED7D087E-7359-4A5D-BF77-6BF9C0E00E36}"/>
    <cellStyle name="40% - Accent3 6 3 4" xfId="8185" xr:uid="{109AEC8A-7DF0-4246-9142-D137B85440B1}"/>
    <cellStyle name="40% - Accent3 6 4" xfId="1346" xr:uid="{26613591-30D6-4D59-A346-08DCFA1AF3F9}"/>
    <cellStyle name="40% - Accent3 6 4 2" xfId="5118" xr:uid="{CC353B6D-55E1-41E9-BBAF-97C041605847}"/>
    <cellStyle name="40% - Accent3 6 4 2 2" xfId="10564" xr:uid="{341F77A4-2F2E-4B92-A821-6E0433F488DA}"/>
    <cellStyle name="40% - Accent3 6 4 3" xfId="8187" xr:uid="{D1B06BCE-FC2E-486F-A0F3-81D8004CFB99}"/>
    <cellStyle name="40% - Accent3 6 5" xfId="5111" xr:uid="{31C17A95-F4C0-4F19-91EC-16248E595837}"/>
    <cellStyle name="40% - Accent3 6 5 2" xfId="10557" xr:uid="{309DAC4B-9808-481E-A815-E49C5EB4C79F}"/>
    <cellStyle name="40% - Accent3 6 6" xfId="8180" xr:uid="{7A9EED5A-C985-40A0-8AC0-647AE5B91E1B}"/>
    <cellStyle name="40% - Accent3 7" xfId="1347" xr:uid="{024FDB42-386C-461B-B2D0-858D27BE77F5}"/>
    <cellStyle name="40% - Accent3 7 2" xfId="1348" xr:uid="{2F3A91C1-0A86-4FE7-864E-783A35474E0C}"/>
    <cellStyle name="40% - Accent3 7 2 2" xfId="1349" xr:uid="{3B010E5F-A0E9-4086-8F26-12CBB0BA8233}"/>
    <cellStyle name="40% - Accent3 7 2 2 2" xfId="5121" xr:uid="{CEB7F3C8-E9AE-46B9-9078-6B9654A95C45}"/>
    <cellStyle name="40% - Accent3 7 2 2 2 2" xfId="10567" xr:uid="{170555C1-DB49-4D8C-8E93-5FEFFF225821}"/>
    <cellStyle name="40% - Accent3 7 2 2 3" xfId="8190" xr:uid="{1EB24F02-38D6-46F4-A43A-98BB3A75BEF1}"/>
    <cellStyle name="40% - Accent3 7 2 3" xfId="5120" xr:uid="{DFFA15B5-2ECF-492E-ABBB-F01C5FD62133}"/>
    <cellStyle name="40% - Accent3 7 2 3 2" xfId="10566" xr:uid="{0B7F4852-808F-4615-A7E7-FAA5467C1EC3}"/>
    <cellStyle name="40% - Accent3 7 2 4" xfId="8189" xr:uid="{0D926384-1DE7-496C-9C9D-5C42AFDCC339}"/>
    <cellStyle name="40% - Accent3 7 3" xfId="1350" xr:uid="{54B7E005-F523-4727-871B-88E9D9CF1D7D}"/>
    <cellStyle name="40% - Accent3 7 3 2" xfId="5122" xr:uid="{37A48FDD-510F-4872-A6CF-30161511C006}"/>
    <cellStyle name="40% - Accent3 7 3 2 2" xfId="10568" xr:uid="{B3A7FAB0-FEE9-4EFC-A64C-26F38D0C0ECE}"/>
    <cellStyle name="40% - Accent3 7 3 3" xfId="8191" xr:uid="{09A2124C-407B-469F-95FE-0A24F9708193}"/>
    <cellStyle name="40% - Accent3 7 4" xfId="5119" xr:uid="{3727CE85-EB7C-495D-AE3A-D32BC5D392AD}"/>
    <cellStyle name="40% - Accent3 7 4 2" xfId="10565" xr:uid="{66806EC4-FB7B-43D2-901D-35E3AE0EA173}"/>
    <cellStyle name="40% - Accent3 7 5" xfId="8188" xr:uid="{48C60A74-713B-493B-B8BB-46A02CAB5007}"/>
    <cellStyle name="40% - Accent3 8" xfId="1351" xr:uid="{9883283B-2FEB-4F05-B400-321E234BB02E}"/>
    <cellStyle name="40% - Accent3 8 2" xfId="1352" xr:uid="{D4783437-65D9-4EF6-B6C2-8792CD6BCFEB}"/>
    <cellStyle name="40% - Accent3 8 2 2" xfId="1353" xr:uid="{806DD4E2-D9D6-428B-A5B9-F79A2A62C031}"/>
    <cellStyle name="40% - Accent3 8 2 2 2" xfId="5125" xr:uid="{F764FBCC-C5CE-4F36-8019-BEAB720A2E5E}"/>
    <cellStyle name="40% - Accent3 8 2 2 2 2" xfId="10571" xr:uid="{B69E9F9B-A926-4324-A615-8C6DA619EA26}"/>
    <cellStyle name="40% - Accent3 8 2 2 3" xfId="8194" xr:uid="{AD5C6E80-5BF1-4CD8-83F0-599F992E7BD4}"/>
    <cellStyle name="40% - Accent3 8 2 3" xfId="5124" xr:uid="{CA47F21D-9E0B-4542-92C8-EDB2F35EB60B}"/>
    <cellStyle name="40% - Accent3 8 2 3 2" xfId="10570" xr:uid="{C76298A5-CC9F-473F-A463-0D92CE358ACB}"/>
    <cellStyle name="40% - Accent3 8 2 4" xfId="8193" xr:uid="{72786A73-CE52-4528-A3EC-E3C851672F7F}"/>
    <cellStyle name="40% - Accent3 8 3" xfId="1354" xr:uid="{49409E0C-8BD2-4AE6-A364-ABC351D893D0}"/>
    <cellStyle name="40% - Accent3 8 3 2" xfId="5126" xr:uid="{FBF0129E-2841-46A8-B86D-58894F1E4857}"/>
    <cellStyle name="40% - Accent3 8 3 2 2" xfId="10572" xr:uid="{C5C4A529-7EC7-4888-A031-F33B22507C5E}"/>
    <cellStyle name="40% - Accent3 8 3 3" xfId="8195" xr:uid="{7473745C-90D4-44EA-9826-5B69A083C853}"/>
    <cellStyle name="40% - Accent3 8 4" xfId="5123" xr:uid="{6E96138A-2EDA-4803-BDC9-29FBA60BCE85}"/>
    <cellStyle name="40% - Accent3 8 4 2" xfId="10569" xr:uid="{111FBC51-E5C2-4C91-9204-9B6124042739}"/>
    <cellStyle name="40% - Accent3 8 5" xfId="8192" xr:uid="{2308C299-40EB-4F55-AC4F-0D6F4CEDBE68}"/>
    <cellStyle name="40% - Accent3 9" xfId="1355" xr:uid="{EA77312D-FFC8-4A12-BE61-DF0BF0E7A798}"/>
    <cellStyle name="40% - Accent3 9 2" xfId="1356" xr:uid="{35BEBF6E-FD07-4160-8964-81C70D1ECD9C}"/>
    <cellStyle name="40% - Accent3 9 2 2" xfId="5128" xr:uid="{8A2C4894-9FE6-413D-9EDC-30216C4EA9BB}"/>
    <cellStyle name="40% - Accent3 9 2 2 2" xfId="10574" xr:uid="{FEA57B13-06EA-4003-987A-A45363DE9D49}"/>
    <cellStyle name="40% - Accent3 9 2 3" xfId="8197" xr:uid="{C5DAAA2B-4908-4E5A-AAA8-9635D7117919}"/>
    <cellStyle name="40% - Accent3 9 3" xfId="5127" xr:uid="{64246617-9C4A-4B2C-8E97-E978F4C6257C}"/>
    <cellStyle name="40% - Accent3 9 3 2" xfId="10573" xr:uid="{9E5FCEC9-6AFA-4770-89B0-3EEBFC43AB6F}"/>
    <cellStyle name="40% - Accent3 9 4" xfId="8196" xr:uid="{B833CEAA-363E-4972-8764-1FF9AE637581}"/>
    <cellStyle name="40% - Accent4" xfId="10" builtinId="43" hidden="1" customBuiltin="1"/>
    <cellStyle name="40% - Accent4" xfId="367" builtinId="43" customBuiltin="1"/>
    <cellStyle name="40% - Accent4 10" xfId="1357" xr:uid="{4EFD873A-3751-44AB-B88F-A48EDEBCD858}"/>
    <cellStyle name="40% - Accent4 10 2" xfId="1358" xr:uid="{727BD663-5E9E-4F9D-9131-1F40417613DA}"/>
    <cellStyle name="40% - Accent4 10 2 2" xfId="5130" xr:uid="{FC5CB04F-28EF-4FEC-A47F-17D974BA1C1D}"/>
    <cellStyle name="40% - Accent4 10 2 2 2" xfId="10576" xr:uid="{A01C43D3-11B2-40DE-A15F-52F3349F0BFA}"/>
    <cellStyle name="40% - Accent4 10 2 3" xfId="8199" xr:uid="{21D3B5C2-862B-4103-9AAC-8B43247873B2}"/>
    <cellStyle name="40% - Accent4 10 3" xfId="5129" xr:uid="{B1E0F3C9-4D7E-46ED-A795-3DC52CAC6151}"/>
    <cellStyle name="40% - Accent4 10 3 2" xfId="10575" xr:uid="{DAAF325F-0A82-4F1C-B561-69FC93ABDE51}"/>
    <cellStyle name="40% - Accent4 10 4" xfId="8198" xr:uid="{5F07DEF9-B6EA-48EF-A160-582B827A3D41}"/>
    <cellStyle name="40% - Accent4 11" xfId="1359" xr:uid="{9F828064-4F3C-4127-9E14-DAA605075624}"/>
    <cellStyle name="40% - Accent4 11 2" xfId="5131" xr:uid="{D05D9198-6267-463B-A58F-3EB757489CCE}"/>
    <cellStyle name="40% - Accent4 11 2 2" xfId="10577" xr:uid="{27E854DC-4129-4E2F-80AD-C8851673F695}"/>
    <cellStyle name="40% - Accent4 11 3" xfId="8200" xr:uid="{BBC55F9B-E013-48DE-81EC-CB9F7BB2DB6B}"/>
    <cellStyle name="40% - Accent4 12" xfId="1360" xr:uid="{F335F181-6035-4CB8-B2E7-72A536B0D733}"/>
    <cellStyle name="40% - Accent4 12 2" xfId="5132" xr:uid="{88B29B01-3BD1-48FD-9D67-8B29154421C2}"/>
    <cellStyle name="40% - Accent4 12 2 2" xfId="10578" xr:uid="{82079E19-7134-421F-B616-D9E90B5F33B7}"/>
    <cellStyle name="40% - Accent4 12 3" xfId="8201" xr:uid="{96529891-C71B-4CD7-A43B-3FB446EE6330}"/>
    <cellStyle name="40% - Accent4 13" xfId="4193" xr:uid="{9E427076-A3CD-4F03-88A4-8FEEC1120085}"/>
    <cellStyle name="40% - Accent4 13 2" xfId="9639" xr:uid="{FDF9C01C-5387-4D71-9F40-28D3843A35F3}"/>
    <cellStyle name="40% - Accent4 14" xfId="7261" xr:uid="{CE07959E-9227-4582-8CD9-01929036E02A}"/>
    <cellStyle name="40% - Accent4 2" xfId="1361" xr:uid="{B14B3AD0-ACE4-4569-98E3-1C40E5701EE9}"/>
    <cellStyle name="40% - Accent4 2 10" xfId="5133" xr:uid="{128B7440-20AC-4CC0-BB21-E358D55BE3BA}"/>
    <cellStyle name="40% - Accent4 2 10 2" xfId="10579" xr:uid="{DC995A23-BF63-449B-B71A-A9E385C5EABE}"/>
    <cellStyle name="40% - Accent4 2 11" xfId="8202" xr:uid="{5CB579CE-4D0F-4D22-AAAC-FC3BD0A4AF53}"/>
    <cellStyle name="40% - Accent4 2 2" xfId="1362" xr:uid="{FE6ADE87-78A4-42F2-B733-1EE0A3EAC20D}"/>
    <cellStyle name="40% - Accent4 2 2 2" xfId="1363" xr:uid="{CF88C888-0A2C-4736-A7B4-2436A44D2FA6}"/>
    <cellStyle name="40% - Accent4 2 2 2 2" xfId="1364" xr:uid="{BFDD9E54-1AD7-4245-85A5-8CF8BC2885AF}"/>
    <cellStyle name="40% - Accent4 2 2 2 2 2" xfId="1365" xr:uid="{B48797FE-A241-48C5-9B52-69E75B1258E9}"/>
    <cellStyle name="40% - Accent4 2 2 2 2 2 2" xfId="5137" xr:uid="{B412AA2F-0F2A-4025-A141-FD9E5CEEA233}"/>
    <cellStyle name="40% - Accent4 2 2 2 2 2 2 2" xfId="10583" xr:uid="{A932F0E1-8B8F-4D5E-9EF4-86EBFD8848E9}"/>
    <cellStyle name="40% - Accent4 2 2 2 2 2 3" xfId="8206" xr:uid="{3889BC49-1481-4EC6-9666-6C80026B0FB7}"/>
    <cellStyle name="40% - Accent4 2 2 2 2 3" xfId="5136" xr:uid="{9BCDE27F-90A4-4382-A468-31C63F55DCD3}"/>
    <cellStyle name="40% - Accent4 2 2 2 2 3 2" xfId="10582" xr:uid="{98462195-10F2-4017-8104-0E3BA3D1F865}"/>
    <cellStyle name="40% - Accent4 2 2 2 2 4" xfId="8205" xr:uid="{D720C5A1-B01C-4512-9961-BFDA3AC7DAA5}"/>
    <cellStyle name="40% - Accent4 2 2 2 3" xfId="1366" xr:uid="{1FD4082C-1024-4BF4-8491-0A9E5A93855E}"/>
    <cellStyle name="40% - Accent4 2 2 2 3 2" xfId="5138" xr:uid="{0C5D636A-4E0F-4EE7-AEFE-BC6C579F494F}"/>
    <cellStyle name="40% - Accent4 2 2 2 3 2 2" xfId="10584" xr:uid="{B95B941B-8742-473C-86C6-CE281D7B0200}"/>
    <cellStyle name="40% - Accent4 2 2 2 3 3" xfId="8207" xr:uid="{60D2C850-A9C2-4F46-AD53-754166A85733}"/>
    <cellStyle name="40% - Accent4 2 2 2 4" xfId="5135" xr:uid="{F7B4CDEF-AC01-4F26-AC8D-22AF40BC86D9}"/>
    <cellStyle name="40% - Accent4 2 2 2 4 2" xfId="10581" xr:uid="{EAD0650F-EA9F-433B-A444-A11184F6D681}"/>
    <cellStyle name="40% - Accent4 2 2 2 5" xfId="8204" xr:uid="{91B415A3-9F89-4A71-8F6A-076EA98B30DE}"/>
    <cellStyle name="40% - Accent4 2 2 3" xfId="1367" xr:uid="{6F794ABD-03F9-4876-A1A6-C239649B93DE}"/>
    <cellStyle name="40% - Accent4 2 2 3 2" xfId="1368" xr:uid="{0CD9547B-020F-40A1-B827-94DEE57F07AE}"/>
    <cellStyle name="40% - Accent4 2 2 3 2 2" xfId="5140" xr:uid="{E224C364-26AA-45D4-A9D2-134D8BAE9B1E}"/>
    <cellStyle name="40% - Accent4 2 2 3 2 2 2" xfId="10586" xr:uid="{3CA2D12D-1178-49C5-8754-6DE9A5BB694E}"/>
    <cellStyle name="40% - Accent4 2 2 3 2 3" xfId="8209" xr:uid="{7EF4FD28-770C-4349-9510-7EFFEBC53C4E}"/>
    <cellStyle name="40% - Accent4 2 2 3 3" xfId="5139" xr:uid="{82CF0A57-D3F3-4DB7-AAA0-324932B844B2}"/>
    <cellStyle name="40% - Accent4 2 2 3 3 2" xfId="10585" xr:uid="{EDAD8888-FA85-45C1-9D36-533B3A711AF7}"/>
    <cellStyle name="40% - Accent4 2 2 3 4" xfId="8208" xr:uid="{11CCE215-B067-4838-8840-6AE380849E28}"/>
    <cellStyle name="40% - Accent4 2 2 4" xfId="1369" xr:uid="{39EAC394-DEE9-4154-91F5-4B2E8ED17B19}"/>
    <cellStyle name="40% - Accent4 2 2 4 2" xfId="5141" xr:uid="{6D5F45D9-C073-4A7E-B489-11077B79E828}"/>
    <cellStyle name="40% - Accent4 2 2 4 2 2" xfId="10587" xr:uid="{18C0EDDD-4ED6-49C8-B055-AD03CD857A4B}"/>
    <cellStyle name="40% - Accent4 2 2 4 3" xfId="8210" xr:uid="{CB65E3F9-7E79-4E61-BD5F-FCC321703358}"/>
    <cellStyle name="40% - Accent4 2 2 5" xfId="1370" xr:uid="{262ABA39-58A0-49CA-B257-A114A25FE3BF}"/>
    <cellStyle name="40% - Accent4 2 2 6" xfId="5134" xr:uid="{9778F54F-44A0-4897-A5F7-B1EAF9A99C56}"/>
    <cellStyle name="40% - Accent4 2 2 6 2" xfId="10580" xr:uid="{9FC218C6-0A44-43C3-B568-C471AAF7A8B5}"/>
    <cellStyle name="40% - Accent4 2 2 7" xfId="8203" xr:uid="{943B530D-4A06-447F-AE5E-0B414D2A6DF2}"/>
    <cellStyle name="40% - Accent4 2 3" xfId="1371" xr:uid="{4F446213-3971-4061-8B7A-223B11DFF0C6}"/>
    <cellStyle name="40% - Accent4 2 3 2" xfId="1372" xr:uid="{1A8B140C-5D2C-48DD-8649-8A3FFEB86626}"/>
    <cellStyle name="40% - Accent4 2 3 2 2" xfId="1373" xr:uid="{33057C88-F4C0-41BE-B17E-93155E47F418}"/>
    <cellStyle name="40% - Accent4 2 3 2 2 2" xfId="1374" xr:uid="{77AC5B11-563E-42B4-B3BD-B6689182F3D6}"/>
    <cellStyle name="40% - Accent4 2 3 2 2 2 2" xfId="5145" xr:uid="{5B971C4F-FE09-4781-8F96-538789758E8A}"/>
    <cellStyle name="40% - Accent4 2 3 2 2 2 2 2" xfId="10591" xr:uid="{9E3D7CB1-1DB1-4E9E-ADA7-29B1286A6E4F}"/>
    <cellStyle name="40% - Accent4 2 3 2 2 2 3" xfId="8214" xr:uid="{B9B0AAF7-1C5E-4AF1-97DF-55C16FEA8CD6}"/>
    <cellStyle name="40% - Accent4 2 3 2 2 3" xfId="5144" xr:uid="{BCB89ABA-D8F7-4DEF-AC48-C65F295B2AA1}"/>
    <cellStyle name="40% - Accent4 2 3 2 2 3 2" xfId="10590" xr:uid="{01A29F59-9A68-4E7B-841A-CB7B0E534860}"/>
    <cellStyle name="40% - Accent4 2 3 2 2 4" xfId="8213" xr:uid="{B4C982DE-AB20-4BAE-BBDF-6C2FFE1B0EFD}"/>
    <cellStyle name="40% - Accent4 2 3 2 3" xfId="1375" xr:uid="{25E58668-A51C-445F-877A-A7B71790394E}"/>
    <cellStyle name="40% - Accent4 2 3 2 3 2" xfId="5146" xr:uid="{24A6244B-5561-4CE4-94CD-4B909A3DCE95}"/>
    <cellStyle name="40% - Accent4 2 3 2 3 2 2" xfId="10592" xr:uid="{A1DA15DF-A2F5-4BED-B9D7-4A9C04200A35}"/>
    <cellStyle name="40% - Accent4 2 3 2 3 3" xfId="8215" xr:uid="{CE0FBBB0-F426-489D-B4B8-C846F31640F2}"/>
    <cellStyle name="40% - Accent4 2 3 2 4" xfId="5143" xr:uid="{C10CAFDF-4ED5-4915-808B-4B1AF22A87A3}"/>
    <cellStyle name="40% - Accent4 2 3 2 4 2" xfId="10589" xr:uid="{2F795863-ED7A-43A7-AFD7-5BC3D1F09B55}"/>
    <cellStyle name="40% - Accent4 2 3 2 5" xfId="8212" xr:uid="{696BFCE0-3AA7-4903-BAC9-21824A37D2BE}"/>
    <cellStyle name="40% - Accent4 2 3 3" xfId="1376" xr:uid="{A2E2EFEB-27B5-495C-97D6-636B69291004}"/>
    <cellStyle name="40% - Accent4 2 3 3 2" xfId="1377" xr:uid="{1A990F77-A4C2-4F26-B6EB-72BC89D07A49}"/>
    <cellStyle name="40% - Accent4 2 3 3 2 2" xfId="5148" xr:uid="{17DAC8AD-68D7-465F-AF70-CA73239F455C}"/>
    <cellStyle name="40% - Accent4 2 3 3 2 2 2" xfId="10594" xr:uid="{E077363A-4E16-4B74-AC12-77ECCE825294}"/>
    <cellStyle name="40% - Accent4 2 3 3 2 3" xfId="8217" xr:uid="{188A2C07-59C8-417A-8DCB-1C987C1A8123}"/>
    <cellStyle name="40% - Accent4 2 3 3 3" xfId="5147" xr:uid="{D1A9A688-EE5A-4B53-A2C8-8DFEC4BB33D2}"/>
    <cellStyle name="40% - Accent4 2 3 3 3 2" xfId="10593" xr:uid="{DF5A6A6F-116B-46E4-B73C-219187B26355}"/>
    <cellStyle name="40% - Accent4 2 3 3 4" xfId="8216" xr:uid="{F7D6E74E-FAAC-4649-A126-0EF2568B3A57}"/>
    <cellStyle name="40% - Accent4 2 3 4" xfId="1378" xr:uid="{F5A50D88-D58A-44BF-BA11-7F94C40AC553}"/>
    <cellStyle name="40% - Accent4 2 3 4 2" xfId="5149" xr:uid="{2FC7C453-913E-4933-9AA5-2FAA700E28D7}"/>
    <cellStyle name="40% - Accent4 2 3 4 2 2" xfId="10595" xr:uid="{C0FBB882-D8F6-4F9D-99C9-14B477491D37}"/>
    <cellStyle name="40% - Accent4 2 3 4 3" xfId="8218" xr:uid="{5707E404-9906-422F-A4A5-F023466BDDA5}"/>
    <cellStyle name="40% - Accent4 2 3 5" xfId="1379" xr:uid="{C5159CBB-D334-4D9A-A539-394A45957A47}"/>
    <cellStyle name="40% - Accent4 2 3 6" xfId="3396" xr:uid="{C46DE625-606B-417B-9A05-C712BD7BD699}"/>
    <cellStyle name="40% - Accent4 2 3 6 2" xfId="5885" xr:uid="{FC1071E1-098D-479C-9DBF-B5FDB2022D4E}"/>
    <cellStyle name="40% - Accent4 2 3 6 2 2" xfId="11327" xr:uid="{0C5131CC-7D0E-4A6F-BD7D-F956D8229681}"/>
    <cellStyle name="40% - Accent4 2 3 6 3" xfId="8943" xr:uid="{232967AB-703C-4635-8574-A579AF51B510}"/>
    <cellStyle name="40% - Accent4 2 3 7" xfId="2091" xr:uid="{EBBAECE6-6E9A-45D3-9B27-ACF025FFB53E}"/>
    <cellStyle name="40% - Accent4 2 3 8" xfId="5142" xr:uid="{BC187C96-073F-40A5-A37B-FE24F778DA9D}"/>
    <cellStyle name="40% - Accent4 2 3 8 2" xfId="10588" xr:uid="{7C209372-D16E-4BF7-8A2A-BAEBBBE00F7B}"/>
    <cellStyle name="40% - Accent4 2 3 9" xfId="8211" xr:uid="{C137508C-61CD-48CF-8A56-EBED65A13CFB}"/>
    <cellStyle name="40% - Accent4 2 4" xfId="1380" xr:uid="{0C9CBB66-3F06-4C2E-9420-BB23B969A787}"/>
    <cellStyle name="40% - Accent4 2 4 2" xfId="1381" xr:uid="{4320A112-E0FF-4411-9E82-AE920AF55622}"/>
    <cellStyle name="40% - Accent4 2 4 2 2" xfId="1382" xr:uid="{1A6BF3AE-BF23-44B7-B1B5-33433AF832D9}"/>
    <cellStyle name="40% - Accent4 2 4 2 2 2" xfId="5152" xr:uid="{51136EBE-EFCF-476F-9246-A4300D6C2C92}"/>
    <cellStyle name="40% - Accent4 2 4 2 2 2 2" xfId="10598" xr:uid="{0A45981B-29E7-4378-B74A-3C1098DE08D1}"/>
    <cellStyle name="40% - Accent4 2 4 2 2 3" xfId="8221" xr:uid="{97BAE322-376A-4949-9846-065DA47310C3}"/>
    <cellStyle name="40% - Accent4 2 4 2 3" xfId="5151" xr:uid="{1F31AEA4-8A7F-4942-838B-855DCE071812}"/>
    <cellStyle name="40% - Accent4 2 4 2 3 2" xfId="10597" xr:uid="{DC476A90-20A0-4D27-82B4-4B9B1353464F}"/>
    <cellStyle name="40% - Accent4 2 4 2 4" xfId="8220" xr:uid="{22773E35-9F6C-4CBE-8E2A-CD3BE275E990}"/>
    <cellStyle name="40% - Accent4 2 4 3" xfId="1383" xr:uid="{8DDF9C32-318D-4BDD-A86D-0DEADCB38248}"/>
    <cellStyle name="40% - Accent4 2 4 3 2" xfId="5153" xr:uid="{3FDA39EB-71C3-4490-9ED8-319C0B39703C}"/>
    <cellStyle name="40% - Accent4 2 4 3 2 2" xfId="10599" xr:uid="{96A45890-7125-4137-8C9C-A2AFBA3A0EBA}"/>
    <cellStyle name="40% - Accent4 2 4 3 3" xfId="8222" xr:uid="{196597FD-1075-4606-8531-5B66EA2B156F}"/>
    <cellStyle name="40% - Accent4 2 4 4" xfId="1384" xr:uid="{5C72C7ED-23C9-4881-9CC6-CA670B905873}"/>
    <cellStyle name="40% - Accent4 2 4 5" xfId="3397" xr:uid="{30BBE535-D99A-47BB-910F-3724C01D48B7}"/>
    <cellStyle name="40% - Accent4 2 4 5 2" xfId="5886" xr:uid="{99AB259F-E724-4537-9F9F-48A7C34FAB70}"/>
    <cellStyle name="40% - Accent4 2 4 5 2 2" xfId="11328" xr:uid="{0F181CA4-CE21-43C0-9974-D7756F706290}"/>
    <cellStyle name="40% - Accent4 2 4 5 3" xfId="8944" xr:uid="{F8960525-8F64-4B36-B549-56FF43EA5A5F}"/>
    <cellStyle name="40% - Accent4 2 4 6" xfId="2090" xr:uid="{D5F2E9F9-14AD-4E32-B547-39F8B4ECE019}"/>
    <cellStyle name="40% - Accent4 2 4 7" xfId="5150" xr:uid="{31F88269-598D-4562-A3DD-E0E69304923E}"/>
    <cellStyle name="40% - Accent4 2 4 7 2" xfId="10596" xr:uid="{34F0149F-49DF-4B86-AFD6-22B002FC2520}"/>
    <cellStyle name="40% - Accent4 2 4 8" xfId="8219" xr:uid="{3D81AB81-4C79-4829-90D5-084DCC83DC32}"/>
    <cellStyle name="40% - Accent4 2 5" xfId="1385" xr:uid="{D1F0981F-BB6D-4106-B9F7-24CD18A8FDB3}"/>
    <cellStyle name="40% - Accent4 2 5 2" xfId="1386" xr:uid="{96045C11-0EB2-41FD-9456-CA78B52BF70D}"/>
    <cellStyle name="40% - Accent4 2 5 2 2" xfId="5155" xr:uid="{579342AA-4EBF-4CDA-B30F-2FAF80B1DC38}"/>
    <cellStyle name="40% - Accent4 2 5 2 2 2" xfId="10601" xr:uid="{32394B48-7B3A-4A85-91C8-53B8937F0551}"/>
    <cellStyle name="40% - Accent4 2 5 2 3" xfId="8224" xr:uid="{3E0ED654-D579-4F72-9262-5F8BF1DEEB34}"/>
    <cellStyle name="40% - Accent4 2 5 3" xfId="1387" xr:uid="{85E3D73B-EE78-4E71-A6ED-CE0CCFA4D8BF}"/>
    <cellStyle name="40% - Accent4 2 5 4" xfId="5154" xr:uid="{424600DC-D88F-4843-AE6E-0291632ABD84}"/>
    <cellStyle name="40% - Accent4 2 5 4 2" xfId="10600" xr:uid="{CB3BD53B-D975-4AF8-8366-E1DA7A58F592}"/>
    <cellStyle name="40% - Accent4 2 5 5" xfId="8223" xr:uid="{57501C77-80AE-4A0C-A97E-C8EE885305DE}"/>
    <cellStyle name="40% - Accent4 2 6" xfId="1388" xr:uid="{9DCC002A-0297-406D-B77E-57B09AA8F307}"/>
    <cellStyle name="40% - Accent4 2 6 2" xfId="1389" xr:uid="{1ABC3169-5C7B-4A9D-827E-763B12658542}"/>
    <cellStyle name="40% - Accent4 2 6 3" xfId="5156" xr:uid="{4271B79E-A5D1-4976-B014-5EFE25B67811}"/>
    <cellStyle name="40% - Accent4 2 6 3 2" xfId="10602" xr:uid="{6F0189F4-D9BE-4252-B661-35C0B3A0AD23}"/>
    <cellStyle name="40% - Accent4 2 6 4" xfId="8225" xr:uid="{5DB000E7-C5A6-43DD-9A93-28EB1E57636D}"/>
    <cellStyle name="40% - Accent4 2 7" xfId="1390" xr:uid="{64A009E5-9DAC-4832-82D9-5D73CBC72283}"/>
    <cellStyle name="40% - Accent4 2 8" xfId="1391" xr:uid="{E758CD38-0A23-4E6C-8E71-C1D4AE93EE48}"/>
    <cellStyle name="40% - Accent4 2 9" xfId="1392" xr:uid="{FD542C4F-30D5-48D0-B0E4-28C28881F155}"/>
    <cellStyle name="40% - Accent4 3" xfId="1393" xr:uid="{FF35D11A-AA60-4D13-A678-CC4EBBF017E1}"/>
    <cellStyle name="40% - Accent4 3 2" xfId="1394" xr:uid="{28FA69E8-4E23-4C1B-BC2D-C85FA52CC0C8}"/>
    <cellStyle name="40% - Accent4 3 2 2" xfId="1395" xr:uid="{D4B6EDA8-AA40-4B23-9649-34513026D6E7}"/>
    <cellStyle name="40% - Accent4 3 2 2 2" xfId="1396" xr:uid="{939584AC-63A6-4F00-A4DA-3C47554EB5FB}"/>
    <cellStyle name="40% - Accent4 3 2 2 2 2" xfId="1397" xr:uid="{A8E7328B-F478-45A3-8A8E-4C8A87B97E94}"/>
    <cellStyle name="40% - Accent4 3 2 2 2 2 2" xfId="5161" xr:uid="{4563EC0A-9797-4328-938B-FDE0277E9EFE}"/>
    <cellStyle name="40% - Accent4 3 2 2 2 2 2 2" xfId="10607" xr:uid="{39BBC56B-FCB7-4700-8C98-632CAF3D40E1}"/>
    <cellStyle name="40% - Accent4 3 2 2 2 2 3" xfId="8230" xr:uid="{6FC59C55-1966-484A-AEBC-496385945D7C}"/>
    <cellStyle name="40% - Accent4 3 2 2 2 3" xfId="5160" xr:uid="{AE6BDAA6-4809-41B2-9AEB-25D26F51F2A5}"/>
    <cellStyle name="40% - Accent4 3 2 2 2 3 2" xfId="10606" xr:uid="{DD18ED7A-101A-4024-A997-B6C6829563DE}"/>
    <cellStyle name="40% - Accent4 3 2 2 2 4" xfId="8229" xr:uid="{2BE992E3-3A69-432B-85C6-C049F01255AC}"/>
    <cellStyle name="40% - Accent4 3 2 2 3" xfId="1398" xr:uid="{110943CD-C5AE-4EF9-9567-B5603EC47042}"/>
    <cellStyle name="40% - Accent4 3 2 2 3 2" xfId="5162" xr:uid="{94E0A5E3-CA02-4B63-AB95-C6EEA4AC9E39}"/>
    <cellStyle name="40% - Accent4 3 2 2 3 2 2" xfId="10608" xr:uid="{0375A52F-9079-4029-8C07-F053FA624567}"/>
    <cellStyle name="40% - Accent4 3 2 2 3 3" xfId="8231" xr:uid="{BAD19EE4-EBFB-48BC-BE98-860D2AFE1133}"/>
    <cellStyle name="40% - Accent4 3 2 2 4" xfId="5159" xr:uid="{6BAF2763-B1D9-4AC6-851C-379F00243A14}"/>
    <cellStyle name="40% - Accent4 3 2 2 4 2" xfId="10605" xr:uid="{262CA785-48AF-4926-89F4-171C14CED64B}"/>
    <cellStyle name="40% - Accent4 3 2 2 5" xfId="8228" xr:uid="{E58A9975-6671-48C0-9A0B-A7D7CE3F86DA}"/>
    <cellStyle name="40% - Accent4 3 2 3" xfId="1399" xr:uid="{6523B4E5-ACAA-43E3-86D9-C526D9DCAD20}"/>
    <cellStyle name="40% - Accent4 3 2 3 2" xfId="1400" xr:uid="{ABF54600-7060-4D53-80ED-4FBCE84FC024}"/>
    <cellStyle name="40% - Accent4 3 2 3 2 2" xfId="5164" xr:uid="{BFB3453D-05B2-4A38-BABB-4A613DB61462}"/>
    <cellStyle name="40% - Accent4 3 2 3 2 2 2" xfId="10610" xr:uid="{B3D5890B-4C09-48CE-932C-2E5B9C76D208}"/>
    <cellStyle name="40% - Accent4 3 2 3 2 3" xfId="8233" xr:uid="{53A56473-0A82-4FC8-A519-CFFEB7C7388A}"/>
    <cellStyle name="40% - Accent4 3 2 3 3" xfId="5163" xr:uid="{5BC36A82-66FA-4922-BCE2-34E6CFD17B0C}"/>
    <cellStyle name="40% - Accent4 3 2 3 3 2" xfId="10609" xr:uid="{5553A0AB-0FB0-4766-BB7C-79E2B0BF1E35}"/>
    <cellStyle name="40% - Accent4 3 2 3 4" xfId="8232" xr:uid="{CD772E35-203F-40B3-81E8-956E0200E1B0}"/>
    <cellStyle name="40% - Accent4 3 2 4" xfId="1401" xr:uid="{4CFFD8FC-DAB7-459C-B65F-350A636F10B1}"/>
    <cellStyle name="40% - Accent4 3 2 4 2" xfId="5165" xr:uid="{23CA650C-5F84-4A90-92EF-FACB7E0FB669}"/>
    <cellStyle name="40% - Accent4 3 2 4 2 2" xfId="10611" xr:uid="{962A4809-B056-4DB5-B890-6003B5F1B09B}"/>
    <cellStyle name="40% - Accent4 3 2 4 3" xfId="8234" xr:uid="{4DB39111-5211-4A1A-A62C-CD30FAAC7A31}"/>
    <cellStyle name="40% - Accent4 3 2 5" xfId="3398" xr:uid="{4E079D71-AF55-4439-94B1-DAD3C5B9AE47}"/>
    <cellStyle name="40% - Accent4 3 2 5 2" xfId="5887" xr:uid="{7356513C-248A-451C-807E-5E97EB569EAC}"/>
    <cellStyle name="40% - Accent4 3 2 5 2 2" xfId="11329" xr:uid="{C6328CDB-5569-435F-8AB8-E92FEA24553A}"/>
    <cellStyle name="40% - Accent4 3 2 5 3" xfId="8945" xr:uid="{8041BFEC-A2A5-400E-950A-AF6B41796110}"/>
    <cellStyle name="40% - Accent4 3 2 6" xfId="2092" xr:uid="{C42AB908-BE14-4DCD-9927-441AF61EBC4B}"/>
    <cellStyle name="40% - Accent4 3 2 7" xfId="5158" xr:uid="{F4B64A35-85CE-4753-9420-9CFE43BCBE2F}"/>
    <cellStyle name="40% - Accent4 3 2 7 2" xfId="10604" xr:uid="{F4F6FF50-C2BA-44AC-A3D4-2936033A6ECB}"/>
    <cellStyle name="40% - Accent4 3 2 8" xfId="8227" xr:uid="{0A7DF79E-4EEE-41C8-B04E-B79C76DAD3B4}"/>
    <cellStyle name="40% - Accent4 3 3" xfId="1402" xr:uid="{47C954A3-A7C0-4CB2-ADD3-A51F149DA4E7}"/>
    <cellStyle name="40% - Accent4 3 3 2" xfId="1403" xr:uid="{D43F8FD7-89F9-44AB-BB8F-E9DD88ED7094}"/>
    <cellStyle name="40% - Accent4 3 3 2 2" xfId="1404" xr:uid="{E12BF7A7-3D80-4DAF-A170-0EC555FA03C4}"/>
    <cellStyle name="40% - Accent4 3 3 2 2 2" xfId="1405" xr:uid="{AB28E71D-6694-4EE6-B6F6-78E76E09DF5B}"/>
    <cellStyle name="40% - Accent4 3 3 2 2 2 2" xfId="5169" xr:uid="{2BE6A4C3-F34B-4DA0-834E-CC0092000B36}"/>
    <cellStyle name="40% - Accent4 3 3 2 2 2 2 2" xfId="10615" xr:uid="{11B465FD-A3B1-42E0-B764-24ED423CFCD0}"/>
    <cellStyle name="40% - Accent4 3 3 2 2 2 3" xfId="8238" xr:uid="{7D862029-48A1-43B0-A120-7AD905832A62}"/>
    <cellStyle name="40% - Accent4 3 3 2 2 3" xfId="5168" xr:uid="{3D84791D-5F27-4800-B4D7-8FF229097D4A}"/>
    <cellStyle name="40% - Accent4 3 3 2 2 3 2" xfId="10614" xr:uid="{351B28E5-BD3D-4DAF-8363-88CB84D95F94}"/>
    <cellStyle name="40% - Accent4 3 3 2 2 4" xfId="8237" xr:uid="{DE986843-5A1B-4D77-87C4-B14EB282933C}"/>
    <cellStyle name="40% - Accent4 3 3 2 3" xfId="1406" xr:uid="{972B5F5E-48A0-48AE-AED4-DD4039883174}"/>
    <cellStyle name="40% - Accent4 3 3 2 3 2" xfId="5170" xr:uid="{CEABDB42-2A93-441C-8221-E13061A5D305}"/>
    <cellStyle name="40% - Accent4 3 3 2 3 2 2" xfId="10616" xr:uid="{4FC9CDB6-779B-427B-8280-D78C81FAFC25}"/>
    <cellStyle name="40% - Accent4 3 3 2 3 3" xfId="8239" xr:uid="{278CA285-0E3F-43BF-9F17-3765C85A49CA}"/>
    <cellStyle name="40% - Accent4 3 3 2 4" xfId="5167" xr:uid="{09CD7499-7FBA-4716-849C-A00B7F890370}"/>
    <cellStyle name="40% - Accent4 3 3 2 4 2" xfId="10613" xr:uid="{0582CC21-0D13-4ABC-B9DE-332F4D585FC0}"/>
    <cellStyle name="40% - Accent4 3 3 2 5" xfId="8236" xr:uid="{64560A72-FB07-4B43-8FDB-1A4995C992A0}"/>
    <cellStyle name="40% - Accent4 3 3 3" xfId="1407" xr:uid="{DBE9E348-0DAE-462F-801A-79A8041AC9E8}"/>
    <cellStyle name="40% - Accent4 3 3 3 2" xfId="1408" xr:uid="{CE4129BE-CD44-4D6E-9F31-3FBCE9D10C46}"/>
    <cellStyle name="40% - Accent4 3 3 3 2 2" xfId="5172" xr:uid="{6EE38512-413A-493C-B37C-8C0E39680FB7}"/>
    <cellStyle name="40% - Accent4 3 3 3 2 2 2" xfId="10618" xr:uid="{1BE766EE-1055-4C06-951F-A42A13F2E74C}"/>
    <cellStyle name="40% - Accent4 3 3 3 2 3" xfId="8241" xr:uid="{7B877F97-6910-425C-BDA8-68117C3ED376}"/>
    <cellStyle name="40% - Accent4 3 3 3 3" xfId="5171" xr:uid="{93FA12EC-A272-4268-8E77-5F0E43231B77}"/>
    <cellStyle name="40% - Accent4 3 3 3 3 2" xfId="10617" xr:uid="{83E65682-3BE4-4C11-B73E-B5DC59611867}"/>
    <cellStyle name="40% - Accent4 3 3 3 4" xfId="8240" xr:uid="{77B4D5E3-58AA-4721-BF9F-C53F0CA6D7DF}"/>
    <cellStyle name="40% - Accent4 3 3 4" xfId="1409" xr:uid="{C443511F-1597-4EAF-A9ED-CDC5D4C2DB45}"/>
    <cellStyle name="40% - Accent4 3 3 4 2" xfId="5173" xr:uid="{432C766A-F858-4078-855A-880B0DDA19BD}"/>
    <cellStyle name="40% - Accent4 3 3 4 2 2" xfId="10619" xr:uid="{BD779FD0-7FB0-41CA-BD2D-72C460645352}"/>
    <cellStyle name="40% - Accent4 3 3 4 3" xfId="8242" xr:uid="{C3C4EF53-9B89-497E-9D23-0B81F7DD8C29}"/>
    <cellStyle name="40% - Accent4 3 3 5" xfId="5166" xr:uid="{B089F900-A747-49FC-BF95-E142B3C1EF7E}"/>
    <cellStyle name="40% - Accent4 3 3 5 2" xfId="10612" xr:uid="{409B52B6-B2AE-4428-B0A6-E450CD993EFD}"/>
    <cellStyle name="40% - Accent4 3 3 6" xfId="8235" xr:uid="{13BCA7F3-FD1F-4563-A937-510BEA3D4149}"/>
    <cellStyle name="40% - Accent4 3 4" xfId="1410" xr:uid="{643ED944-4C2F-4F41-88ED-58D163D892BE}"/>
    <cellStyle name="40% - Accent4 3 4 2" xfId="1411" xr:uid="{0068F82A-B7ED-417A-BCF2-FAA511FB5643}"/>
    <cellStyle name="40% - Accent4 3 4 2 2" xfId="1412" xr:uid="{ABD23D17-3D10-4F8F-B0E9-D8A6A4491284}"/>
    <cellStyle name="40% - Accent4 3 4 2 2 2" xfId="5176" xr:uid="{D3919783-924F-4301-9590-A587A56E112F}"/>
    <cellStyle name="40% - Accent4 3 4 2 2 2 2" xfId="10622" xr:uid="{65840A63-5DBE-418A-A070-AE4637F2A757}"/>
    <cellStyle name="40% - Accent4 3 4 2 2 3" xfId="8245" xr:uid="{46BAD470-99D4-42B9-B3DE-5F7E32B9E410}"/>
    <cellStyle name="40% - Accent4 3 4 2 3" xfId="5175" xr:uid="{BDA9C876-39F0-4BFC-B63B-9E403E99F2BF}"/>
    <cellStyle name="40% - Accent4 3 4 2 3 2" xfId="10621" xr:uid="{CD1E9F2A-44D2-4728-9F3C-2FA8DA8E8D95}"/>
    <cellStyle name="40% - Accent4 3 4 2 4" xfId="8244" xr:uid="{77871E68-F723-4694-B11C-EEA0E91C6960}"/>
    <cellStyle name="40% - Accent4 3 4 3" xfId="1413" xr:uid="{F0049C7F-2061-4C54-BECC-A5FCED02F551}"/>
    <cellStyle name="40% - Accent4 3 4 3 2" xfId="5177" xr:uid="{A33A1A6D-041D-4AE0-8F8B-3DFE998E1B2E}"/>
    <cellStyle name="40% - Accent4 3 4 3 2 2" xfId="10623" xr:uid="{65B58AC8-E57B-4476-806F-AC93B188BD2D}"/>
    <cellStyle name="40% - Accent4 3 4 3 3" xfId="8246" xr:uid="{FE21EDCA-6D71-4A10-84C5-D6BA2F1BDB63}"/>
    <cellStyle name="40% - Accent4 3 4 4" xfId="5174" xr:uid="{8F286681-7981-484C-B96A-F6886991E15F}"/>
    <cellStyle name="40% - Accent4 3 4 4 2" xfId="10620" xr:uid="{ED88F766-A4C3-4C03-BD70-D56E73605833}"/>
    <cellStyle name="40% - Accent4 3 4 5" xfId="8243" xr:uid="{44481BD0-39B5-4D6E-9CDF-0E857F0025E4}"/>
    <cellStyle name="40% - Accent4 3 5" xfId="1414" xr:uid="{C24E74A7-6D6F-400F-B4AB-CB23B2EEAE88}"/>
    <cellStyle name="40% - Accent4 3 5 2" xfId="1415" xr:uid="{50FBAAB7-94E7-4418-BAD2-7931461B21F8}"/>
    <cellStyle name="40% - Accent4 3 5 2 2" xfId="5179" xr:uid="{29FEE36A-21A2-4772-A84B-72449CD001D4}"/>
    <cellStyle name="40% - Accent4 3 5 2 2 2" xfId="10625" xr:uid="{13286188-9814-4D2F-B878-BA3DE14E528C}"/>
    <cellStyle name="40% - Accent4 3 5 2 3" xfId="8248" xr:uid="{CDE585C8-5CB9-420A-B003-1E99349E080F}"/>
    <cellStyle name="40% - Accent4 3 5 3" xfId="5178" xr:uid="{BAFBE424-9FFD-4B8D-8989-26A33A9CFB65}"/>
    <cellStyle name="40% - Accent4 3 5 3 2" xfId="10624" xr:uid="{812A0B7D-F636-4484-ABE8-DECFD8743C44}"/>
    <cellStyle name="40% - Accent4 3 5 4" xfId="8247" xr:uid="{8E4B214C-2F58-4470-A98A-391D5EAE5364}"/>
    <cellStyle name="40% - Accent4 3 6" xfId="1416" xr:uid="{9502043B-D6D6-4B53-A69C-3FA69CA0F450}"/>
    <cellStyle name="40% - Accent4 3 6 2" xfId="5180" xr:uid="{6AAA8285-78E4-42D3-8D2F-E62AD58294C8}"/>
    <cellStyle name="40% - Accent4 3 6 2 2" xfId="10626" xr:uid="{E4CD98D7-BD14-4644-991B-A987A8DE9B67}"/>
    <cellStyle name="40% - Accent4 3 6 3" xfId="8249" xr:uid="{1E72F4B4-2334-4D9B-8A40-E3E499A46FAD}"/>
    <cellStyle name="40% - Accent4 3 7" xfId="5157" xr:uid="{86AFA437-EC1E-4837-AB83-96F3435DA6FC}"/>
    <cellStyle name="40% - Accent4 3 7 2" xfId="10603" xr:uid="{7B305B93-3D41-4D3E-B238-41C2FBB244F8}"/>
    <cellStyle name="40% - Accent4 3 8" xfId="8226" xr:uid="{C9E0FA50-3CEE-41CA-B427-8EA2ED1830E4}"/>
    <cellStyle name="40% - Accent4 4" xfId="1417" xr:uid="{EB6C00B1-4497-4923-BE90-F3B1BE4292B2}"/>
    <cellStyle name="40% - Accent4 4 2" xfId="1418" xr:uid="{8DEE917C-ABBA-4A8B-A0F3-568340384DA6}"/>
    <cellStyle name="40% - Accent4 4 2 2" xfId="1419" xr:uid="{A872D44F-6B14-4BB3-9D91-3BE3F69B8545}"/>
    <cellStyle name="40% - Accent4 4 2 2 2" xfId="1420" xr:uid="{4BDE755D-41E5-4518-B1E4-E63974285848}"/>
    <cellStyle name="40% - Accent4 4 2 2 2 2" xfId="1421" xr:uid="{BC00D327-F074-4D1D-B42E-E8C4AD13F08E}"/>
    <cellStyle name="40% - Accent4 4 2 2 2 2 2" xfId="5185" xr:uid="{D6E036A1-F024-4E64-AEDA-A8B0DBEFD184}"/>
    <cellStyle name="40% - Accent4 4 2 2 2 2 2 2" xfId="10631" xr:uid="{8D7859F9-7F12-4257-80F4-657FD7FDD26C}"/>
    <cellStyle name="40% - Accent4 4 2 2 2 2 3" xfId="8254" xr:uid="{101194F3-F4A2-4CA8-9C17-B6A25A0B6E63}"/>
    <cellStyle name="40% - Accent4 4 2 2 2 3" xfId="5184" xr:uid="{E8D6DC3F-21BA-4F67-A307-B1AAD91D3FFF}"/>
    <cellStyle name="40% - Accent4 4 2 2 2 3 2" xfId="10630" xr:uid="{250CDEDE-537D-499A-A810-FBA5EC35F476}"/>
    <cellStyle name="40% - Accent4 4 2 2 2 4" xfId="8253" xr:uid="{B467025E-FA74-4114-AED6-654F708D6AB6}"/>
    <cellStyle name="40% - Accent4 4 2 2 3" xfId="1422" xr:uid="{8494E7D5-8335-4182-AC96-8722C6873588}"/>
    <cellStyle name="40% - Accent4 4 2 2 3 2" xfId="5186" xr:uid="{19208D69-7241-4569-9B02-440549403355}"/>
    <cellStyle name="40% - Accent4 4 2 2 3 2 2" xfId="10632" xr:uid="{E2D175CC-0543-450D-A62A-62BF8B2146D6}"/>
    <cellStyle name="40% - Accent4 4 2 2 3 3" xfId="8255" xr:uid="{75B96712-F56D-4468-A7E6-135AD2986282}"/>
    <cellStyle name="40% - Accent4 4 2 2 4" xfId="5183" xr:uid="{3DE8F930-B78E-4630-90E0-8D675DF25056}"/>
    <cellStyle name="40% - Accent4 4 2 2 4 2" xfId="10629" xr:uid="{D3DF7A83-16C1-47E2-8BA4-3EE514E1C44A}"/>
    <cellStyle name="40% - Accent4 4 2 2 5" xfId="8252" xr:uid="{23A01FB3-9417-463F-98B2-06F373B9BA75}"/>
    <cellStyle name="40% - Accent4 4 2 3" xfId="1423" xr:uid="{C2EA71A9-03E4-4409-AF26-76D9C0B81898}"/>
    <cellStyle name="40% - Accent4 4 2 3 2" xfId="1424" xr:uid="{8FB73F30-C3FD-4FD0-89C1-91778D673846}"/>
    <cellStyle name="40% - Accent4 4 2 3 2 2" xfId="5188" xr:uid="{4614892F-C9F8-4E2E-B633-3C5457C1DF5C}"/>
    <cellStyle name="40% - Accent4 4 2 3 2 2 2" xfId="10634" xr:uid="{6A838B3E-C8D2-4EC4-A6BC-2155BDBD4728}"/>
    <cellStyle name="40% - Accent4 4 2 3 2 3" xfId="8257" xr:uid="{F2DF3960-E98E-4F09-A718-3DFBF9051997}"/>
    <cellStyle name="40% - Accent4 4 2 3 3" xfId="5187" xr:uid="{CFDE70A2-7ED0-4304-AF20-5B31D5C7346C}"/>
    <cellStyle name="40% - Accent4 4 2 3 3 2" xfId="10633" xr:uid="{AA631542-7040-4F70-9626-8937D3AB95FE}"/>
    <cellStyle name="40% - Accent4 4 2 3 4" xfId="8256" xr:uid="{3A51818A-27EE-4AD5-945A-78140272EAAB}"/>
    <cellStyle name="40% - Accent4 4 2 4" xfId="1425" xr:uid="{85E9AA7A-AB94-4BF3-B586-4E04DF3CE115}"/>
    <cellStyle name="40% - Accent4 4 2 4 2" xfId="5189" xr:uid="{DA528DAA-B8AB-44CC-A4D8-B927A4B14F4A}"/>
    <cellStyle name="40% - Accent4 4 2 4 2 2" xfId="10635" xr:uid="{E76E99FE-70D7-465B-A7D9-CE996BC9E88F}"/>
    <cellStyle name="40% - Accent4 4 2 4 3" xfId="8258" xr:uid="{C0443A62-20F7-45FB-B277-A3E4FFFF79B7}"/>
    <cellStyle name="40% - Accent4 4 2 5" xfId="5182" xr:uid="{6496AF2D-0180-44E0-AE8F-C9EE10660676}"/>
    <cellStyle name="40% - Accent4 4 2 5 2" xfId="10628" xr:uid="{21834E52-77E8-46A6-8BF5-E90BF54D7398}"/>
    <cellStyle name="40% - Accent4 4 2 6" xfId="8251" xr:uid="{D8B6E851-8F4D-4D67-B569-B760EDC122D7}"/>
    <cellStyle name="40% - Accent4 4 3" xfId="1426" xr:uid="{D699FEFE-A937-4D1E-B53C-246BCFBA04E4}"/>
    <cellStyle name="40% - Accent4 4 3 2" xfId="1427" xr:uid="{3F6FE341-A358-4751-B317-3349F66E5161}"/>
    <cellStyle name="40% - Accent4 4 3 2 2" xfId="1428" xr:uid="{D35BBC2C-762D-4FE5-ACA3-240B0336FB12}"/>
    <cellStyle name="40% - Accent4 4 3 2 2 2" xfId="1429" xr:uid="{7E16E323-A373-4427-8955-D3E70CCAB289}"/>
    <cellStyle name="40% - Accent4 4 3 2 2 2 2" xfId="5193" xr:uid="{9F65A997-93F0-47EA-9881-71507BB9E893}"/>
    <cellStyle name="40% - Accent4 4 3 2 2 2 2 2" xfId="10639" xr:uid="{52A9C61C-B537-4C9C-8BB0-9FFA45109E98}"/>
    <cellStyle name="40% - Accent4 4 3 2 2 2 3" xfId="8262" xr:uid="{9CEA19A0-F480-4043-8921-B89101A2BF85}"/>
    <cellStyle name="40% - Accent4 4 3 2 2 3" xfId="5192" xr:uid="{0C885929-2896-40BC-A482-EEE8E92CC25A}"/>
    <cellStyle name="40% - Accent4 4 3 2 2 3 2" xfId="10638" xr:uid="{67A0A357-03A0-4D7E-A124-BE62F9909E99}"/>
    <cellStyle name="40% - Accent4 4 3 2 2 4" xfId="8261" xr:uid="{8B462AFC-1662-48E3-BF72-FF0078A2750D}"/>
    <cellStyle name="40% - Accent4 4 3 2 3" xfId="1430" xr:uid="{5AE1E315-12D5-4AAD-8B4E-2FA3FC971A3B}"/>
    <cellStyle name="40% - Accent4 4 3 2 3 2" xfId="5194" xr:uid="{26386D52-05F0-4660-897D-1F6C05B1C635}"/>
    <cellStyle name="40% - Accent4 4 3 2 3 2 2" xfId="10640" xr:uid="{85F01B19-65B6-49AF-A474-57299C74A5AD}"/>
    <cellStyle name="40% - Accent4 4 3 2 3 3" xfId="8263" xr:uid="{5E93FD68-9E7D-4AC3-9127-613BEE1005AC}"/>
    <cellStyle name="40% - Accent4 4 3 2 4" xfId="5191" xr:uid="{7A8E38D4-7915-4506-935B-6D2884F85D20}"/>
    <cellStyle name="40% - Accent4 4 3 2 4 2" xfId="10637" xr:uid="{0BED3746-8923-499D-AD4D-5F462EBB525D}"/>
    <cellStyle name="40% - Accent4 4 3 2 5" xfId="8260" xr:uid="{F988CAFE-1789-4A6B-9D28-85F4512D3B47}"/>
    <cellStyle name="40% - Accent4 4 3 3" xfId="1431" xr:uid="{C9AF9C64-EFE7-48C7-8520-6B23584907A9}"/>
    <cellStyle name="40% - Accent4 4 3 3 2" xfId="1432" xr:uid="{F7739440-0E62-4727-9493-923363CB2159}"/>
    <cellStyle name="40% - Accent4 4 3 3 2 2" xfId="5196" xr:uid="{9C61E7B7-FBA5-4F32-B14C-E6CBAD0FF6AF}"/>
    <cellStyle name="40% - Accent4 4 3 3 2 2 2" xfId="10642" xr:uid="{B26DB2DD-6693-49E1-8D56-E1BF2BD3E027}"/>
    <cellStyle name="40% - Accent4 4 3 3 2 3" xfId="8265" xr:uid="{6EDD8976-57BA-4754-8553-E89468546285}"/>
    <cellStyle name="40% - Accent4 4 3 3 3" xfId="5195" xr:uid="{B21D385C-CF35-41BB-9AF2-BE217C5DF13F}"/>
    <cellStyle name="40% - Accent4 4 3 3 3 2" xfId="10641" xr:uid="{8D935D67-A18A-4DDB-A527-D19698F078D0}"/>
    <cellStyle name="40% - Accent4 4 3 3 4" xfId="8264" xr:uid="{67D90F8A-27CF-4A15-8A6B-804B78851C36}"/>
    <cellStyle name="40% - Accent4 4 3 4" xfId="1433" xr:uid="{6581DE45-A5A6-4EE1-9E09-71A1C3311A4C}"/>
    <cellStyle name="40% - Accent4 4 3 4 2" xfId="5197" xr:uid="{FF882A0C-8305-4A48-A858-42D1C957FC0C}"/>
    <cellStyle name="40% - Accent4 4 3 4 2 2" xfId="10643" xr:uid="{E80ECADA-4B95-444D-971A-3837472D20D7}"/>
    <cellStyle name="40% - Accent4 4 3 4 3" xfId="8266" xr:uid="{C247324D-9DDA-4660-A1C3-6934F7A501EE}"/>
    <cellStyle name="40% - Accent4 4 3 5" xfId="5190" xr:uid="{65177B6B-005B-4225-AF17-6B65D418F740}"/>
    <cellStyle name="40% - Accent4 4 3 5 2" xfId="10636" xr:uid="{5F683728-E827-4067-AE2F-3CF01508B31A}"/>
    <cellStyle name="40% - Accent4 4 3 6" xfId="8259" xr:uid="{0067C2AC-BD0F-4A72-A2F9-B1BAE1C12610}"/>
    <cellStyle name="40% - Accent4 4 4" xfId="1434" xr:uid="{F834374E-C7D8-4430-9CDE-4CAACD2767FB}"/>
    <cellStyle name="40% - Accent4 4 4 2" xfId="1435" xr:uid="{DE8B9CDD-B48C-4C24-A3EA-53577EAA3448}"/>
    <cellStyle name="40% - Accent4 4 4 2 2" xfId="1436" xr:uid="{0A73BFA8-99EB-48B6-9133-022269D29447}"/>
    <cellStyle name="40% - Accent4 4 4 2 2 2" xfId="5200" xr:uid="{6F03D97A-2707-4832-9688-67C6CEC57041}"/>
    <cellStyle name="40% - Accent4 4 4 2 2 2 2" xfId="10646" xr:uid="{2B38A47B-1D3C-409E-A622-D1A2C0D88B3F}"/>
    <cellStyle name="40% - Accent4 4 4 2 2 3" xfId="8269" xr:uid="{7F55C74A-4110-46C1-B0C7-F9048D0A19FE}"/>
    <cellStyle name="40% - Accent4 4 4 2 3" xfId="5199" xr:uid="{CF7613C0-FF5E-4243-A049-0C0B9D430CF8}"/>
    <cellStyle name="40% - Accent4 4 4 2 3 2" xfId="10645" xr:uid="{C874DEDA-5EE2-4970-863C-A6A797F37A52}"/>
    <cellStyle name="40% - Accent4 4 4 2 4" xfId="8268" xr:uid="{D83994F3-6168-45F8-8D8B-5C0431A0CCB2}"/>
    <cellStyle name="40% - Accent4 4 4 3" xfId="1437" xr:uid="{4CA2FF76-5FD7-476C-8F16-C16872B0BE4D}"/>
    <cellStyle name="40% - Accent4 4 4 3 2" xfId="5201" xr:uid="{7AA61AE9-305D-444D-95BD-41D8C4386B3B}"/>
    <cellStyle name="40% - Accent4 4 4 3 2 2" xfId="10647" xr:uid="{3FAB71AC-0660-49DC-A755-AA620B7DF74F}"/>
    <cellStyle name="40% - Accent4 4 4 3 3" xfId="8270" xr:uid="{6F9A2544-9110-448B-80D3-8DB18B3125BA}"/>
    <cellStyle name="40% - Accent4 4 4 4" xfId="5198" xr:uid="{04A2BD08-832D-4E43-BBA3-1AEC6EC0E01A}"/>
    <cellStyle name="40% - Accent4 4 4 4 2" xfId="10644" xr:uid="{F13B4AE8-D585-4698-A42F-C1C5E4371FA5}"/>
    <cellStyle name="40% - Accent4 4 4 5" xfId="8267" xr:uid="{20A43AF7-BF43-4935-B2D6-C0E441A987A8}"/>
    <cellStyle name="40% - Accent4 4 5" xfId="1438" xr:uid="{E7064E97-422C-4273-B3CA-8D5E9ABCCCA3}"/>
    <cellStyle name="40% - Accent4 4 5 2" xfId="1439" xr:uid="{0CCC8F74-6F1A-4984-B176-E9230A8F2340}"/>
    <cellStyle name="40% - Accent4 4 5 2 2" xfId="5203" xr:uid="{6BA6EFD4-89F9-4880-A3FB-5372765294F0}"/>
    <cellStyle name="40% - Accent4 4 5 2 2 2" xfId="10649" xr:uid="{3E280BF9-A886-4B15-BC63-9287AFFDD765}"/>
    <cellStyle name="40% - Accent4 4 5 2 3" xfId="8272" xr:uid="{2AADBD96-FC4E-46BA-92B3-1F7C91AEF40A}"/>
    <cellStyle name="40% - Accent4 4 5 3" xfId="5202" xr:uid="{A8982AF1-C27C-4028-9BF5-1F7521EF117E}"/>
    <cellStyle name="40% - Accent4 4 5 3 2" xfId="10648" xr:uid="{26935437-86AB-44B8-A2B2-4F9353B0C6DF}"/>
    <cellStyle name="40% - Accent4 4 5 4" xfId="8271" xr:uid="{0EC1D966-25BE-48F6-97D9-5BCBAEE178E6}"/>
    <cellStyle name="40% - Accent4 4 6" xfId="1440" xr:uid="{FCE4DF1F-0622-4BFD-B6C4-58DFFBD3EEFD}"/>
    <cellStyle name="40% - Accent4 4 6 2" xfId="5204" xr:uid="{64A5563B-7EBE-4F50-A75D-DBEEC0E977C8}"/>
    <cellStyle name="40% - Accent4 4 6 2 2" xfId="10650" xr:uid="{9DDE84D2-AC4D-4287-BAFF-C83F98C1DBBF}"/>
    <cellStyle name="40% - Accent4 4 6 3" xfId="8273" xr:uid="{9C118944-42CF-47D4-A07E-91C0AD22FAC1}"/>
    <cellStyle name="40% - Accent4 4 7" xfId="5181" xr:uid="{DD9C02B2-1E83-462E-8C73-AF77AB597918}"/>
    <cellStyle name="40% - Accent4 4 7 2" xfId="10627" xr:uid="{E3557C13-01B1-43CF-8F31-45A9E386AC1A}"/>
    <cellStyle name="40% - Accent4 4 8" xfId="8250" xr:uid="{4A68F06D-D668-4143-BC17-BC0B712A2FF8}"/>
    <cellStyle name="40% - Accent4 5" xfId="1441" xr:uid="{5C09B5B9-8C5C-415F-9E07-4A0C961F6664}"/>
    <cellStyle name="40% - Accent4 5 2" xfId="1442" xr:uid="{31DC8092-A965-49B5-AC77-40029DDAEAB1}"/>
    <cellStyle name="40% - Accent4 5 2 2" xfId="1443" xr:uid="{2DBF7B13-AD64-4048-B254-1600B005692E}"/>
    <cellStyle name="40% - Accent4 5 2 2 2" xfId="1444" xr:uid="{35EA9A96-37F5-4D1B-BEC3-7E6320A73796}"/>
    <cellStyle name="40% - Accent4 5 2 2 2 2" xfId="5208" xr:uid="{90580A40-5132-437D-8E32-131AE8E15341}"/>
    <cellStyle name="40% - Accent4 5 2 2 2 2 2" xfId="10654" xr:uid="{453463D9-9745-4D82-92A3-3E3F6D3E7F61}"/>
    <cellStyle name="40% - Accent4 5 2 2 2 3" xfId="8277" xr:uid="{3E108306-EB94-45B1-99F1-EA081D510150}"/>
    <cellStyle name="40% - Accent4 5 2 2 3" xfId="5207" xr:uid="{D6F22348-827A-45A5-8413-4AE8C32C0648}"/>
    <cellStyle name="40% - Accent4 5 2 2 3 2" xfId="10653" xr:uid="{3348E7CB-096D-4799-87BB-BCCE3CE45873}"/>
    <cellStyle name="40% - Accent4 5 2 2 4" xfId="8276" xr:uid="{C50A5884-26EC-4BDB-B0FE-5418050CBDCB}"/>
    <cellStyle name="40% - Accent4 5 2 3" xfId="1445" xr:uid="{9D3A635F-1032-4F65-8F9C-60CE8B848D40}"/>
    <cellStyle name="40% - Accent4 5 2 3 2" xfId="5209" xr:uid="{61AD754F-D816-40FA-9BDC-3468663A677E}"/>
    <cellStyle name="40% - Accent4 5 2 3 2 2" xfId="10655" xr:uid="{738E2368-D03E-4111-BFDF-AAE9167B7882}"/>
    <cellStyle name="40% - Accent4 5 2 3 3" xfId="8278" xr:uid="{5D1562AA-B857-4DCE-B4DA-E0E534C0D72B}"/>
    <cellStyle name="40% - Accent4 5 2 4" xfId="5206" xr:uid="{846D8BD4-6807-4124-A9FC-817C34214D79}"/>
    <cellStyle name="40% - Accent4 5 2 4 2" xfId="10652" xr:uid="{43D86539-F857-4CD3-B65B-E5E275AAE8FA}"/>
    <cellStyle name="40% - Accent4 5 2 5" xfId="8275" xr:uid="{9DBE6994-848C-4FFD-A830-EF771568BC22}"/>
    <cellStyle name="40% - Accent4 5 3" xfId="1446" xr:uid="{EB27A6EC-F3D8-431E-B091-B7F619FB40BB}"/>
    <cellStyle name="40% - Accent4 5 3 2" xfId="1447" xr:uid="{B8392C29-A13C-452A-8FB9-8012B8445B06}"/>
    <cellStyle name="40% - Accent4 5 3 2 2" xfId="5211" xr:uid="{62E79DAB-9632-4410-B387-4F0D7CF302CD}"/>
    <cellStyle name="40% - Accent4 5 3 2 2 2" xfId="10657" xr:uid="{0A8D4A35-86C5-4741-9869-550BB6BF0B78}"/>
    <cellStyle name="40% - Accent4 5 3 2 3" xfId="8280" xr:uid="{A01F224B-0516-45F1-A31E-CB13620FE1FB}"/>
    <cellStyle name="40% - Accent4 5 3 3" xfId="5210" xr:uid="{09C5FA8B-B4C4-4DB0-8FEB-C8CA0744BAA8}"/>
    <cellStyle name="40% - Accent4 5 3 3 2" xfId="10656" xr:uid="{9A704BE5-1CCE-4562-9234-9062C03F7930}"/>
    <cellStyle name="40% - Accent4 5 3 4" xfId="8279" xr:uid="{AD267B68-B17D-4C21-AB7D-B7933BD352D1}"/>
    <cellStyle name="40% - Accent4 5 4" xfId="1448" xr:uid="{A6BF6A51-910B-4A85-A80C-3FAE1B2AC004}"/>
    <cellStyle name="40% - Accent4 5 4 2" xfId="5212" xr:uid="{6040096E-7C2F-4F6C-A951-797064C14D53}"/>
    <cellStyle name="40% - Accent4 5 4 2 2" xfId="10658" xr:uid="{63A04291-8651-4E8C-85A6-3D3F628094FD}"/>
    <cellStyle name="40% - Accent4 5 4 3" xfId="8281" xr:uid="{3ADBB0AD-F36B-410F-AD1A-0A8A1B0F75A4}"/>
    <cellStyle name="40% - Accent4 5 5" xfId="5205" xr:uid="{EC71E614-8CBB-45B2-B60D-EB59DE5336E2}"/>
    <cellStyle name="40% - Accent4 5 5 2" xfId="10651" xr:uid="{4B3BEB78-C428-450D-980B-F7A15E2DB170}"/>
    <cellStyle name="40% - Accent4 5 6" xfId="8274" xr:uid="{F76ED323-FA73-4D00-8447-24C390843219}"/>
    <cellStyle name="40% - Accent4 6" xfId="1449" xr:uid="{5E1DA471-D35B-46EE-B592-97625A3D774B}"/>
    <cellStyle name="40% - Accent4 6 2" xfId="1450" xr:uid="{4C4C4414-7488-441F-853B-870B1682B081}"/>
    <cellStyle name="40% - Accent4 6 2 2" xfId="1451" xr:uid="{754C60DA-1F79-4269-8C5E-A632FE74A54C}"/>
    <cellStyle name="40% - Accent4 6 2 2 2" xfId="1452" xr:uid="{E8969432-A7E1-4053-8A15-0AE57BED1550}"/>
    <cellStyle name="40% - Accent4 6 2 2 2 2" xfId="5216" xr:uid="{C1C544EC-70D7-49D7-BE4B-3335FA3D9C32}"/>
    <cellStyle name="40% - Accent4 6 2 2 2 2 2" xfId="10662" xr:uid="{B3F6616F-CE03-4315-8667-AFB8C0E9B239}"/>
    <cellStyle name="40% - Accent4 6 2 2 2 3" xfId="8285" xr:uid="{ACE66009-5365-4D65-A854-DEF251B36D60}"/>
    <cellStyle name="40% - Accent4 6 2 2 3" xfId="5215" xr:uid="{CFFE509A-06DF-4831-BA97-20987B97B987}"/>
    <cellStyle name="40% - Accent4 6 2 2 3 2" xfId="10661" xr:uid="{EE34E8AE-4353-47FB-B352-BB889363956B}"/>
    <cellStyle name="40% - Accent4 6 2 2 4" xfId="8284" xr:uid="{D04D3A95-B21D-45BB-AA00-C29483C4A26E}"/>
    <cellStyle name="40% - Accent4 6 2 3" xfId="1453" xr:uid="{6FE8ABB1-8AE4-4204-BBDF-288CF0BEDB44}"/>
    <cellStyle name="40% - Accent4 6 2 3 2" xfId="5217" xr:uid="{CA0DDF5C-21B1-4A9C-9AE6-7AEDCC6BA39B}"/>
    <cellStyle name="40% - Accent4 6 2 3 2 2" xfId="10663" xr:uid="{FB743E70-FF59-4475-AA9A-79B0B2AC1161}"/>
    <cellStyle name="40% - Accent4 6 2 3 3" xfId="8286" xr:uid="{679CC3B2-8773-477F-9BCB-5A6E71DE9EA6}"/>
    <cellStyle name="40% - Accent4 6 2 4" xfId="5214" xr:uid="{624389A8-52FE-41A0-BFE0-646D3AC21B43}"/>
    <cellStyle name="40% - Accent4 6 2 4 2" xfId="10660" xr:uid="{6A851450-4E69-4BE0-B7E2-D3F328EE40D0}"/>
    <cellStyle name="40% - Accent4 6 2 5" xfId="8283" xr:uid="{824B4C04-18F1-40F3-B9EC-4B6639C15800}"/>
    <cellStyle name="40% - Accent4 6 3" xfId="1454" xr:uid="{9123CE60-718C-411A-9420-2493228B43F7}"/>
    <cellStyle name="40% - Accent4 6 3 2" xfId="1455" xr:uid="{E7F5028F-CCAA-4AAD-8F68-47FF733D3454}"/>
    <cellStyle name="40% - Accent4 6 3 2 2" xfId="5219" xr:uid="{A1C4BC56-566B-4488-A8AD-57DF66B40D01}"/>
    <cellStyle name="40% - Accent4 6 3 2 2 2" xfId="10665" xr:uid="{56207197-27FB-43F8-BCFE-54A8FCA56C97}"/>
    <cellStyle name="40% - Accent4 6 3 2 3" xfId="8288" xr:uid="{42D31ED4-98E4-4761-9408-562C8CD02459}"/>
    <cellStyle name="40% - Accent4 6 3 3" xfId="5218" xr:uid="{513AC9CF-2218-448F-8D8E-1B36E756CDCC}"/>
    <cellStyle name="40% - Accent4 6 3 3 2" xfId="10664" xr:uid="{6F7CF9EA-3288-40CE-945B-1AB9D9A2C4CC}"/>
    <cellStyle name="40% - Accent4 6 3 4" xfId="8287" xr:uid="{9F72C2CE-777E-44CC-B2D8-01FE6560F2BD}"/>
    <cellStyle name="40% - Accent4 6 4" xfId="1456" xr:uid="{5142B2AC-20E3-444E-AA3E-5D2532C3715E}"/>
    <cellStyle name="40% - Accent4 6 4 2" xfId="5220" xr:uid="{924EE7E0-5E92-4BA9-93E3-30E7CB6AFF1D}"/>
    <cellStyle name="40% - Accent4 6 4 2 2" xfId="10666" xr:uid="{3B49E18D-D3DB-41B2-8361-8C160DD36DBA}"/>
    <cellStyle name="40% - Accent4 6 4 3" xfId="8289" xr:uid="{DB433F9F-0A55-4B95-BA50-E8E1254605FF}"/>
    <cellStyle name="40% - Accent4 6 5" xfId="5213" xr:uid="{AF3A90DD-7D30-4AEF-AAA6-9A120810A221}"/>
    <cellStyle name="40% - Accent4 6 5 2" xfId="10659" xr:uid="{AB9B0D00-DDB9-467A-91E1-B9FCC9CFA181}"/>
    <cellStyle name="40% - Accent4 6 6" xfId="8282" xr:uid="{C8939DEA-113C-4DB0-980B-7E8C4230AE6B}"/>
    <cellStyle name="40% - Accent4 7" xfId="1457" xr:uid="{006DF61F-F541-46F7-B39E-91199ECBA22C}"/>
    <cellStyle name="40% - Accent4 7 2" xfId="1458" xr:uid="{50465FF2-6E69-4770-B1F1-C5961D8187D5}"/>
    <cellStyle name="40% - Accent4 7 2 2" xfId="1459" xr:uid="{0746D91B-F499-435B-9D6B-2C2833963189}"/>
    <cellStyle name="40% - Accent4 7 2 2 2" xfId="5223" xr:uid="{F38BDCE4-CEC4-4502-AB22-89C40CDEC5F9}"/>
    <cellStyle name="40% - Accent4 7 2 2 2 2" xfId="10669" xr:uid="{6397A456-DA1F-456A-BC55-2137D4ADEA55}"/>
    <cellStyle name="40% - Accent4 7 2 2 3" xfId="8292" xr:uid="{1B00860E-ECE7-40D1-A8AB-66216D0E484C}"/>
    <cellStyle name="40% - Accent4 7 2 3" xfId="5222" xr:uid="{8EDF7E91-9C45-44BC-B316-6ABA542DF6BD}"/>
    <cellStyle name="40% - Accent4 7 2 3 2" xfId="10668" xr:uid="{2124E0A0-8ACF-48C4-AA50-808DCBE2B9DC}"/>
    <cellStyle name="40% - Accent4 7 2 4" xfId="8291" xr:uid="{89680FA6-28FA-40E6-A2A8-5886C7D77F01}"/>
    <cellStyle name="40% - Accent4 7 3" xfId="1460" xr:uid="{134EBEAB-01CA-4FC8-A700-CFF011678258}"/>
    <cellStyle name="40% - Accent4 7 3 2" xfId="5224" xr:uid="{6B1910BF-CCFE-473F-987D-8401E3EBF76C}"/>
    <cellStyle name="40% - Accent4 7 3 2 2" xfId="10670" xr:uid="{7C63CCD9-8081-42C1-B55B-092B3B6A316D}"/>
    <cellStyle name="40% - Accent4 7 3 3" xfId="8293" xr:uid="{7673CC09-CCE9-4990-ABE8-FB6BF7EB59E7}"/>
    <cellStyle name="40% - Accent4 7 4" xfId="5221" xr:uid="{725FFAE8-AB8B-4EF2-A16A-1BE7C820636E}"/>
    <cellStyle name="40% - Accent4 7 4 2" xfId="10667" xr:uid="{11886D04-32CA-431A-98FB-F6C8F7D476E7}"/>
    <cellStyle name="40% - Accent4 7 5" xfId="8290" xr:uid="{23728E20-3EFC-4230-BDCC-1FB98B7549D7}"/>
    <cellStyle name="40% - Accent4 8" xfId="1461" xr:uid="{D3FD2E8D-99B8-46B2-BC8F-882FF8CADC70}"/>
    <cellStyle name="40% - Accent4 8 2" xfId="1462" xr:uid="{43A81D9A-1CB6-49A3-A29B-94F12B578618}"/>
    <cellStyle name="40% - Accent4 8 2 2" xfId="1463" xr:uid="{0F4C97F1-9B0D-4C2A-A909-2ACE84A7F325}"/>
    <cellStyle name="40% - Accent4 8 2 2 2" xfId="5227" xr:uid="{CE48B08C-F1F0-4915-A01B-125303F44FB8}"/>
    <cellStyle name="40% - Accent4 8 2 2 2 2" xfId="10673" xr:uid="{18DAA96F-9DB2-4153-8996-146EA33EF175}"/>
    <cellStyle name="40% - Accent4 8 2 2 3" xfId="8296" xr:uid="{3A4A18D9-A415-4A28-BBEC-AB218688A84F}"/>
    <cellStyle name="40% - Accent4 8 2 3" xfId="5226" xr:uid="{95EEA089-7345-47CC-B92D-D6A6EB2E3547}"/>
    <cellStyle name="40% - Accent4 8 2 3 2" xfId="10672" xr:uid="{D79575FC-5815-4839-A98A-1DD5E370E3CA}"/>
    <cellStyle name="40% - Accent4 8 2 4" xfId="8295" xr:uid="{E87740F9-DCD1-4583-B323-F37DAC40CDB1}"/>
    <cellStyle name="40% - Accent4 8 3" xfId="1464" xr:uid="{921997B1-7B56-4B6B-9267-99A51D14DE74}"/>
    <cellStyle name="40% - Accent4 8 3 2" xfId="5228" xr:uid="{2A6A2020-897C-4167-B30D-E8DE9C4727CA}"/>
    <cellStyle name="40% - Accent4 8 3 2 2" xfId="10674" xr:uid="{913A93DC-9E3E-4409-B364-6BF8DA71EDBD}"/>
    <cellStyle name="40% - Accent4 8 3 3" xfId="8297" xr:uid="{BA764B8C-477A-4472-83F7-070745FD77D3}"/>
    <cellStyle name="40% - Accent4 8 4" xfId="5225" xr:uid="{2C84A337-4FBB-4805-9A1B-EB952EEB4D54}"/>
    <cellStyle name="40% - Accent4 8 4 2" xfId="10671" xr:uid="{4E1FB5E8-26EE-4FAA-BA92-04617117936B}"/>
    <cellStyle name="40% - Accent4 8 5" xfId="8294" xr:uid="{2474295F-66A6-44F8-B6D6-68BAC171DE4F}"/>
    <cellStyle name="40% - Accent4 9" xfId="1465" xr:uid="{2BC95F78-D3E1-437E-8209-9CF8AA3E2BC1}"/>
    <cellStyle name="40% - Accent4 9 2" xfId="1466" xr:uid="{3CB615A2-2CA9-489C-A5C4-F3D9030D93C4}"/>
    <cellStyle name="40% - Accent4 9 2 2" xfId="5230" xr:uid="{DC57E9E6-6CEC-4924-9934-4F9BE66AEA47}"/>
    <cellStyle name="40% - Accent4 9 2 2 2" xfId="10676" xr:uid="{CF089EAA-A82E-48EA-BA90-8861DF7C6208}"/>
    <cellStyle name="40% - Accent4 9 2 3" xfId="8299" xr:uid="{49379C0B-3B89-4327-AEBA-3FA03C162252}"/>
    <cellStyle name="40% - Accent4 9 3" xfId="5229" xr:uid="{905C7D14-3160-4AF6-B2FA-8871848516A0}"/>
    <cellStyle name="40% - Accent4 9 3 2" xfId="10675" xr:uid="{5A880C3A-4E42-4659-9705-C0943AD5037D}"/>
    <cellStyle name="40% - Accent4 9 4" xfId="8298" xr:uid="{70EB9BA7-6216-4603-B972-D93176CD23E3}"/>
    <cellStyle name="40% - Accent5" xfId="11" builtinId="47" hidden="1" customBuiltin="1"/>
    <cellStyle name="40% - Accent5" xfId="371" builtinId="47" customBuiltin="1"/>
    <cellStyle name="40% - Accent5 10" xfId="1467" xr:uid="{2B0572C4-9FF4-4D2D-94F4-6D9E3B36889E}"/>
    <cellStyle name="40% - Accent5 10 2" xfId="1468" xr:uid="{7D543504-FEE4-4DFA-9024-0434690FB9EA}"/>
    <cellStyle name="40% - Accent5 10 2 2" xfId="5232" xr:uid="{7FA93767-FB19-4A92-BC8F-C9D6B9886118}"/>
    <cellStyle name="40% - Accent5 10 2 2 2" xfId="10678" xr:uid="{7A7A3C77-E90B-4864-BB6A-3BD1AB1A3FDB}"/>
    <cellStyle name="40% - Accent5 10 2 3" xfId="8301" xr:uid="{7EDFD03A-9B54-4110-9E76-BE81C881AFD8}"/>
    <cellStyle name="40% - Accent5 10 3" xfId="5231" xr:uid="{632F2C7A-8B1F-467E-B639-C8AA9F049167}"/>
    <cellStyle name="40% - Accent5 10 3 2" xfId="10677" xr:uid="{15CE7E1A-A48D-4616-B728-C321C457227A}"/>
    <cellStyle name="40% - Accent5 10 4" xfId="8300" xr:uid="{1150BB3B-A8B3-4E12-B267-6AD0ACEAA03C}"/>
    <cellStyle name="40% - Accent5 11" xfId="1469" xr:uid="{BE44A4D3-F171-46D4-A318-1C23FB263357}"/>
    <cellStyle name="40% - Accent5 11 2" xfId="5233" xr:uid="{23FD31B3-A2FA-4086-A801-D7371CAD0646}"/>
    <cellStyle name="40% - Accent5 11 2 2" xfId="10679" xr:uid="{5E11AC57-0148-4F36-BD1C-50C2119E7850}"/>
    <cellStyle name="40% - Accent5 11 3" xfId="8302" xr:uid="{CCF36906-FA2F-4597-97FD-8E12C3DA6DBF}"/>
    <cellStyle name="40% - Accent5 12" xfId="1470" xr:uid="{C89A6A63-0157-45A2-B51E-60AE61789689}"/>
    <cellStyle name="40% - Accent5 12 2" xfId="5234" xr:uid="{C72D5D5F-0276-4EE2-9404-CEB92EEF1159}"/>
    <cellStyle name="40% - Accent5 12 2 2" xfId="10680" xr:uid="{ADB49ECD-6529-4D03-BFA0-3A003FBB4E75}"/>
    <cellStyle name="40% - Accent5 12 3" xfId="8303" xr:uid="{DFC743B0-C838-4857-8085-FAF37018EE2D}"/>
    <cellStyle name="40% - Accent5 13" xfId="4196" xr:uid="{E9F91EEA-A210-4A48-9273-A1A2387A6181}"/>
    <cellStyle name="40% - Accent5 13 2" xfId="9642" xr:uid="{D708994E-8D14-4807-B650-6BE3D5B4CFB5}"/>
    <cellStyle name="40% - Accent5 14" xfId="7264" xr:uid="{37BAF624-1C27-46D9-B131-EF118C3A5264}"/>
    <cellStyle name="40% - Accent5 2" xfId="383" xr:uid="{D581B0A7-FA0D-41E4-AA13-9E386841CEF2}"/>
    <cellStyle name="40% - Accent5 2 2" xfId="1471" xr:uid="{AB8C7312-CC6B-42A7-8C9B-15652A1BEFC1}"/>
    <cellStyle name="40% - Accent5 2 2 2" xfId="1472" xr:uid="{90F4D9FA-8E12-4679-8223-E16F52C9020D}"/>
    <cellStyle name="40% - Accent5 2 2 2 2" xfId="1473" xr:uid="{880276BF-F44D-4D36-BDD8-FB44E60FC8A2}"/>
    <cellStyle name="40% - Accent5 2 2 2 2 2" xfId="1474" xr:uid="{A2E3D99A-FDEE-4815-85B5-5E5D12227425}"/>
    <cellStyle name="40% - Accent5 2 2 2 2 2 2" xfId="5238" xr:uid="{6B054F8C-E2FD-46A5-B867-22AA1BD7DB83}"/>
    <cellStyle name="40% - Accent5 2 2 2 2 2 2 2" xfId="10684" xr:uid="{2D502490-4C19-40C9-B2B1-13EFC412D76F}"/>
    <cellStyle name="40% - Accent5 2 2 2 2 2 3" xfId="8307" xr:uid="{6022E51F-6F79-4422-A041-56B263A7D63A}"/>
    <cellStyle name="40% - Accent5 2 2 2 2 3" xfId="5237" xr:uid="{C8CCFA2A-CD87-4A0D-909E-9A60EE5903D3}"/>
    <cellStyle name="40% - Accent5 2 2 2 2 3 2" xfId="10683" xr:uid="{5EA98C8A-5B46-45C5-A5A1-2BBDD0993F78}"/>
    <cellStyle name="40% - Accent5 2 2 2 2 4" xfId="8306" xr:uid="{6ADA7A2D-C00F-41A9-97DF-BD618B76B52D}"/>
    <cellStyle name="40% - Accent5 2 2 2 3" xfId="1475" xr:uid="{3EDA84AA-70EF-4A79-94B8-C1DB2CF61E0D}"/>
    <cellStyle name="40% - Accent5 2 2 2 3 2" xfId="5239" xr:uid="{F92D4207-A647-4FF5-B428-4D75630F7827}"/>
    <cellStyle name="40% - Accent5 2 2 2 3 2 2" xfId="10685" xr:uid="{45D39B92-CF3B-4394-8906-352C98FA0F64}"/>
    <cellStyle name="40% - Accent5 2 2 2 3 3" xfId="8308" xr:uid="{19A6B9DE-D93E-4904-852E-93EABFC99F27}"/>
    <cellStyle name="40% - Accent5 2 2 2 4" xfId="5236" xr:uid="{DCD4E81F-C1CA-48E1-9EC9-F34475A9B5AE}"/>
    <cellStyle name="40% - Accent5 2 2 2 4 2" xfId="10682" xr:uid="{1D4EB797-B3BD-4646-96C9-D93026F08F52}"/>
    <cellStyle name="40% - Accent5 2 2 2 5" xfId="8305" xr:uid="{5747B265-D940-4FC7-9B2C-D4F8457D03D4}"/>
    <cellStyle name="40% - Accent5 2 2 3" xfId="1476" xr:uid="{B3574222-910E-4E1D-8637-D84B986202B6}"/>
    <cellStyle name="40% - Accent5 2 2 3 2" xfId="1477" xr:uid="{49393FBE-639E-4E42-8B03-0A54241E8196}"/>
    <cellStyle name="40% - Accent5 2 2 3 2 2" xfId="5241" xr:uid="{4C60F739-D0C0-4304-B003-F03925BFDF78}"/>
    <cellStyle name="40% - Accent5 2 2 3 2 2 2" xfId="10687" xr:uid="{0948B2FD-7569-4CE2-97CF-7E66214A399F}"/>
    <cellStyle name="40% - Accent5 2 2 3 2 3" xfId="8310" xr:uid="{01B7A975-621F-4B3D-A1D0-EB0895AB5348}"/>
    <cellStyle name="40% - Accent5 2 2 3 3" xfId="5240" xr:uid="{B2585044-A50F-4E10-AAD2-C1BE498DD6F6}"/>
    <cellStyle name="40% - Accent5 2 2 3 3 2" xfId="10686" xr:uid="{2C94F609-3A77-4077-8166-F094C2DF749C}"/>
    <cellStyle name="40% - Accent5 2 2 3 4" xfId="8309" xr:uid="{150D4EA3-BAD9-4246-9DF7-6AEA623332EB}"/>
    <cellStyle name="40% - Accent5 2 2 4" xfId="1478" xr:uid="{4D31DD55-D0E6-4C43-B7DC-AF0AA90C4AE7}"/>
    <cellStyle name="40% - Accent5 2 2 4 2" xfId="5242" xr:uid="{4BADC9D2-1348-401B-8CF0-F6E22BA800DF}"/>
    <cellStyle name="40% - Accent5 2 2 4 2 2" xfId="10688" xr:uid="{F3925255-5378-43BF-86D9-A2268A3A20AE}"/>
    <cellStyle name="40% - Accent5 2 2 4 3" xfId="8311" xr:uid="{16D27FA2-E724-4433-8F0B-003BDB9E9CAB}"/>
    <cellStyle name="40% - Accent5 2 2 5" xfId="5235" xr:uid="{93F825AC-5F2D-4F35-9C25-BBA31C02DF0A}"/>
    <cellStyle name="40% - Accent5 2 2 5 2" xfId="10681" xr:uid="{828F983D-0DDE-41F2-9988-2779F85ADDEB}"/>
    <cellStyle name="40% - Accent5 2 2 6" xfId="8304" xr:uid="{39D4FC01-5781-427A-822F-7BC3BBC651D9}"/>
    <cellStyle name="40% - Accent5 2 3" xfId="1479" xr:uid="{4AA8F1E0-C663-4101-B951-3A8A7C90B50D}"/>
    <cellStyle name="40% - Accent5 2 3 2" xfId="1480" xr:uid="{A2C104C1-BC3B-4F96-8B6B-9B09945372CC}"/>
    <cellStyle name="40% - Accent5 2 3 2 2" xfId="1481" xr:uid="{6773D836-DF85-4618-8E59-598F0E2510C4}"/>
    <cellStyle name="40% - Accent5 2 3 2 2 2" xfId="1482" xr:uid="{0CA540DF-C563-49DE-A05E-6A9EFA36B115}"/>
    <cellStyle name="40% - Accent5 2 3 2 2 2 2" xfId="5246" xr:uid="{6CFF6F7E-AFB5-4B53-825E-2D3263105B5C}"/>
    <cellStyle name="40% - Accent5 2 3 2 2 2 2 2" xfId="10692" xr:uid="{A9EA84F6-5119-464D-963B-048A90018D20}"/>
    <cellStyle name="40% - Accent5 2 3 2 2 2 3" xfId="8315" xr:uid="{707D8A27-EF05-48FC-A47C-0A541BF962D4}"/>
    <cellStyle name="40% - Accent5 2 3 2 2 3" xfId="5245" xr:uid="{2A1610DA-0920-4262-869D-ABAD5C783BAF}"/>
    <cellStyle name="40% - Accent5 2 3 2 2 3 2" xfId="10691" xr:uid="{27C554C0-6EF8-42DB-A2FC-8D696A3101B1}"/>
    <cellStyle name="40% - Accent5 2 3 2 2 4" xfId="8314" xr:uid="{73E06146-7085-4A32-9DA9-C15555A41CA8}"/>
    <cellStyle name="40% - Accent5 2 3 2 3" xfId="1483" xr:uid="{00601799-86B2-46FB-AFC1-DCA3C828FF9D}"/>
    <cellStyle name="40% - Accent5 2 3 2 3 2" xfId="5247" xr:uid="{D5B1052B-CBCF-48CD-8D5E-C3772D510C59}"/>
    <cellStyle name="40% - Accent5 2 3 2 3 2 2" xfId="10693" xr:uid="{D52B148E-8400-431D-B4AF-8C7BBEB9B8B2}"/>
    <cellStyle name="40% - Accent5 2 3 2 3 3" xfId="8316" xr:uid="{CEDF26FA-8F99-4CAE-90EE-55C7A57FB899}"/>
    <cellStyle name="40% - Accent5 2 3 2 4" xfId="5244" xr:uid="{EC11B147-5974-4AF8-8CDA-34195F0B28BC}"/>
    <cellStyle name="40% - Accent5 2 3 2 4 2" xfId="10690" xr:uid="{F8BAB0F2-EF5F-4A8C-8B2C-2505912DB84B}"/>
    <cellStyle name="40% - Accent5 2 3 2 5" xfId="8313" xr:uid="{A0DB2141-9582-46CF-B9E5-CCB04DE83759}"/>
    <cellStyle name="40% - Accent5 2 3 3" xfId="1484" xr:uid="{7C0F7F99-4EDB-4C06-A659-48C2479BCBEC}"/>
    <cellStyle name="40% - Accent5 2 3 3 2" xfId="1485" xr:uid="{51944BC4-4178-40F5-817C-BB007D8F95AB}"/>
    <cellStyle name="40% - Accent5 2 3 3 2 2" xfId="5249" xr:uid="{3E8E306A-1F1C-4576-8AA3-2A32E22720B9}"/>
    <cellStyle name="40% - Accent5 2 3 3 2 2 2" xfId="10695" xr:uid="{E423956C-F179-427C-B262-9C635A62D502}"/>
    <cellStyle name="40% - Accent5 2 3 3 2 3" xfId="8318" xr:uid="{654FE01F-C25A-4F65-B8E7-AC0162C62343}"/>
    <cellStyle name="40% - Accent5 2 3 3 3" xfId="5248" xr:uid="{B31B1C6D-D144-4B54-8274-5ADBE53FF4F8}"/>
    <cellStyle name="40% - Accent5 2 3 3 3 2" xfId="10694" xr:uid="{6F5F02F4-34B8-41B7-852C-9645F924DD34}"/>
    <cellStyle name="40% - Accent5 2 3 3 4" xfId="8317" xr:uid="{FB8383F1-5192-46DC-9632-A31BFEA2009F}"/>
    <cellStyle name="40% - Accent5 2 3 4" xfId="1486" xr:uid="{A66802F1-05BE-4BDE-AA12-D972CFBA33A6}"/>
    <cellStyle name="40% - Accent5 2 3 4 2" xfId="5250" xr:uid="{A03CE373-FB36-4022-BFF7-7EF779F29FAB}"/>
    <cellStyle name="40% - Accent5 2 3 4 2 2" xfId="10696" xr:uid="{183992E7-6B1B-440A-926D-6E5C5738EFE1}"/>
    <cellStyle name="40% - Accent5 2 3 4 3" xfId="8319" xr:uid="{0B89C35F-2CA3-47D7-9098-0ED76F74145A}"/>
    <cellStyle name="40% - Accent5 2 3 5" xfId="3399" xr:uid="{989A7C0B-7815-4BD7-B528-5CF50E336F8D}"/>
    <cellStyle name="40% - Accent5 2 3 5 2" xfId="5888" xr:uid="{2C9E83E6-4AD3-4876-A357-99BDC0F5D1C7}"/>
    <cellStyle name="40% - Accent5 2 3 5 2 2" xfId="11330" xr:uid="{9949EBE1-8691-43BE-8F16-93AC2E6EE6B4}"/>
    <cellStyle name="40% - Accent5 2 3 5 3" xfId="8946" xr:uid="{2C58D983-2C55-480B-905B-7767D12E899B}"/>
    <cellStyle name="40% - Accent5 2 3 6" xfId="2094" xr:uid="{88FC49EA-7AE4-47F6-B8F1-E38C3B13FAA7}"/>
    <cellStyle name="40% - Accent5 2 3 7" xfId="5243" xr:uid="{3B83A036-3290-442F-ABC2-0C7FEF71BED2}"/>
    <cellStyle name="40% - Accent5 2 3 7 2" xfId="10689" xr:uid="{F8494C57-D69E-4495-8070-07552FC5C28B}"/>
    <cellStyle name="40% - Accent5 2 3 8" xfId="8312" xr:uid="{4D72955B-BEB0-4B6B-9E3D-F17A2531E235}"/>
    <cellStyle name="40% - Accent5 2 4" xfId="1487" xr:uid="{9311F7BF-3F5E-457C-9873-6219B3376683}"/>
    <cellStyle name="40% - Accent5 2 4 2" xfId="1488" xr:uid="{21537377-0214-42BC-B11B-47DFF8E9B20B}"/>
    <cellStyle name="40% - Accent5 2 4 2 2" xfId="1489" xr:uid="{33E8E0D5-19EF-4190-914D-D2C6C41A4FB6}"/>
    <cellStyle name="40% - Accent5 2 4 2 2 2" xfId="5253" xr:uid="{42355F52-7086-42DF-B6B9-942C6E0665DC}"/>
    <cellStyle name="40% - Accent5 2 4 2 2 2 2" xfId="10699" xr:uid="{717823F1-2F80-4A47-A416-515E988582DC}"/>
    <cellStyle name="40% - Accent5 2 4 2 2 3" xfId="8322" xr:uid="{E83FFC04-A1AF-433E-9468-E50CD8495E00}"/>
    <cellStyle name="40% - Accent5 2 4 2 3" xfId="5252" xr:uid="{361ECA40-234B-42DF-BB64-CADDFB6FD852}"/>
    <cellStyle name="40% - Accent5 2 4 2 3 2" xfId="10698" xr:uid="{66CFE5B8-A693-4144-ADA3-513C13143F89}"/>
    <cellStyle name="40% - Accent5 2 4 2 4" xfId="8321" xr:uid="{051636EF-97FA-48EF-9C76-0AE864C8D790}"/>
    <cellStyle name="40% - Accent5 2 4 3" xfId="1490" xr:uid="{36713449-6B6B-47B6-9840-5DA489905CF8}"/>
    <cellStyle name="40% - Accent5 2 4 3 2" xfId="5254" xr:uid="{9A5728C5-49E0-4718-8AEB-35C23451AD6B}"/>
    <cellStyle name="40% - Accent5 2 4 3 2 2" xfId="10700" xr:uid="{D0D40AF5-F1B7-4D21-BB68-D274425486DD}"/>
    <cellStyle name="40% - Accent5 2 4 3 3" xfId="8323" xr:uid="{45685B26-88BB-4C81-9D69-36568E90D94F}"/>
    <cellStyle name="40% - Accent5 2 4 4" xfId="3400" xr:uid="{1AC35565-24AC-4D86-9864-D01EA1363C88}"/>
    <cellStyle name="40% - Accent5 2 4 4 2" xfId="5889" xr:uid="{27463E57-76AE-425B-8F12-4E06F81B72B2}"/>
    <cellStyle name="40% - Accent5 2 4 4 2 2" xfId="11331" xr:uid="{97415CC0-3F6F-4A29-8AE1-10D7EAB30EA7}"/>
    <cellStyle name="40% - Accent5 2 4 4 3" xfId="8947" xr:uid="{EB97E6F9-F8F4-4B66-A396-711C28126265}"/>
    <cellStyle name="40% - Accent5 2 4 5" xfId="2093" xr:uid="{C43AA565-7437-4647-A344-138657B98D8E}"/>
    <cellStyle name="40% - Accent5 2 4 6" xfId="5251" xr:uid="{E3291138-DF86-42D5-83E9-3882C832E29D}"/>
    <cellStyle name="40% - Accent5 2 4 6 2" xfId="10697" xr:uid="{68576F9A-B166-4F82-BBC7-F67BD90D1CBD}"/>
    <cellStyle name="40% - Accent5 2 4 7" xfId="8320" xr:uid="{00E8B5DF-CD32-4214-8134-1057B38863F7}"/>
    <cellStyle name="40% - Accent5 2 5" xfId="1491" xr:uid="{08271F8E-5E0A-41CC-B5AB-EDA77048868D}"/>
    <cellStyle name="40% - Accent5 2 5 2" xfId="1492" xr:uid="{596BA150-D33E-4EF8-A95C-DF758561A62A}"/>
    <cellStyle name="40% - Accent5 2 5 2 2" xfId="5256" xr:uid="{EB4D8AE3-6133-43FB-95DF-37F40AC76268}"/>
    <cellStyle name="40% - Accent5 2 5 2 2 2" xfId="10702" xr:uid="{D953B239-94C4-44AB-B0CB-F34F36ABF01A}"/>
    <cellStyle name="40% - Accent5 2 5 2 3" xfId="8325" xr:uid="{B23C187C-BCD3-4AD8-AE08-DFB100EC4412}"/>
    <cellStyle name="40% - Accent5 2 5 3" xfId="5255" xr:uid="{E8EF1E51-606F-453F-B364-BF7A0ECF76FB}"/>
    <cellStyle name="40% - Accent5 2 5 3 2" xfId="10701" xr:uid="{8D4A0A70-7699-4121-A10D-71D0BF9F506F}"/>
    <cellStyle name="40% - Accent5 2 5 4" xfId="8324" xr:uid="{B48F0F89-0A97-4FCE-AFF7-C432D15E3A0D}"/>
    <cellStyle name="40% - Accent5 2 6" xfId="1493" xr:uid="{46177CA2-3EA6-40C7-848B-857223A40952}"/>
    <cellStyle name="40% - Accent5 2 6 2" xfId="5257" xr:uid="{67E05EDA-3F1C-45E4-B4ED-972B648CBF40}"/>
    <cellStyle name="40% - Accent5 2 6 2 2" xfId="10703" xr:uid="{57BB04F0-FC38-4A84-A978-0EE563B82E8D}"/>
    <cellStyle name="40% - Accent5 2 6 3" xfId="8326" xr:uid="{840A9AB2-5EEE-4661-A645-E3B6C3845B07}"/>
    <cellStyle name="40% - Accent5 2 7" xfId="1494" xr:uid="{C1EA5685-94A5-4E11-BF84-2A8BB8DD38E0}"/>
    <cellStyle name="40% - Accent5 2 8" xfId="4206" xr:uid="{2CDB0635-3787-4DEF-A3D0-C726F1F7E044}"/>
    <cellStyle name="40% - Accent5 2 8 2" xfId="9652" xr:uid="{EE4EABA4-9DD9-4D95-B7FB-B88CF547CDAA}"/>
    <cellStyle name="40% - Accent5 2 9" xfId="7274" xr:uid="{26E1DE3E-F028-4E82-804C-6FF5176D6849}"/>
    <cellStyle name="40% - Accent5 3" xfId="1495" xr:uid="{A5F29316-393C-4C80-BAB2-526A6FC4359F}"/>
    <cellStyle name="40% - Accent5 3 2" xfId="1496" xr:uid="{92077B14-2B05-4ADB-9281-B2E0523B13D4}"/>
    <cellStyle name="40% - Accent5 3 2 2" xfId="1497" xr:uid="{08A748A5-85CB-45E4-80CF-C828C8CEA743}"/>
    <cellStyle name="40% - Accent5 3 2 2 2" xfId="1498" xr:uid="{8DE82EB6-21AD-46E0-BCC0-746F0DD74888}"/>
    <cellStyle name="40% - Accent5 3 2 2 2 2" xfId="1499" xr:uid="{AC1F7309-AE4B-4AE1-8D4A-28B9EC2D5924}"/>
    <cellStyle name="40% - Accent5 3 2 2 2 2 2" xfId="5262" xr:uid="{5DB4B911-A2F8-41F6-91C4-FD5F6AE40A63}"/>
    <cellStyle name="40% - Accent5 3 2 2 2 2 2 2" xfId="10708" xr:uid="{D98BC683-1EA5-481A-9E55-29E8A35E684C}"/>
    <cellStyle name="40% - Accent5 3 2 2 2 2 3" xfId="8331" xr:uid="{81390ABF-2FC8-4ED9-8455-1185485F8E8F}"/>
    <cellStyle name="40% - Accent5 3 2 2 2 3" xfId="5261" xr:uid="{10E74DF5-3983-40EF-B46D-A35F9159FC9E}"/>
    <cellStyle name="40% - Accent5 3 2 2 2 3 2" xfId="10707" xr:uid="{FA8743DA-C63F-4DF9-B5C0-F2A662CCDEB5}"/>
    <cellStyle name="40% - Accent5 3 2 2 2 4" xfId="8330" xr:uid="{89E56CA8-06C8-45B4-8962-992C9ADF3048}"/>
    <cellStyle name="40% - Accent5 3 2 2 3" xfId="1500" xr:uid="{0D621AB4-7D92-4315-9658-A67A5596B7E9}"/>
    <cellStyle name="40% - Accent5 3 2 2 3 2" xfId="5263" xr:uid="{79D5C0F4-6347-40EC-AC56-F5AE5F859E65}"/>
    <cellStyle name="40% - Accent5 3 2 2 3 2 2" xfId="10709" xr:uid="{C9388227-2BCE-4A7A-96A3-C673237E8B15}"/>
    <cellStyle name="40% - Accent5 3 2 2 3 3" xfId="8332" xr:uid="{37CDB8CC-0073-4363-A7DF-6B1B3BB94180}"/>
    <cellStyle name="40% - Accent5 3 2 2 4" xfId="5260" xr:uid="{32CFDF6D-6808-49A3-9830-5EEEAD2BE2C2}"/>
    <cellStyle name="40% - Accent5 3 2 2 4 2" xfId="10706" xr:uid="{AF45328F-9DB7-457E-8A00-1AFCA16BDD07}"/>
    <cellStyle name="40% - Accent5 3 2 2 5" xfId="8329" xr:uid="{1B59D2E7-69B5-46DE-AFEE-9013367DBF0F}"/>
    <cellStyle name="40% - Accent5 3 2 3" xfId="1501" xr:uid="{905A615A-7DA8-44E7-9A14-B5052702BCED}"/>
    <cellStyle name="40% - Accent5 3 2 3 2" xfId="1502" xr:uid="{9C8A23AB-BBB2-4EC0-9A0C-2B011652D6F2}"/>
    <cellStyle name="40% - Accent5 3 2 3 2 2" xfId="5265" xr:uid="{665530FA-6AAE-422F-ABBF-FAAD79892CDB}"/>
    <cellStyle name="40% - Accent5 3 2 3 2 2 2" xfId="10711" xr:uid="{784D4EEC-5946-471E-9CEB-FA1CC43B56BB}"/>
    <cellStyle name="40% - Accent5 3 2 3 2 3" xfId="8334" xr:uid="{146854F4-A8C3-4239-9757-34FC865CE39C}"/>
    <cellStyle name="40% - Accent5 3 2 3 3" xfId="5264" xr:uid="{C2CDE854-2997-4CB4-9D63-B61726E1AEA2}"/>
    <cellStyle name="40% - Accent5 3 2 3 3 2" xfId="10710" xr:uid="{2C3695D4-43AB-4609-85E9-81BB78C229EF}"/>
    <cellStyle name="40% - Accent5 3 2 3 4" xfId="8333" xr:uid="{B244CE7D-5382-4BE4-960E-D6B5E860A350}"/>
    <cellStyle name="40% - Accent5 3 2 4" xfId="1503" xr:uid="{7359CE0C-5602-4A23-8295-1EE01EB0C8E6}"/>
    <cellStyle name="40% - Accent5 3 2 4 2" xfId="5266" xr:uid="{00043D57-4564-4C86-B3A3-D70C0349FEEF}"/>
    <cellStyle name="40% - Accent5 3 2 4 2 2" xfId="10712" xr:uid="{6C8D63A2-F86B-45DF-9E74-C5F10AFC5792}"/>
    <cellStyle name="40% - Accent5 3 2 4 3" xfId="8335" xr:uid="{4B062373-B32D-4A11-9C02-08096F173C14}"/>
    <cellStyle name="40% - Accent5 3 2 5" xfId="3401" xr:uid="{DAED3761-2BE8-4671-ADE3-3782F44D9029}"/>
    <cellStyle name="40% - Accent5 3 2 5 2" xfId="5890" xr:uid="{97072AB5-8DF9-4156-8F31-E8512AE5B7AE}"/>
    <cellStyle name="40% - Accent5 3 2 5 2 2" xfId="11332" xr:uid="{A76B7820-E5E6-4DFD-9C28-6A93058EFC6E}"/>
    <cellStyle name="40% - Accent5 3 2 5 3" xfId="8948" xr:uid="{99B518E9-892D-4C44-B0D8-6E35C97AD391}"/>
    <cellStyle name="40% - Accent5 3 2 6" xfId="2095" xr:uid="{E06A7F83-A117-44A5-9E2A-A53AD1AA4585}"/>
    <cellStyle name="40% - Accent5 3 2 7" xfId="5259" xr:uid="{AA91AD5B-161A-4D32-BEF2-1749D4D17BEE}"/>
    <cellStyle name="40% - Accent5 3 2 7 2" xfId="10705" xr:uid="{53AD3491-D8A5-4DAC-BF52-CA4B400D47C6}"/>
    <cellStyle name="40% - Accent5 3 2 8" xfId="8328" xr:uid="{55AC53C8-5018-45B2-81B5-96C295896EC4}"/>
    <cellStyle name="40% - Accent5 3 3" xfId="1504" xr:uid="{C1F89774-BA2D-4432-A8C0-3C4E5A864ED0}"/>
    <cellStyle name="40% - Accent5 3 3 2" xfId="1505" xr:uid="{908D5308-DCBF-41A5-AD61-4C0C52B7DC77}"/>
    <cellStyle name="40% - Accent5 3 3 2 2" xfId="1506" xr:uid="{3C9EA11D-642F-4401-8900-49F71BF2772B}"/>
    <cellStyle name="40% - Accent5 3 3 2 2 2" xfId="1507" xr:uid="{02A414FB-F0C2-4B79-A34E-26F59F301AFC}"/>
    <cellStyle name="40% - Accent5 3 3 2 2 2 2" xfId="5270" xr:uid="{E6860C55-6431-440D-80CB-983D99625AE1}"/>
    <cellStyle name="40% - Accent5 3 3 2 2 2 2 2" xfId="10716" xr:uid="{75C70E8A-16C7-4F61-8A66-72E7CF595476}"/>
    <cellStyle name="40% - Accent5 3 3 2 2 2 3" xfId="8339" xr:uid="{70A7D4EF-3494-41C3-A1D9-20E4DAF6BD5B}"/>
    <cellStyle name="40% - Accent5 3 3 2 2 3" xfId="5269" xr:uid="{C6FFDB63-3ECA-41E8-A41B-D2A6C9F748D1}"/>
    <cellStyle name="40% - Accent5 3 3 2 2 3 2" xfId="10715" xr:uid="{9593EBBC-A357-49B1-AEB5-12ABE61D0B76}"/>
    <cellStyle name="40% - Accent5 3 3 2 2 4" xfId="8338" xr:uid="{CC7EC3DE-AE58-4F95-A910-156BB93DFE88}"/>
    <cellStyle name="40% - Accent5 3 3 2 3" xfId="1508" xr:uid="{E2392746-836A-4980-8E32-BD90B84B35C2}"/>
    <cellStyle name="40% - Accent5 3 3 2 3 2" xfId="5271" xr:uid="{12804CBB-46DF-4B6F-B60B-B73B5EBB3A17}"/>
    <cellStyle name="40% - Accent5 3 3 2 3 2 2" xfId="10717" xr:uid="{FB6E1AFC-8F01-48EC-A124-EF004A51CE51}"/>
    <cellStyle name="40% - Accent5 3 3 2 3 3" xfId="8340" xr:uid="{776FAA81-7EEB-4D4D-8598-0AAFB3762707}"/>
    <cellStyle name="40% - Accent5 3 3 2 4" xfId="5268" xr:uid="{1474B0A2-8459-43E7-B61E-701139483BCA}"/>
    <cellStyle name="40% - Accent5 3 3 2 4 2" xfId="10714" xr:uid="{F2BB0B1F-80B2-4DB7-B267-6848B324F279}"/>
    <cellStyle name="40% - Accent5 3 3 2 5" xfId="8337" xr:uid="{755FBB9C-8CB7-4FDC-BC01-0165F65AA00E}"/>
    <cellStyle name="40% - Accent5 3 3 3" xfId="1509" xr:uid="{FAEB422F-8A68-4D98-B24F-51A788050411}"/>
    <cellStyle name="40% - Accent5 3 3 3 2" xfId="1510" xr:uid="{BFE49574-F5F2-4B37-A5DD-73200C486CCD}"/>
    <cellStyle name="40% - Accent5 3 3 3 2 2" xfId="5273" xr:uid="{DD6959B9-90A7-42FF-A369-92782AD3E275}"/>
    <cellStyle name="40% - Accent5 3 3 3 2 2 2" xfId="10719" xr:uid="{70EE151F-DD2A-42CA-8A6A-C2E30C862D26}"/>
    <cellStyle name="40% - Accent5 3 3 3 2 3" xfId="8342" xr:uid="{6A941146-0B15-4C8C-B0F5-858DBEAF52D4}"/>
    <cellStyle name="40% - Accent5 3 3 3 3" xfId="5272" xr:uid="{91677337-EDD8-4AD4-A36B-7935427AD092}"/>
    <cellStyle name="40% - Accent5 3 3 3 3 2" xfId="10718" xr:uid="{A6513769-56AD-491D-BDDB-A1336F4453C4}"/>
    <cellStyle name="40% - Accent5 3 3 3 4" xfId="8341" xr:uid="{E145FABF-CBAE-46AE-8053-752D4B16CD87}"/>
    <cellStyle name="40% - Accent5 3 3 4" xfId="1511" xr:uid="{B49B5CFF-02B1-4D1C-AA15-21164DB7415D}"/>
    <cellStyle name="40% - Accent5 3 3 4 2" xfId="5274" xr:uid="{6FE66EFE-698F-4919-A81C-5D8B43B1C0FF}"/>
    <cellStyle name="40% - Accent5 3 3 4 2 2" xfId="10720" xr:uid="{BB586205-34A8-4330-829D-C4DF538D0759}"/>
    <cellStyle name="40% - Accent5 3 3 4 3" xfId="8343" xr:uid="{6BF22DD3-68E1-4ED5-9DE7-ABB870E04E0A}"/>
    <cellStyle name="40% - Accent5 3 3 5" xfId="5267" xr:uid="{9AA73B0F-A6FC-4CA6-8B2C-B8A1DD5E4C72}"/>
    <cellStyle name="40% - Accent5 3 3 5 2" xfId="10713" xr:uid="{C681B714-D717-445D-A6EE-D9DE933DE9B5}"/>
    <cellStyle name="40% - Accent5 3 3 6" xfId="8336" xr:uid="{1F268B2B-F9AB-4E8D-BA7C-25AB1AA1406A}"/>
    <cellStyle name="40% - Accent5 3 4" xfId="1512" xr:uid="{1717D38F-845F-42D8-BD8F-1EB4D1648D9D}"/>
    <cellStyle name="40% - Accent5 3 4 2" xfId="1513" xr:uid="{78F66DAB-6A21-47F3-A3E8-050A082B1F94}"/>
    <cellStyle name="40% - Accent5 3 4 2 2" xfId="1514" xr:uid="{34ECF0BD-1A0D-4093-98EE-7549D42C1CFA}"/>
    <cellStyle name="40% - Accent5 3 4 2 2 2" xfId="5277" xr:uid="{633B5612-8155-4CBA-A15F-366AA34D71E1}"/>
    <cellStyle name="40% - Accent5 3 4 2 2 2 2" xfId="10723" xr:uid="{03FB2363-56AE-44A1-A2B0-896E56E3BE42}"/>
    <cellStyle name="40% - Accent5 3 4 2 2 3" xfId="8346" xr:uid="{2AD6BDEC-F1E0-41DF-97D0-0B0249199E3E}"/>
    <cellStyle name="40% - Accent5 3 4 2 3" xfId="5276" xr:uid="{8A380FFD-A878-4DAB-833F-AC401B4917FA}"/>
    <cellStyle name="40% - Accent5 3 4 2 3 2" xfId="10722" xr:uid="{D8E51255-7841-4601-BC46-03C462D62712}"/>
    <cellStyle name="40% - Accent5 3 4 2 4" xfId="8345" xr:uid="{12804B17-4305-4E53-AA9A-DD446A194247}"/>
    <cellStyle name="40% - Accent5 3 4 3" xfId="1515" xr:uid="{CC2BF0B1-17F9-47AD-9C94-241074D35076}"/>
    <cellStyle name="40% - Accent5 3 4 3 2" xfId="5278" xr:uid="{18FBF2F4-6356-4B56-8AA5-CD546BE289E4}"/>
    <cellStyle name="40% - Accent5 3 4 3 2 2" xfId="10724" xr:uid="{3EFF62B1-9C46-42C4-9C8A-AD61805FC27A}"/>
    <cellStyle name="40% - Accent5 3 4 3 3" xfId="8347" xr:uid="{29E0A5D1-860E-4036-9525-845857E3ECAD}"/>
    <cellStyle name="40% - Accent5 3 4 4" xfId="5275" xr:uid="{4B927D66-712E-442A-B3D7-D047A9FE975D}"/>
    <cellStyle name="40% - Accent5 3 4 4 2" xfId="10721" xr:uid="{26B27CE0-8AF8-40B7-9016-E62976887112}"/>
    <cellStyle name="40% - Accent5 3 4 5" xfId="8344" xr:uid="{D0DB276A-94FC-4208-B834-EFA37E88609C}"/>
    <cellStyle name="40% - Accent5 3 5" xfId="1516" xr:uid="{F598AE17-A346-40C2-A98F-DFFDA062F32C}"/>
    <cellStyle name="40% - Accent5 3 5 2" xfId="1517" xr:uid="{E46F7F62-DD6B-4955-A27A-FAEFF21C5161}"/>
    <cellStyle name="40% - Accent5 3 5 2 2" xfId="5280" xr:uid="{F1BDBFA8-2FBA-44C8-A2E3-458FC20211C2}"/>
    <cellStyle name="40% - Accent5 3 5 2 2 2" xfId="10726" xr:uid="{9C1B591E-6513-4062-8F6D-6895B44DC39D}"/>
    <cellStyle name="40% - Accent5 3 5 2 3" xfId="8349" xr:uid="{9B364D55-B2EF-4EC1-A30F-D3E4B92A3A42}"/>
    <cellStyle name="40% - Accent5 3 5 3" xfId="5279" xr:uid="{DA23E4CB-BF29-4E36-9859-8CF0137E0C1A}"/>
    <cellStyle name="40% - Accent5 3 5 3 2" xfId="10725" xr:uid="{88F71681-42A9-46D7-A574-4996E6F947EB}"/>
    <cellStyle name="40% - Accent5 3 5 4" xfId="8348" xr:uid="{3F55F617-D249-4975-BCB4-19BAEF310490}"/>
    <cellStyle name="40% - Accent5 3 6" xfId="1518" xr:uid="{F94B6C71-087B-406B-B05A-72DEEC39C9F0}"/>
    <cellStyle name="40% - Accent5 3 6 2" xfId="5281" xr:uid="{A99D2363-063E-4301-89CC-7728905ABCDD}"/>
    <cellStyle name="40% - Accent5 3 6 2 2" xfId="10727" xr:uid="{0A087250-C72A-4002-A6CA-B4E295F6AC93}"/>
    <cellStyle name="40% - Accent5 3 6 3" xfId="8350" xr:uid="{6B98B348-EB46-4AA6-84F7-7D86136F8D42}"/>
    <cellStyle name="40% - Accent5 3 7" xfId="5258" xr:uid="{8DD84B99-B3C3-412B-90C7-C76A78476AA5}"/>
    <cellStyle name="40% - Accent5 3 7 2" xfId="10704" xr:uid="{D17BDA40-5001-47BC-B519-DC9F7AB9BE4E}"/>
    <cellStyle name="40% - Accent5 3 8" xfId="8327" xr:uid="{60F91E95-94A8-41E8-8ADE-55C8BAF44D96}"/>
    <cellStyle name="40% - Accent5 4" xfId="1519" xr:uid="{C844871F-48B5-45E4-9127-AF97426CDFEF}"/>
    <cellStyle name="40% - Accent5 4 2" xfId="1520" xr:uid="{9F22227E-78D1-40B5-868E-61F5736007C7}"/>
    <cellStyle name="40% - Accent5 4 2 2" xfId="1521" xr:uid="{F3F0EC7C-A430-48D4-BBD0-9B730D76DEA9}"/>
    <cellStyle name="40% - Accent5 4 2 2 2" xfId="1522" xr:uid="{B60348BC-9014-4ECB-AD9B-2414169A27F7}"/>
    <cellStyle name="40% - Accent5 4 2 2 2 2" xfId="1523" xr:uid="{9B30F89C-B67E-49B0-9EA1-E9FAA8F0D682}"/>
    <cellStyle name="40% - Accent5 4 2 2 2 2 2" xfId="5286" xr:uid="{04229143-1110-4EE1-B792-271FE7AEEDC2}"/>
    <cellStyle name="40% - Accent5 4 2 2 2 2 2 2" xfId="10732" xr:uid="{F2433B44-3303-43C2-A6A9-FE52D65CEDB3}"/>
    <cellStyle name="40% - Accent5 4 2 2 2 2 3" xfId="8355" xr:uid="{3550F382-049C-46C7-BA35-6EACA73E573D}"/>
    <cellStyle name="40% - Accent5 4 2 2 2 3" xfId="5285" xr:uid="{67E6BC00-D5A8-4429-8ED4-D4CBB8C60D7B}"/>
    <cellStyle name="40% - Accent5 4 2 2 2 3 2" xfId="10731" xr:uid="{B93EF7D4-1D16-476A-BACA-265F0F65F964}"/>
    <cellStyle name="40% - Accent5 4 2 2 2 4" xfId="8354" xr:uid="{82E05773-201B-4E1D-9DD2-D561D08E7CBF}"/>
    <cellStyle name="40% - Accent5 4 2 2 3" xfId="1524" xr:uid="{0D7DCB92-9564-4931-91DC-9FFA58DA925F}"/>
    <cellStyle name="40% - Accent5 4 2 2 3 2" xfId="5287" xr:uid="{733F191B-0755-4811-9D33-A9F32B4282C6}"/>
    <cellStyle name="40% - Accent5 4 2 2 3 2 2" xfId="10733" xr:uid="{3D4606C1-2A6B-49E6-BF59-18B886C845AF}"/>
    <cellStyle name="40% - Accent5 4 2 2 3 3" xfId="8356" xr:uid="{3796E48F-2B54-44E8-9834-6610631110B9}"/>
    <cellStyle name="40% - Accent5 4 2 2 4" xfId="5284" xr:uid="{276FDCFB-52E9-45C0-B119-ACB6949B900E}"/>
    <cellStyle name="40% - Accent5 4 2 2 4 2" xfId="10730" xr:uid="{435AB3A7-0218-43D1-90C9-2D73697EE595}"/>
    <cellStyle name="40% - Accent5 4 2 2 5" xfId="8353" xr:uid="{113C3158-1CF2-400A-89C7-2EC4648CBD25}"/>
    <cellStyle name="40% - Accent5 4 2 3" xfId="1525" xr:uid="{6EDD9156-0424-48B0-B320-58A8E65E25B1}"/>
    <cellStyle name="40% - Accent5 4 2 3 2" xfId="1526" xr:uid="{DB6D129B-3448-4E24-BA7A-7B6A65B80CB8}"/>
    <cellStyle name="40% - Accent5 4 2 3 2 2" xfId="5289" xr:uid="{34764A76-F49A-4818-AA37-D7CE764CCA01}"/>
    <cellStyle name="40% - Accent5 4 2 3 2 2 2" xfId="10735" xr:uid="{B3E09532-7AF7-4004-98C8-B53938F23A4C}"/>
    <cellStyle name="40% - Accent5 4 2 3 2 3" xfId="8358" xr:uid="{5007E3D4-DD1A-4408-8A80-C76967F580AE}"/>
    <cellStyle name="40% - Accent5 4 2 3 3" xfId="5288" xr:uid="{AE222FE8-D6A7-466E-A27F-7F555624C2CB}"/>
    <cellStyle name="40% - Accent5 4 2 3 3 2" xfId="10734" xr:uid="{68BED8F9-C356-4A07-8B37-221FF3D77D9A}"/>
    <cellStyle name="40% - Accent5 4 2 3 4" xfId="8357" xr:uid="{EE0B5FD8-26AC-4999-A35E-04C06ACBC142}"/>
    <cellStyle name="40% - Accent5 4 2 4" xfId="1527" xr:uid="{ADCB2D03-A3AE-4802-8334-8CD93CD1BAD1}"/>
    <cellStyle name="40% - Accent5 4 2 4 2" xfId="5290" xr:uid="{6E85D330-6451-45B2-B72C-34838738D693}"/>
    <cellStyle name="40% - Accent5 4 2 4 2 2" xfId="10736" xr:uid="{945F7887-7C4C-4F78-9598-A6B67544D32D}"/>
    <cellStyle name="40% - Accent5 4 2 4 3" xfId="8359" xr:uid="{69ED75E1-680B-4FAC-9A01-8EEBE378D5A4}"/>
    <cellStyle name="40% - Accent5 4 2 5" xfId="5283" xr:uid="{C0E46394-F32F-49F4-B4EE-0D31C19BAC23}"/>
    <cellStyle name="40% - Accent5 4 2 5 2" xfId="10729" xr:uid="{740791E9-807E-46E2-9948-8B21B61BA423}"/>
    <cellStyle name="40% - Accent5 4 2 6" xfId="8352" xr:uid="{5EF33733-2A44-42F7-B51D-C6729420201E}"/>
    <cellStyle name="40% - Accent5 4 3" xfId="1528" xr:uid="{5788F594-D95F-4281-BDBE-84CA995968BA}"/>
    <cellStyle name="40% - Accent5 4 3 2" xfId="1529" xr:uid="{E6CF86B1-EAAA-432A-9929-A3AEB4605E26}"/>
    <cellStyle name="40% - Accent5 4 3 2 2" xfId="1530" xr:uid="{058C80A1-94FA-4E6B-B114-286A570BA9CB}"/>
    <cellStyle name="40% - Accent5 4 3 2 2 2" xfId="1531" xr:uid="{BA2B8BA2-2BE0-4272-83D9-8302B8A4BAC0}"/>
    <cellStyle name="40% - Accent5 4 3 2 2 2 2" xfId="5294" xr:uid="{0E8FBC26-FF81-407F-B30F-E6942B8D416E}"/>
    <cellStyle name="40% - Accent5 4 3 2 2 2 2 2" xfId="10740" xr:uid="{8A7EDCE8-0854-4D77-A557-E89C5950F6EC}"/>
    <cellStyle name="40% - Accent5 4 3 2 2 2 3" xfId="8363" xr:uid="{739727E6-4C5F-489B-B091-851895B0B623}"/>
    <cellStyle name="40% - Accent5 4 3 2 2 3" xfId="5293" xr:uid="{7792DEA9-0DFD-4CAC-8EC6-200CFE9F28C4}"/>
    <cellStyle name="40% - Accent5 4 3 2 2 3 2" xfId="10739" xr:uid="{69C6D790-4550-46D8-B6CE-34C331E78850}"/>
    <cellStyle name="40% - Accent5 4 3 2 2 4" xfId="8362" xr:uid="{5C00BE37-6366-47B3-BBC6-BCC81F8C3D6A}"/>
    <cellStyle name="40% - Accent5 4 3 2 3" xfId="1532" xr:uid="{38C0FE38-64AD-4CFC-9467-7E8E56FFBCC2}"/>
    <cellStyle name="40% - Accent5 4 3 2 3 2" xfId="5295" xr:uid="{07E7DD82-2307-454F-A6A5-28788A91D0A7}"/>
    <cellStyle name="40% - Accent5 4 3 2 3 2 2" xfId="10741" xr:uid="{CBC4BA4C-FD60-47A4-838C-D561461F09C8}"/>
    <cellStyle name="40% - Accent5 4 3 2 3 3" xfId="8364" xr:uid="{C99A1117-E16D-4B72-B36E-4E062180DE52}"/>
    <cellStyle name="40% - Accent5 4 3 2 4" xfId="5292" xr:uid="{857B5FC5-DA0E-4A00-8428-BDB71325EB07}"/>
    <cellStyle name="40% - Accent5 4 3 2 4 2" xfId="10738" xr:uid="{70FB2F26-9F94-49FA-A396-3681D644EDCA}"/>
    <cellStyle name="40% - Accent5 4 3 2 5" xfId="8361" xr:uid="{F566A38C-E058-4E1B-9F49-59A40C91AC12}"/>
    <cellStyle name="40% - Accent5 4 3 3" xfId="1533" xr:uid="{C1EBF510-54EF-4BB7-9D35-963017A32B2D}"/>
    <cellStyle name="40% - Accent5 4 3 3 2" xfId="1534" xr:uid="{44319CC7-327C-4A5F-BB5E-308C7EDA63F3}"/>
    <cellStyle name="40% - Accent5 4 3 3 2 2" xfId="5297" xr:uid="{95918BDD-6B15-40EE-867D-F030372BB5F3}"/>
    <cellStyle name="40% - Accent5 4 3 3 2 2 2" xfId="10743" xr:uid="{8A97C1E4-B0CB-4CD3-A99B-66D4B7FCABB9}"/>
    <cellStyle name="40% - Accent5 4 3 3 2 3" xfId="8366" xr:uid="{51BB03EA-4274-4C23-9919-3FF07B03BB10}"/>
    <cellStyle name="40% - Accent5 4 3 3 3" xfId="5296" xr:uid="{788F6205-D48D-4D81-A73C-885FF78397E8}"/>
    <cellStyle name="40% - Accent5 4 3 3 3 2" xfId="10742" xr:uid="{9B18C788-4246-468B-B58C-9F84BF05F086}"/>
    <cellStyle name="40% - Accent5 4 3 3 4" xfId="8365" xr:uid="{34C1D243-ED9D-48D7-99D8-8BCB61EAB0AC}"/>
    <cellStyle name="40% - Accent5 4 3 4" xfId="1535" xr:uid="{B3B599A0-7D19-4A3E-9804-84A426E046DA}"/>
    <cellStyle name="40% - Accent5 4 3 4 2" xfId="5298" xr:uid="{B8FB298F-E4C7-4AB2-9990-9FC54262781F}"/>
    <cellStyle name="40% - Accent5 4 3 4 2 2" xfId="10744" xr:uid="{8108DD2A-8E1E-4042-9B1B-06B6E2A4269B}"/>
    <cellStyle name="40% - Accent5 4 3 4 3" xfId="8367" xr:uid="{6A8CBDF0-0F5B-4773-9CF2-59DA732F36DD}"/>
    <cellStyle name="40% - Accent5 4 3 5" xfId="5291" xr:uid="{D119D14E-4D5F-4D86-87E3-A72AEF28CD46}"/>
    <cellStyle name="40% - Accent5 4 3 5 2" xfId="10737" xr:uid="{67EAECA8-8E4C-4B18-8C56-952CB1A48EB9}"/>
    <cellStyle name="40% - Accent5 4 3 6" xfId="8360" xr:uid="{6D24527D-F102-460B-92B9-E2B4A9FB2518}"/>
    <cellStyle name="40% - Accent5 4 4" xfId="1536" xr:uid="{E9D6AF5F-DCF8-4570-B601-B24D3F30838F}"/>
    <cellStyle name="40% - Accent5 4 4 2" xfId="1537" xr:uid="{247F0C92-0595-487F-8374-D3C296062C28}"/>
    <cellStyle name="40% - Accent5 4 4 2 2" xfId="1538" xr:uid="{F7566C1F-09AE-4ADC-9D8E-F6812FB4DEA4}"/>
    <cellStyle name="40% - Accent5 4 4 2 2 2" xfId="5301" xr:uid="{07680CF6-65C1-48F9-B690-6ED75862DE62}"/>
    <cellStyle name="40% - Accent5 4 4 2 2 2 2" xfId="10747" xr:uid="{8953511C-EB27-45EB-A8D9-FDFDF08B25E1}"/>
    <cellStyle name="40% - Accent5 4 4 2 2 3" xfId="8370" xr:uid="{5CD171D3-CF0E-4C0E-AD96-91E500D8B6A7}"/>
    <cellStyle name="40% - Accent5 4 4 2 3" xfId="5300" xr:uid="{54D2A4E4-C2C1-47C7-951C-6540CA063419}"/>
    <cellStyle name="40% - Accent5 4 4 2 3 2" xfId="10746" xr:uid="{23C09DC0-A16C-4724-B9FF-7B387888A2BB}"/>
    <cellStyle name="40% - Accent5 4 4 2 4" xfId="8369" xr:uid="{7E96F350-DBE9-4A74-8A84-3987A934DE64}"/>
    <cellStyle name="40% - Accent5 4 4 3" xfId="1539" xr:uid="{7E2381D7-53ED-4C6A-ABA4-6A99D976862E}"/>
    <cellStyle name="40% - Accent5 4 4 3 2" xfId="5302" xr:uid="{D857D111-2C6C-4632-B281-D9567BD431F8}"/>
    <cellStyle name="40% - Accent5 4 4 3 2 2" xfId="10748" xr:uid="{118FA5E4-4790-46FA-9EF1-353884F3E85C}"/>
    <cellStyle name="40% - Accent5 4 4 3 3" xfId="8371" xr:uid="{5FBF9CCB-928D-4662-9D32-718ACB8CACB5}"/>
    <cellStyle name="40% - Accent5 4 4 4" xfId="5299" xr:uid="{E7FD6A02-C388-4D55-81DE-6B2A75EDBBB2}"/>
    <cellStyle name="40% - Accent5 4 4 4 2" xfId="10745" xr:uid="{80DC1C36-A4C3-402C-838B-86ADC70C6743}"/>
    <cellStyle name="40% - Accent5 4 4 5" xfId="8368" xr:uid="{EE99047E-0681-4A02-927E-1E0D673D8214}"/>
    <cellStyle name="40% - Accent5 4 5" xfId="1540" xr:uid="{C741D3B2-FBDA-4B2E-8548-8B77A1DDD94F}"/>
    <cellStyle name="40% - Accent5 4 5 2" xfId="1541" xr:uid="{1573A1F8-4337-457D-8355-4421C740C8EA}"/>
    <cellStyle name="40% - Accent5 4 5 2 2" xfId="5304" xr:uid="{61E0B6DA-8E23-4B90-99BD-6E4F0CEFF97A}"/>
    <cellStyle name="40% - Accent5 4 5 2 2 2" xfId="10750" xr:uid="{CBC6E795-940B-495F-BC70-89A5F420EB2F}"/>
    <cellStyle name="40% - Accent5 4 5 2 3" xfId="8373" xr:uid="{8AA1620B-BACF-4BC3-A06A-C8ADE3D30440}"/>
    <cellStyle name="40% - Accent5 4 5 3" xfId="5303" xr:uid="{553A7A1B-3AF3-4728-8F9A-C578D95762A9}"/>
    <cellStyle name="40% - Accent5 4 5 3 2" xfId="10749" xr:uid="{3674A147-2133-444E-A214-3B2B83568F94}"/>
    <cellStyle name="40% - Accent5 4 5 4" xfId="8372" xr:uid="{0F84BC05-FF95-43E7-829C-E0BA210EFA7A}"/>
    <cellStyle name="40% - Accent5 4 6" xfId="1542" xr:uid="{E8961851-E1BC-47C8-9072-84355F92689C}"/>
    <cellStyle name="40% - Accent5 4 6 2" xfId="5305" xr:uid="{E312FF7E-DF80-4142-AF8E-A19C018ECFD2}"/>
    <cellStyle name="40% - Accent5 4 6 2 2" xfId="10751" xr:uid="{C9328D88-27DB-49BC-84E1-BEB725A01DAA}"/>
    <cellStyle name="40% - Accent5 4 6 3" xfId="8374" xr:uid="{ECCD393D-3FE7-4987-93CF-592DC17517CC}"/>
    <cellStyle name="40% - Accent5 4 7" xfId="5282" xr:uid="{985625EA-953A-4648-ADEB-6BE73A78A512}"/>
    <cellStyle name="40% - Accent5 4 7 2" xfId="10728" xr:uid="{B13B64DB-6ADE-4601-B555-3EFD69510FAB}"/>
    <cellStyle name="40% - Accent5 4 8" xfId="8351" xr:uid="{E761611C-C768-45E0-8A4D-921E2380840A}"/>
    <cellStyle name="40% - Accent5 5" xfId="1543" xr:uid="{FAF08247-4C53-4C4C-81DD-A8E7496C4140}"/>
    <cellStyle name="40% - Accent5 5 2" xfId="1544" xr:uid="{C1A4D7CA-82DA-44BA-8186-5EBDAF518E08}"/>
    <cellStyle name="40% - Accent5 5 2 2" xfId="1545" xr:uid="{2B7A0A4F-8011-427C-BF78-8B819F4907CA}"/>
    <cellStyle name="40% - Accent5 5 2 2 2" xfId="1546" xr:uid="{46C0D550-ECCD-4ABA-80A7-6B4F8FEE94DD}"/>
    <cellStyle name="40% - Accent5 5 2 2 2 2" xfId="5309" xr:uid="{EEAB8A43-977E-463A-83F8-73103E941C7C}"/>
    <cellStyle name="40% - Accent5 5 2 2 2 2 2" xfId="10755" xr:uid="{F2E25CC6-38D4-4786-85CB-F6595D25FDC9}"/>
    <cellStyle name="40% - Accent5 5 2 2 2 3" xfId="8378" xr:uid="{16B35371-02BD-4A07-AECF-7CD729755061}"/>
    <cellStyle name="40% - Accent5 5 2 2 3" xfId="5308" xr:uid="{C97C25AC-AED9-473F-8FA1-EE01F3082BBA}"/>
    <cellStyle name="40% - Accent5 5 2 2 3 2" xfId="10754" xr:uid="{EED7D46B-D15C-4B1F-8F0E-A86A71046891}"/>
    <cellStyle name="40% - Accent5 5 2 2 4" xfId="8377" xr:uid="{7C00E017-CC3F-450A-9AF7-09251ED35D5B}"/>
    <cellStyle name="40% - Accent5 5 2 3" xfId="1547" xr:uid="{910AB373-4BAF-49D9-90F3-8D46DA52EB73}"/>
    <cellStyle name="40% - Accent5 5 2 3 2" xfId="5310" xr:uid="{8DB6E683-7654-416A-AE01-FB6335732458}"/>
    <cellStyle name="40% - Accent5 5 2 3 2 2" xfId="10756" xr:uid="{E41722E4-F242-4215-843B-E7509977AB3C}"/>
    <cellStyle name="40% - Accent5 5 2 3 3" xfId="8379" xr:uid="{2CE5ACEA-337A-4C82-A129-12397CE25ADF}"/>
    <cellStyle name="40% - Accent5 5 2 4" xfId="5307" xr:uid="{7E244279-0C22-400A-A0A2-9EEF892DAB93}"/>
    <cellStyle name="40% - Accent5 5 2 4 2" xfId="10753" xr:uid="{AC182464-3785-49BB-A872-BDC866D10E07}"/>
    <cellStyle name="40% - Accent5 5 2 5" xfId="8376" xr:uid="{EF1243F5-D2B1-4780-B682-B517D2EB3123}"/>
    <cellStyle name="40% - Accent5 5 3" xfId="1548" xr:uid="{E931F0F7-B760-497A-845B-26388059B119}"/>
    <cellStyle name="40% - Accent5 5 3 2" xfId="1549" xr:uid="{59291B09-64D8-482B-90B8-93A5945DACA3}"/>
    <cellStyle name="40% - Accent5 5 3 2 2" xfId="5312" xr:uid="{414BBCBA-3A4D-4545-AFE2-7F704A45411E}"/>
    <cellStyle name="40% - Accent5 5 3 2 2 2" xfId="10758" xr:uid="{A3494B7F-E0A4-4208-91EA-59209769E583}"/>
    <cellStyle name="40% - Accent5 5 3 2 3" xfId="8381" xr:uid="{F83E733E-46CB-4F5E-8412-14F9C8235E75}"/>
    <cellStyle name="40% - Accent5 5 3 3" xfId="5311" xr:uid="{3C71EB43-B353-48B9-8C3B-71C2B800DA9E}"/>
    <cellStyle name="40% - Accent5 5 3 3 2" xfId="10757" xr:uid="{A67C05E0-CD11-4885-835F-50FB2AF09E0F}"/>
    <cellStyle name="40% - Accent5 5 3 4" xfId="8380" xr:uid="{C6493CDD-4CF5-4C40-B8C2-6EF575727487}"/>
    <cellStyle name="40% - Accent5 5 4" xfId="1550" xr:uid="{37152622-78F2-427F-A8FC-724B696520C5}"/>
    <cellStyle name="40% - Accent5 5 4 2" xfId="5313" xr:uid="{51DB63E5-C5A6-40A8-A571-903139464E32}"/>
    <cellStyle name="40% - Accent5 5 4 2 2" xfId="10759" xr:uid="{BBAE372E-7A23-446F-B142-F5EF582570D9}"/>
    <cellStyle name="40% - Accent5 5 4 3" xfId="8382" xr:uid="{E2459646-EA6B-49D1-91A1-FD263193DBCB}"/>
    <cellStyle name="40% - Accent5 5 5" xfId="5306" xr:uid="{7DD65869-128A-480E-927D-C8EC8AACAA2B}"/>
    <cellStyle name="40% - Accent5 5 5 2" xfId="10752" xr:uid="{F71D5A92-8778-4920-A778-86C5B4F2E302}"/>
    <cellStyle name="40% - Accent5 5 6" xfId="8375" xr:uid="{FE616DAE-C970-42D1-A248-7C0BECA41EA0}"/>
    <cellStyle name="40% - Accent5 6" xfId="1551" xr:uid="{B38F4E82-9036-43B5-A250-86777E99EC84}"/>
    <cellStyle name="40% - Accent5 6 2" xfId="1552" xr:uid="{0D7ACB08-C5A8-4113-B887-FD16DA3DC227}"/>
    <cellStyle name="40% - Accent5 6 2 2" xfId="1553" xr:uid="{9768C67E-531D-4AD5-8CFB-29887F56CC26}"/>
    <cellStyle name="40% - Accent5 6 2 2 2" xfId="1554" xr:uid="{1E6DA70D-1DC5-4897-8788-58267D45880F}"/>
    <cellStyle name="40% - Accent5 6 2 2 2 2" xfId="5317" xr:uid="{6AE2DD70-66DC-4617-9565-69274C26E2CB}"/>
    <cellStyle name="40% - Accent5 6 2 2 2 2 2" xfId="10763" xr:uid="{FA0A66EF-6747-4F52-9AAC-20EE639262BB}"/>
    <cellStyle name="40% - Accent5 6 2 2 2 3" xfId="8386" xr:uid="{1BB4B33A-CA38-403C-85EE-8E12553CFD8C}"/>
    <cellStyle name="40% - Accent5 6 2 2 3" xfId="5316" xr:uid="{9DE79433-ED03-4123-B37C-785CDB283C49}"/>
    <cellStyle name="40% - Accent5 6 2 2 3 2" xfId="10762" xr:uid="{CA0E76EF-1906-4B82-9A27-7B9AAE069918}"/>
    <cellStyle name="40% - Accent5 6 2 2 4" xfId="8385" xr:uid="{645FEEE8-0FB0-4CFC-8CEF-076C0F9ECE64}"/>
    <cellStyle name="40% - Accent5 6 2 3" xfId="1555" xr:uid="{DAE17FD3-C060-4144-919E-63B064CA0A49}"/>
    <cellStyle name="40% - Accent5 6 2 3 2" xfId="5318" xr:uid="{6A7A6870-406A-4FF8-B50A-922A886D3A9D}"/>
    <cellStyle name="40% - Accent5 6 2 3 2 2" xfId="10764" xr:uid="{C07A591B-EB7F-4E3D-ABAC-B2BFB048AC78}"/>
    <cellStyle name="40% - Accent5 6 2 3 3" xfId="8387" xr:uid="{5CB1C115-E5C1-4303-88EF-372B6500E336}"/>
    <cellStyle name="40% - Accent5 6 2 4" xfId="5315" xr:uid="{F01CADE2-E31E-4247-83B7-3E02EDC15EE2}"/>
    <cellStyle name="40% - Accent5 6 2 4 2" xfId="10761" xr:uid="{3D23152E-DA08-4674-AA3A-3BF989BDBA92}"/>
    <cellStyle name="40% - Accent5 6 2 5" xfId="8384" xr:uid="{56B2D101-6481-4966-B127-09403CBCFDCA}"/>
    <cellStyle name="40% - Accent5 6 3" xfId="1556" xr:uid="{00614048-0153-4CB2-A210-9EEA2EE29C32}"/>
    <cellStyle name="40% - Accent5 6 3 2" xfId="1557" xr:uid="{9A6A1262-4F0E-4246-A86C-B9C123BC3177}"/>
    <cellStyle name="40% - Accent5 6 3 2 2" xfId="5320" xr:uid="{25C617EA-7C9D-409A-AF7A-86F0EC77556F}"/>
    <cellStyle name="40% - Accent5 6 3 2 2 2" xfId="10766" xr:uid="{36751DE2-0BF1-45AC-824A-81213FEDD035}"/>
    <cellStyle name="40% - Accent5 6 3 2 3" xfId="8389" xr:uid="{0BFED63D-85FE-42FE-918C-38215283B8E9}"/>
    <cellStyle name="40% - Accent5 6 3 3" xfId="5319" xr:uid="{45A111BB-1A68-49F6-ADA1-ACBB09D215BF}"/>
    <cellStyle name="40% - Accent5 6 3 3 2" xfId="10765" xr:uid="{C90CB1AD-F146-4AEF-8930-63521B0EA48F}"/>
    <cellStyle name="40% - Accent5 6 3 4" xfId="8388" xr:uid="{2D28B9CF-EC8B-452D-9FAA-75B4A3C74FBE}"/>
    <cellStyle name="40% - Accent5 6 4" xfId="1558" xr:uid="{006F0BE8-CDEF-455C-97A0-EABA720E1BCE}"/>
    <cellStyle name="40% - Accent5 6 4 2" xfId="5321" xr:uid="{7AFCDFC4-7486-4D3C-9143-8135BDC7C5AA}"/>
    <cellStyle name="40% - Accent5 6 4 2 2" xfId="10767" xr:uid="{739E8B6F-F91B-44EA-B7E0-DAA9E44E85FA}"/>
    <cellStyle name="40% - Accent5 6 4 3" xfId="8390" xr:uid="{F6C7FFC5-A04F-4E95-8E56-D6D98EDC5D88}"/>
    <cellStyle name="40% - Accent5 6 5" xfId="5314" xr:uid="{DA982CAE-4F49-46D6-9CDA-4B9E373CF79B}"/>
    <cellStyle name="40% - Accent5 6 5 2" xfId="10760" xr:uid="{CFABD262-EA9B-4F56-9E5F-010D6EAEE2CE}"/>
    <cellStyle name="40% - Accent5 6 6" xfId="8383" xr:uid="{C8773D28-37BF-46FF-8490-B2628F4B746A}"/>
    <cellStyle name="40% - Accent5 7" xfId="1559" xr:uid="{68BD40B8-632C-4333-8856-7607A4F195FD}"/>
    <cellStyle name="40% - Accent5 7 2" xfId="1560" xr:uid="{FF2C0D3A-31AC-4D59-B7F0-D57AFF57E423}"/>
    <cellStyle name="40% - Accent5 7 2 2" xfId="1561" xr:uid="{3FB6D7C2-F7BD-4BEF-B185-2304E7C92A55}"/>
    <cellStyle name="40% - Accent5 7 2 2 2" xfId="5324" xr:uid="{43519111-7000-4914-9EA1-509E517366E2}"/>
    <cellStyle name="40% - Accent5 7 2 2 2 2" xfId="10770" xr:uid="{66BEE9D0-51DC-4D57-8921-889F9B4244E3}"/>
    <cellStyle name="40% - Accent5 7 2 2 3" xfId="8393" xr:uid="{91CFCDC0-75BA-4C03-AE51-84D5FA8E07E2}"/>
    <cellStyle name="40% - Accent5 7 2 3" xfId="5323" xr:uid="{28B1B531-3C66-4855-B46E-0EB92C6B26E5}"/>
    <cellStyle name="40% - Accent5 7 2 3 2" xfId="10769" xr:uid="{A4DB94B5-9EFD-4099-8B73-FB775263F051}"/>
    <cellStyle name="40% - Accent5 7 2 4" xfId="8392" xr:uid="{21DFCE8F-73FE-40AC-BA40-B1142E37F1F3}"/>
    <cellStyle name="40% - Accent5 7 3" xfId="1562" xr:uid="{0882BFB8-64E7-40B1-ACAA-009233A8DF13}"/>
    <cellStyle name="40% - Accent5 7 3 2" xfId="5325" xr:uid="{00C14BD9-E704-4AD5-846D-C8F30345158C}"/>
    <cellStyle name="40% - Accent5 7 3 2 2" xfId="10771" xr:uid="{CD550A04-4C5D-4282-AE7E-3B84CB8FD6E4}"/>
    <cellStyle name="40% - Accent5 7 3 3" xfId="8394" xr:uid="{8FEDCC94-DE35-4382-9100-113ED75D40BF}"/>
    <cellStyle name="40% - Accent5 7 4" xfId="5322" xr:uid="{AB35B7CF-ABC3-447B-BD8F-BEC359D3E7C2}"/>
    <cellStyle name="40% - Accent5 7 4 2" xfId="10768" xr:uid="{DA74F7EB-9AF7-40E2-91B5-A028216E2364}"/>
    <cellStyle name="40% - Accent5 7 5" xfId="8391" xr:uid="{32DE3FAB-5B47-401E-990C-18616788CABF}"/>
    <cellStyle name="40% - Accent5 8" xfId="1563" xr:uid="{5482ACCA-5AEF-4393-914C-ABDC733DD3E9}"/>
    <cellStyle name="40% - Accent5 8 2" xfId="1564" xr:uid="{92B47333-51B7-4B28-A54A-EA257DFF78FE}"/>
    <cellStyle name="40% - Accent5 8 2 2" xfId="1565" xr:uid="{BD94EA48-8A2A-4A02-A253-235A29314ADC}"/>
    <cellStyle name="40% - Accent5 8 2 2 2" xfId="5328" xr:uid="{97D7374A-5F06-4947-A6FE-A4FD5F855F7A}"/>
    <cellStyle name="40% - Accent5 8 2 2 2 2" xfId="10774" xr:uid="{D865D577-F2D5-41DF-BBB2-2F7C6B61C467}"/>
    <cellStyle name="40% - Accent5 8 2 2 3" xfId="8397" xr:uid="{AF65A6C0-18D3-411F-BF14-6BBA37E65ED2}"/>
    <cellStyle name="40% - Accent5 8 2 3" xfId="5327" xr:uid="{F8D8C01F-996D-45F0-A239-60ACCEF8DB44}"/>
    <cellStyle name="40% - Accent5 8 2 3 2" xfId="10773" xr:uid="{644E6C6A-0F28-4866-92D8-2FB90E307E18}"/>
    <cellStyle name="40% - Accent5 8 2 4" xfId="8396" xr:uid="{791D90F6-E10E-4184-9C64-E5E16730DB25}"/>
    <cellStyle name="40% - Accent5 8 3" xfId="1566" xr:uid="{F36520BA-A3D3-4565-8910-9B7F2AA92B83}"/>
    <cellStyle name="40% - Accent5 8 3 2" xfId="5329" xr:uid="{705A04A7-5EB8-42B4-9727-C86A2D0AC6C6}"/>
    <cellStyle name="40% - Accent5 8 3 2 2" xfId="10775" xr:uid="{20547CBE-35CC-49DA-87DE-87D788899614}"/>
    <cellStyle name="40% - Accent5 8 3 3" xfId="8398" xr:uid="{69D5D2AC-5447-49FF-A608-2F3BB841AAEA}"/>
    <cellStyle name="40% - Accent5 8 4" xfId="5326" xr:uid="{30E4B844-6242-4FD1-B34A-A753A77EF2A1}"/>
    <cellStyle name="40% - Accent5 8 4 2" xfId="10772" xr:uid="{53ECBE9C-D1A7-4CD7-9547-2930E08E4AB9}"/>
    <cellStyle name="40% - Accent5 8 5" xfId="8395" xr:uid="{14A1E722-5BAE-418C-B3D4-EC0BE4C811AF}"/>
    <cellStyle name="40% - Accent5 9" xfId="1567" xr:uid="{445094BB-86E5-4D3E-AAAE-F93D7A0467E3}"/>
    <cellStyle name="40% - Accent5 9 2" xfId="1568" xr:uid="{77CF5320-7FA6-4050-9E13-B9765C10BEF0}"/>
    <cellStyle name="40% - Accent5 9 2 2" xfId="5331" xr:uid="{C0EB0DCE-9C33-4442-86CA-E6E57A8922EB}"/>
    <cellStyle name="40% - Accent5 9 2 2 2" xfId="10777" xr:uid="{ED24B97D-73DF-45E9-846B-006FA2CF765A}"/>
    <cellStyle name="40% - Accent5 9 2 3" xfId="8400" xr:uid="{C316EF7D-D64E-4540-844A-94704F38EA47}"/>
    <cellStyle name="40% - Accent5 9 3" xfId="5330" xr:uid="{CD39BA93-9A7D-4891-8535-A22DEDFD19BB}"/>
    <cellStyle name="40% - Accent5 9 3 2" xfId="10776" xr:uid="{23DB9241-6B19-4838-B848-6EDE1CBCD7D1}"/>
    <cellStyle name="40% - Accent5 9 4" xfId="8399" xr:uid="{E6E0DE13-3EB8-456E-BB74-5F80818A9F62}"/>
    <cellStyle name="40% - Accent6" xfId="13" builtinId="51" hidden="1" customBuiltin="1"/>
    <cellStyle name="40% - Accent6" xfId="375" builtinId="51" customBuiltin="1"/>
    <cellStyle name="40% - Accent6 10" xfId="323" xr:uid="{1EF7B661-2FDF-43FB-937D-7297D433DC2F}"/>
    <cellStyle name="40% - Accent6 10 2" xfId="1569" xr:uid="{7C5F8EF4-9A61-4C52-BF7F-E26E3F9B9361}"/>
    <cellStyle name="40% - Accent6 10 2 2" xfId="5332" xr:uid="{69A007C6-3584-4A67-9AB3-27D4D65B54B9}"/>
    <cellStyle name="40% - Accent6 10 2 2 2" xfId="10778" xr:uid="{A6FEEC63-B457-41DA-AB1C-4643E4BA27F0}"/>
    <cellStyle name="40% - Accent6 10 2 3" xfId="8401" xr:uid="{76384368-3D0A-41BA-8FBE-2FAC36075058}"/>
    <cellStyle name="40% - Accent6 10 3" xfId="4173" xr:uid="{A9991E55-438F-4044-B6E7-FACF3B8327CE}"/>
    <cellStyle name="40% - Accent6 10 3 2" xfId="9623" xr:uid="{F17FA59A-A097-4CE6-9660-70FBEFDEE861}"/>
    <cellStyle name="40% - Accent6 10 4" xfId="7244" xr:uid="{6DDECA91-2371-431E-83D9-02FDC76AF56B}"/>
    <cellStyle name="40% - Accent6 11" xfId="1570" xr:uid="{75DC7779-6D3D-452C-B59A-3694D4465845}"/>
    <cellStyle name="40% - Accent6 11 2" xfId="5333" xr:uid="{A6C81C48-41EC-4670-B0A8-F4DA6C6A6A0B}"/>
    <cellStyle name="40% - Accent6 11 2 2" xfId="10779" xr:uid="{8026C15D-FE71-4452-B483-DAF6D0A739BC}"/>
    <cellStyle name="40% - Accent6 11 3" xfId="8402" xr:uid="{BC5E2594-3287-442A-B18F-2EE39C2DDBCC}"/>
    <cellStyle name="40% - Accent6 12" xfId="1571" xr:uid="{664AF488-756C-4DA1-BF48-44434D609D12}"/>
    <cellStyle name="40% - Accent6 12 2" xfId="5334" xr:uid="{172CE8E8-A2E9-4A14-9B0E-94435C8EBABB}"/>
    <cellStyle name="40% - Accent6 12 2 2" xfId="10780" xr:uid="{5D5E2BCE-571D-44D4-AE7F-399D6E89805C}"/>
    <cellStyle name="40% - Accent6 12 3" xfId="8403" xr:uid="{4B4A49E9-05B2-4B01-A2FD-8515DE5FFC26}"/>
    <cellStyle name="40% - Accent6 13" xfId="4199" xr:uid="{7B403C60-743A-42AE-8113-B3F12A3B33BC}"/>
    <cellStyle name="40% - Accent6 13 2" xfId="9645" xr:uid="{FBA24D32-2A93-4F12-BBAD-D6C5C7A06F5B}"/>
    <cellStyle name="40% - Accent6 14" xfId="7267" xr:uid="{C8FA4D28-312B-497B-A36E-03C67A0695A3}"/>
    <cellStyle name="40% - Accent6 2" xfId="381" xr:uid="{A4852C88-BF23-44C3-84C2-E95E17A2DBBB}"/>
    <cellStyle name="40% - Accent6 2 10" xfId="4204" xr:uid="{33F9F08E-1D74-4697-B7C6-D6877CAD9127}"/>
    <cellStyle name="40% - Accent6 2 10 2" xfId="9650" xr:uid="{0DDC1FD3-E252-4606-A686-1F4BE4770468}"/>
    <cellStyle name="40% - Accent6 2 11" xfId="7272" xr:uid="{84DB1BB8-AE8B-4E32-B7F8-9D52AB63AAE9}"/>
    <cellStyle name="40% - Accent6 2 2" xfId="1572" xr:uid="{3FCA8136-B920-4F5D-9766-1F71261A3B88}"/>
    <cellStyle name="40% - Accent6 2 2 2" xfId="1573" xr:uid="{410F971D-5088-4550-A6EE-ADCBDDDC101A}"/>
    <cellStyle name="40% - Accent6 2 2 2 2" xfId="1574" xr:uid="{7F4F8C4E-5744-4913-8A2B-F5C95AAB8166}"/>
    <cellStyle name="40% - Accent6 2 2 2 2 2" xfId="1575" xr:uid="{DABD317E-A395-49F3-9FE5-A42C21E5C821}"/>
    <cellStyle name="40% - Accent6 2 2 2 2 2 2" xfId="5338" xr:uid="{B4C093C6-C7CD-4C15-851C-9A4F3F4FFDA5}"/>
    <cellStyle name="40% - Accent6 2 2 2 2 2 2 2" xfId="10784" xr:uid="{52FF8762-EA0D-4343-A7A9-79AAC3E47192}"/>
    <cellStyle name="40% - Accent6 2 2 2 2 2 3" xfId="8407" xr:uid="{81533F23-D817-4995-B655-E5F085650F54}"/>
    <cellStyle name="40% - Accent6 2 2 2 2 3" xfId="5337" xr:uid="{36D862AC-F178-4B93-AF8A-1B5089406801}"/>
    <cellStyle name="40% - Accent6 2 2 2 2 3 2" xfId="10783" xr:uid="{EBAA8710-F232-41F5-9F14-C7DEF040F742}"/>
    <cellStyle name="40% - Accent6 2 2 2 2 4" xfId="8406" xr:uid="{151ED42E-1954-42C1-8656-2994360AC4C0}"/>
    <cellStyle name="40% - Accent6 2 2 2 3" xfId="1576" xr:uid="{188A637A-E850-442D-B6AB-B1D429D18C48}"/>
    <cellStyle name="40% - Accent6 2 2 2 3 2" xfId="5339" xr:uid="{78127033-6938-4CCE-AAB7-38D6593312D2}"/>
    <cellStyle name="40% - Accent6 2 2 2 3 2 2" xfId="10785" xr:uid="{186B1C24-0FFC-4F0E-98EA-AD99C1242D8F}"/>
    <cellStyle name="40% - Accent6 2 2 2 3 3" xfId="8408" xr:uid="{0E241FFA-7F5D-4690-B19F-B4A7BDC629E4}"/>
    <cellStyle name="40% - Accent6 2 2 2 4" xfId="5336" xr:uid="{7094BF96-BAAF-420B-90D5-9F163AE5C3E6}"/>
    <cellStyle name="40% - Accent6 2 2 2 4 2" xfId="10782" xr:uid="{780ACD64-50C8-42D3-A776-26AE9AFB0145}"/>
    <cellStyle name="40% - Accent6 2 2 2 5" xfId="8405" xr:uid="{26072D05-739E-4718-B5BA-976F6EDB1FE3}"/>
    <cellStyle name="40% - Accent6 2 2 3" xfId="1577" xr:uid="{8AC8EB73-8E63-4561-BF25-77D14ACF654E}"/>
    <cellStyle name="40% - Accent6 2 2 3 2" xfId="1578" xr:uid="{A710F6F1-5E1E-403F-80F0-18D34D9F1014}"/>
    <cellStyle name="40% - Accent6 2 2 3 2 2" xfId="5341" xr:uid="{FE0915BE-3835-4C14-8EFE-F73C698CF6FB}"/>
    <cellStyle name="40% - Accent6 2 2 3 2 2 2" xfId="10787" xr:uid="{664483D8-5C56-43E2-9D0F-B4CA210A6C92}"/>
    <cellStyle name="40% - Accent6 2 2 3 2 3" xfId="8410" xr:uid="{2B068E78-38FE-48A2-B2B0-6BCE00005C47}"/>
    <cellStyle name="40% - Accent6 2 2 3 3" xfId="5340" xr:uid="{0EB78EDE-EF8A-4C54-9656-C5C351ECCB54}"/>
    <cellStyle name="40% - Accent6 2 2 3 3 2" xfId="10786" xr:uid="{74C52634-ED3D-4B77-83E2-C3D97936424E}"/>
    <cellStyle name="40% - Accent6 2 2 3 4" xfId="8409" xr:uid="{F301A226-9B74-4208-9BF6-1819C1CE0D44}"/>
    <cellStyle name="40% - Accent6 2 2 4" xfId="1579" xr:uid="{39F6A309-35DD-44FB-A272-17D97F1AB898}"/>
    <cellStyle name="40% - Accent6 2 2 4 2" xfId="5342" xr:uid="{4CEF5070-8B9D-44AC-A312-84BB560F2701}"/>
    <cellStyle name="40% - Accent6 2 2 4 2 2" xfId="10788" xr:uid="{1947C9EB-E6BB-4F80-BD58-5E9AA9F9CD33}"/>
    <cellStyle name="40% - Accent6 2 2 4 3" xfId="8411" xr:uid="{F646C5EA-C3D0-40A7-BDB7-369DAA272592}"/>
    <cellStyle name="40% - Accent6 2 2 5" xfId="1580" xr:uid="{FCC506EE-4B3A-46C1-A750-F852DA3AA7DC}"/>
    <cellStyle name="40% - Accent6 2 2 6" xfId="5335" xr:uid="{0001003A-CDF7-4ED8-BD21-E39AFEB7F00E}"/>
    <cellStyle name="40% - Accent6 2 2 6 2" xfId="10781" xr:uid="{E5F7EE69-9FDC-4683-8B9D-89AFA9185CDB}"/>
    <cellStyle name="40% - Accent6 2 2 7" xfId="8404" xr:uid="{6B365BAA-E869-423E-A127-2D5A1FF0AA3B}"/>
    <cellStyle name="40% - Accent6 2 3" xfId="1581" xr:uid="{0E816956-F513-463D-9DC2-B6CD7635F573}"/>
    <cellStyle name="40% - Accent6 2 3 2" xfId="1582" xr:uid="{8588EC11-9E32-43E6-B3C2-6B15048504E6}"/>
    <cellStyle name="40% - Accent6 2 3 2 2" xfId="1583" xr:uid="{02E3CA42-FF3F-476A-A8C1-6F0728E4534C}"/>
    <cellStyle name="40% - Accent6 2 3 2 2 2" xfId="1584" xr:uid="{7BE0EC53-1613-46FD-A6BE-0276493A5192}"/>
    <cellStyle name="40% - Accent6 2 3 2 2 2 2" xfId="5346" xr:uid="{D59EA68C-CEE9-4891-A876-7E24001BB6F1}"/>
    <cellStyle name="40% - Accent6 2 3 2 2 2 2 2" xfId="10792" xr:uid="{A952C14F-ACFD-4A2D-A38E-E3D7A8885AAD}"/>
    <cellStyle name="40% - Accent6 2 3 2 2 2 3" xfId="8415" xr:uid="{208D9D1A-52A7-4516-B968-233799BCBA37}"/>
    <cellStyle name="40% - Accent6 2 3 2 2 3" xfId="5345" xr:uid="{A377CECB-4A51-449D-93D9-526243B2AB76}"/>
    <cellStyle name="40% - Accent6 2 3 2 2 3 2" xfId="10791" xr:uid="{3ADBD8B7-5FCD-4937-BAA5-3EAA4BCD28B9}"/>
    <cellStyle name="40% - Accent6 2 3 2 2 4" xfId="8414" xr:uid="{0DC97AD3-31C8-43A7-B683-48FAC9416595}"/>
    <cellStyle name="40% - Accent6 2 3 2 3" xfId="1585" xr:uid="{0AA988E0-77EA-4B4E-BD6F-C56DAC21157A}"/>
    <cellStyle name="40% - Accent6 2 3 2 3 2" xfId="5347" xr:uid="{4FDD821F-9D4C-47A2-8430-5C1DA4197163}"/>
    <cellStyle name="40% - Accent6 2 3 2 3 2 2" xfId="10793" xr:uid="{496BD1A6-CA87-49AD-9164-7D7CFE2DE20D}"/>
    <cellStyle name="40% - Accent6 2 3 2 3 3" xfId="8416" xr:uid="{9B965C92-BBEC-4FAD-9569-878023C81204}"/>
    <cellStyle name="40% - Accent6 2 3 2 4" xfId="5344" xr:uid="{10566374-5A6C-4B00-A24F-9AAB8620433C}"/>
    <cellStyle name="40% - Accent6 2 3 2 4 2" xfId="10790" xr:uid="{907AA122-C8FA-4D71-BC65-02A51EFB74AD}"/>
    <cellStyle name="40% - Accent6 2 3 2 5" xfId="8413" xr:uid="{712F62FA-CBC3-4EBE-975B-FF23552B8987}"/>
    <cellStyle name="40% - Accent6 2 3 3" xfId="1586" xr:uid="{1290BA85-0044-496E-94EB-014E61B5FBB2}"/>
    <cellStyle name="40% - Accent6 2 3 3 2" xfId="1587" xr:uid="{2CBED7FF-CEA0-4B21-A432-05299E2609DF}"/>
    <cellStyle name="40% - Accent6 2 3 3 2 2" xfId="5349" xr:uid="{26EDE107-A237-41C2-B610-7B6F1DC83385}"/>
    <cellStyle name="40% - Accent6 2 3 3 2 2 2" xfId="10795" xr:uid="{FF8F2B5E-B0CC-4AEC-8789-4DA9501B9AA8}"/>
    <cellStyle name="40% - Accent6 2 3 3 2 3" xfId="8418" xr:uid="{473FEB45-CE46-4408-9CB1-7FE6818545DF}"/>
    <cellStyle name="40% - Accent6 2 3 3 3" xfId="5348" xr:uid="{62DD1A0E-16F0-4F04-B849-8825DA1E723B}"/>
    <cellStyle name="40% - Accent6 2 3 3 3 2" xfId="10794" xr:uid="{168B694C-466F-427A-B83B-1C8C59169CD6}"/>
    <cellStyle name="40% - Accent6 2 3 3 4" xfId="8417" xr:uid="{8B97F6E6-407A-4A14-BBA3-BFFD1196827D}"/>
    <cellStyle name="40% - Accent6 2 3 4" xfId="1588" xr:uid="{8B6E8650-98AD-46D8-A5B9-26FEEAF0F687}"/>
    <cellStyle name="40% - Accent6 2 3 4 2" xfId="5350" xr:uid="{2FEEEE9F-9422-4EB3-B66A-65CE6296C9DB}"/>
    <cellStyle name="40% - Accent6 2 3 4 2 2" xfId="10796" xr:uid="{BE0BB9E6-4EE1-4A65-A38A-A5011C4AFC2A}"/>
    <cellStyle name="40% - Accent6 2 3 4 3" xfId="8419" xr:uid="{A81F26C7-1D1D-4A80-B5F9-322B535A5FA0}"/>
    <cellStyle name="40% - Accent6 2 3 5" xfId="1589" xr:uid="{19F88B6B-EFF0-49F9-83C1-A7544BA1C113}"/>
    <cellStyle name="40% - Accent6 2 3 6" xfId="3402" xr:uid="{D6766A40-65AB-4708-84E7-C93EAC083E6C}"/>
    <cellStyle name="40% - Accent6 2 3 6 2" xfId="5891" xr:uid="{8B7AE13B-6252-40D5-92CF-23570BDE64A9}"/>
    <cellStyle name="40% - Accent6 2 3 6 2 2" xfId="11333" xr:uid="{1871CF34-0FEE-4B86-BFBC-8D53FA4D39AB}"/>
    <cellStyle name="40% - Accent6 2 3 6 3" xfId="8949" xr:uid="{73FF00F5-7EC0-4C33-85FF-DA3DEE779561}"/>
    <cellStyle name="40% - Accent6 2 3 7" xfId="2097" xr:uid="{3CDCD0C1-01BB-43BB-BF2F-19E0DE0FEC69}"/>
    <cellStyle name="40% - Accent6 2 3 8" xfId="5343" xr:uid="{374D4F59-B3F5-4155-8A52-970D4D43E058}"/>
    <cellStyle name="40% - Accent6 2 3 8 2" xfId="10789" xr:uid="{CF5E162F-28A9-4FE9-8047-2F9A1B0C096F}"/>
    <cellStyle name="40% - Accent6 2 3 9" xfId="8412" xr:uid="{78233BD1-34C1-4C29-8152-C9A270EEFC8D}"/>
    <cellStyle name="40% - Accent6 2 4" xfId="1590" xr:uid="{34CC1EB8-112A-462D-9175-28812CAF5503}"/>
    <cellStyle name="40% - Accent6 2 4 2" xfId="1591" xr:uid="{E739983E-DCFF-4F60-AEB9-EED0593BA6F3}"/>
    <cellStyle name="40% - Accent6 2 4 2 2" xfId="1592" xr:uid="{0B5F2B02-D62F-4949-8E0F-848ED183C5DC}"/>
    <cellStyle name="40% - Accent6 2 4 2 2 2" xfId="5353" xr:uid="{0F7F3461-9640-4488-BBD8-EA97BAE46591}"/>
    <cellStyle name="40% - Accent6 2 4 2 2 2 2" xfId="10799" xr:uid="{46C96241-A5D2-4BF6-9B14-AAFB7F555D1D}"/>
    <cellStyle name="40% - Accent6 2 4 2 2 3" xfId="8422" xr:uid="{A50CF620-130E-4117-9D16-5C837C73FF6F}"/>
    <cellStyle name="40% - Accent6 2 4 2 3" xfId="5352" xr:uid="{889F3A2F-BC89-453B-96DC-80D7D1C38342}"/>
    <cellStyle name="40% - Accent6 2 4 2 3 2" xfId="10798" xr:uid="{51625DE6-2695-4973-9DF8-B94DBBD11312}"/>
    <cellStyle name="40% - Accent6 2 4 2 4" xfId="8421" xr:uid="{BE11BDEC-1EC0-42B7-B482-16EBF9D5FEC4}"/>
    <cellStyle name="40% - Accent6 2 4 3" xfId="1593" xr:uid="{AC6DE0CF-969C-4E06-A1F9-67C0140669E0}"/>
    <cellStyle name="40% - Accent6 2 4 3 2" xfId="5354" xr:uid="{42BE5379-5806-4EAD-8BE2-3D8F23500D3A}"/>
    <cellStyle name="40% - Accent6 2 4 3 2 2" xfId="10800" xr:uid="{02AC133B-F30A-454D-B00E-F7E70E38095E}"/>
    <cellStyle name="40% - Accent6 2 4 3 3" xfId="8423" xr:uid="{A615749A-3BFF-471C-B267-2CDC9D1E221D}"/>
    <cellStyle name="40% - Accent6 2 4 4" xfId="1594" xr:uid="{BB3C913C-8322-4325-8762-EB52C19B7C98}"/>
    <cellStyle name="40% - Accent6 2 4 5" xfId="3403" xr:uid="{4512CFF5-105E-4F4A-AF31-7254FD160708}"/>
    <cellStyle name="40% - Accent6 2 4 5 2" xfId="5892" xr:uid="{3F468F5F-0AB0-4363-85EA-BC60B7E7E1BA}"/>
    <cellStyle name="40% - Accent6 2 4 5 2 2" xfId="11334" xr:uid="{5AB71A17-E76E-42A5-A4C2-5ED4421994F6}"/>
    <cellStyle name="40% - Accent6 2 4 5 3" xfId="8950" xr:uid="{051FDF77-9F55-42BF-9358-BEF6B3DA4D4E}"/>
    <cellStyle name="40% - Accent6 2 4 6" xfId="2096" xr:uid="{F997CE85-21E4-48A0-95D7-E46A5CF686FC}"/>
    <cellStyle name="40% - Accent6 2 4 7" xfId="5351" xr:uid="{5D5FFF87-C73B-4819-8FE8-87D1E1A840BA}"/>
    <cellStyle name="40% - Accent6 2 4 7 2" xfId="10797" xr:uid="{C764D690-7DA0-4F4A-9E91-5916E2F495F0}"/>
    <cellStyle name="40% - Accent6 2 4 8" xfId="8420" xr:uid="{D6DF5440-9230-4143-B27A-65C5AB6A90E9}"/>
    <cellStyle name="40% - Accent6 2 5" xfId="1595" xr:uid="{C1406FDD-E386-4B19-93D0-6D35F1C372C0}"/>
    <cellStyle name="40% - Accent6 2 5 2" xfId="1596" xr:uid="{FD9748E7-24F8-4F9A-894E-7A80154BEBB2}"/>
    <cellStyle name="40% - Accent6 2 5 2 2" xfId="5356" xr:uid="{CA655214-3979-4383-A924-A99A12E090D2}"/>
    <cellStyle name="40% - Accent6 2 5 2 2 2" xfId="10802" xr:uid="{2820C43B-09F1-4578-921B-7FE94F176FE3}"/>
    <cellStyle name="40% - Accent6 2 5 2 3" xfId="8425" xr:uid="{3EB6E2F5-E077-4CD6-B9AD-3518C0D4D8DA}"/>
    <cellStyle name="40% - Accent6 2 5 3" xfId="1597" xr:uid="{F52BED20-ABC1-4891-90B4-D34E1A30F54D}"/>
    <cellStyle name="40% - Accent6 2 5 4" xfId="5355" xr:uid="{54745366-C7CA-49C8-BCCD-ED641686AD04}"/>
    <cellStyle name="40% - Accent6 2 5 4 2" xfId="10801" xr:uid="{F5C98CCC-A58B-4372-AD16-FA3B10A5F939}"/>
    <cellStyle name="40% - Accent6 2 5 5" xfId="8424" xr:uid="{8699BDCF-9934-46C9-AE42-A8EEA44C8FE4}"/>
    <cellStyle name="40% - Accent6 2 6" xfId="1598" xr:uid="{4DE86C7F-16A1-4308-95EE-20E4ADBAE1DA}"/>
    <cellStyle name="40% - Accent6 2 6 2" xfId="1599" xr:uid="{5C0F9EFB-09EC-4BBF-9FB1-9DE9434161B6}"/>
    <cellStyle name="40% - Accent6 2 6 3" xfId="5357" xr:uid="{B9F1C730-381F-48FA-9014-222764D81D92}"/>
    <cellStyle name="40% - Accent6 2 6 3 2" xfId="10803" xr:uid="{69635A84-FB3D-4CAE-95E4-78B995D3B43D}"/>
    <cellStyle name="40% - Accent6 2 6 4" xfId="8426" xr:uid="{EBC3F18B-6436-447F-A4F6-733187DB419C}"/>
    <cellStyle name="40% - Accent6 2 7" xfId="1600" xr:uid="{3AB0E723-693D-4DD3-A429-BFDDDAAB51C6}"/>
    <cellStyle name="40% - Accent6 2 8" xfId="1601" xr:uid="{907FA3D8-20A9-4201-8EBE-7649A873BF47}"/>
    <cellStyle name="40% - Accent6 2 9" xfId="1602" xr:uid="{23EC8B85-9A71-48AE-9093-01987A643311}"/>
    <cellStyle name="40% - Accent6 3" xfId="1603" xr:uid="{9DAC5506-B063-4CA4-A361-0943D68CAF4C}"/>
    <cellStyle name="40% - Accent6 3 2" xfId="1604" xr:uid="{E822EB65-A635-4365-A044-07938769E942}"/>
    <cellStyle name="40% - Accent6 3 2 2" xfId="1605" xr:uid="{AAD13F26-7257-4A64-9883-ECC9E5980701}"/>
    <cellStyle name="40% - Accent6 3 2 2 2" xfId="1606" xr:uid="{FF9D131D-3178-45E8-A5CA-8851804B1DE7}"/>
    <cellStyle name="40% - Accent6 3 2 2 2 2" xfId="1607" xr:uid="{9A85A91B-A939-43A1-91BF-CEBBC736270D}"/>
    <cellStyle name="40% - Accent6 3 2 2 2 2 2" xfId="5362" xr:uid="{343BA12B-FAAC-4031-BB8F-1B3F6FD8A937}"/>
    <cellStyle name="40% - Accent6 3 2 2 2 2 2 2" xfId="10808" xr:uid="{E6FC5B39-A793-42C7-B4AE-067FF92F2E0F}"/>
    <cellStyle name="40% - Accent6 3 2 2 2 2 3" xfId="8431" xr:uid="{DF1A6ED4-CE3F-4377-968F-2E32410D7794}"/>
    <cellStyle name="40% - Accent6 3 2 2 2 3" xfId="5361" xr:uid="{A49953CA-9D1F-4C56-9005-00B02E56ECE9}"/>
    <cellStyle name="40% - Accent6 3 2 2 2 3 2" xfId="10807" xr:uid="{B17BE358-9AC2-4B31-96DB-9F46E4935F49}"/>
    <cellStyle name="40% - Accent6 3 2 2 2 4" xfId="8430" xr:uid="{861DF129-A2D9-42DB-A671-AA70F1992BD9}"/>
    <cellStyle name="40% - Accent6 3 2 2 3" xfId="1608" xr:uid="{5E7EFEF0-31EC-4D4F-88DD-6090ADB36C71}"/>
    <cellStyle name="40% - Accent6 3 2 2 3 2" xfId="5363" xr:uid="{28875E95-2C5D-40A0-B81E-D981D224F470}"/>
    <cellStyle name="40% - Accent6 3 2 2 3 2 2" xfId="10809" xr:uid="{EA6BB4CF-89D3-4C74-934B-7D02F5BB3C8A}"/>
    <cellStyle name="40% - Accent6 3 2 2 3 3" xfId="8432" xr:uid="{BAB47B17-63EB-4FB3-A0D3-57EC08C50890}"/>
    <cellStyle name="40% - Accent6 3 2 2 4" xfId="5360" xr:uid="{A08F9691-161A-4DE1-B7DB-5C95ED2071CB}"/>
    <cellStyle name="40% - Accent6 3 2 2 4 2" xfId="10806" xr:uid="{F160F730-0C4C-4BCF-9C36-26682E964807}"/>
    <cellStyle name="40% - Accent6 3 2 2 5" xfId="8429" xr:uid="{9335F389-AFBE-4403-ACEF-064D0F1EB995}"/>
    <cellStyle name="40% - Accent6 3 2 3" xfId="1609" xr:uid="{B57193A7-9AF2-482A-8A55-8933A754F015}"/>
    <cellStyle name="40% - Accent6 3 2 3 2" xfId="1610" xr:uid="{B320DECE-AF55-4C54-84DB-45F633525947}"/>
    <cellStyle name="40% - Accent6 3 2 3 2 2" xfId="5365" xr:uid="{43EB9E7B-BB7F-42A3-8AF4-75A8EDCE5080}"/>
    <cellStyle name="40% - Accent6 3 2 3 2 2 2" xfId="10811" xr:uid="{D28B2739-6B1C-4D44-B431-6031A3A5C516}"/>
    <cellStyle name="40% - Accent6 3 2 3 2 3" xfId="8434" xr:uid="{30F222FD-6E64-46AB-BAC1-2110A2EFD65A}"/>
    <cellStyle name="40% - Accent6 3 2 3 3" xfId="5364" xr:uid="{99D036FB-91F6-4042-A339-D5EFEA6A8D10}"/>
    <cellStyle name="40% - Accent6 3 2 3 3 2" xfId="10810" xr:uid="{B594B634-9A14-4C92-B35F-FB709C1DA244}"/>
    <cellStyle name="40% - Accent6 3 2 3 4" xfId="8433" xr:uid="{F13A4E12-CEBE-4C3D-AC98-593B3DCAF8D0}"/>
    <cellStyle name="40% - Accent6 3 2 4" xfId="1611" xr:uid="{AD11AA4D-19A5-4A94-A2D1-641AFDED3A22}"/>
    <cellStyle name="40% - Accent6 3 2 4 2" xfId="5366" xr:uid="{E3AD2647-92FC-4F02-9CB6-5F440996D7A7}"/>
    <cellStyle name="40% - Accent6 3 2 4 2 2" xfId="10812" xr:uid="{F3804603-CABE-4311-B035-2E9683B17BE0}"/>
    <cellStyle name="40% - Accent6 3 2 4 3" xfId="8435" xr:uid="{FDE8FFF8-200E-42D7-B8BA-51ED7C0D173D}"/>
    <cellStyle name="40% - Accent6 3 2 5" xfId="3404" xr:uid="{F8F889D0-A99B-4B42-AE41-D1BE5C906D07}"/>
    <cellStyle name="40% - Accent6 3 2 5 2" xfId="5893" xr:uid="{43D5C115-A1A4-4A9C-8B53-EB1AAA2A8F1C}"/>
    <cellStyle name="40% - Accent6 3 2 5 2 2" xfId="11335" xr:uid="{DAD62F16-7D6E-47CB-98D4-D98432B996F4}"/>
    <cellStyle name="40% - Accent6 3 2 5 3" xfId="8951" xr:uid="{2D335F9C-FDE0-4A6F-96FC-AC0E0D0FF8DC}"/>
    <cellStyle name="40% - Accent6 3 2 6" xfId="2098" xr:uid="{0AC68FC7-BC27-4605-8D29-59744614F171}"/>
    <cellStyle name="40% - Accent6 3 2 7" xfId="5359" xr:uid="{045E072E-CC58-49CE-8BF8-C7BCB95BF0AE}"/>
    <cellStyle name="40% - Accent6 3 2 7 2" xfId="10805" xr:uid="{B9255F53-1AAD-432F-9498-295B276EB5D8}"/>
    <cellStyle name="40% - Accent6 3 2 8" xfId="8428" xr:uid="{8B38BEAE-3F37-4907-B19B-34C3C2D598CD}"/>
    <cellStyle name="40% - Accent6 3 3" xfId="1612" xr:uid="{0054C00F-4A42-40C5-8919-531CA5FA6B29}"/>
    <cellStyle name="40% - Accent6 3 3 2" xfId="1613" xr:uid="{311DABD4-364B-485D-88FE-1A8388322884}"/>
    <cellStyle name="40% - Accent6 3 3 2 2" xfId="1614" xr:uid="{0610C8BA-F175-4183-B9E5-506602214628}"/>
    <cellStyle name="40% - Accent6 3 3 2 2 2" xfId="1615" xr:uid="{58759C86-60E7-450F-866B-42353BBB6933}"/>
    <cellStyle name="40% - Accent6 3 3 2 2 2 2" xfId="5370" xr:uid="{93B3FF81-FBEE-415A-89C6-99747BA824BC}"/>
    <cellStyle name="40% - Accent6 3 3 2 2 2 2 2" xfId="10816" xr:uid="{D74B6ECE-5EE1-4626-A0C4-85DA3ECD9416}"/>
    <cellStyle name="40% - Accent6 3 3 2 2 2 3" xfId="8439" xr:uid="{26F64160-6E75-433F-929A-16BAE13916B3}"/>
    <cellStyle name="40% - Accent6 3 3 2 2 3" xfId="5369" xr:uid="{12F217DA-A82D-438D-92AA-9359BD24EB68}"/>
    <cellStyle name="40% - Accent6 3 3 2 2 3 2" xfId="10815" xr:uid="{6235F78D-DFFF-4AE7-AA61-0016C0A38F55}"/>
    <cellStyle name="40% - Accent6 3 3 2 2 4" xfId="8438" xr:uid="{21890161-9BD2-44A8-9ED4-2F34C6217328}"/>
    <cellStyle name="40% - Accent6 3 3 2 3" xfId="1616" xr:uid="{5D500732-7AD0-4253-834A-E7B73287D53F}"/>
    <cellStyle name="40% - Accent6 3 3 2 3 2" xfId="5371" xr:uid="{4618CA10-C212-43F4-A960-2B5A48E98982}"/>
    <cellStyle name="40% - Accent6 3 3 2 3 2 2" xfId="10817" xr:uid="{43162C90-0258-4BFC-97B0-E980366C107A}"/>
    <cellStyle name="40% - Accent6 3 3 2 3 3" xfId="8440" xr:uid="{4966802C-6D36-4785-A757-9456D1958C3E}"/>
    <cellStyle name="40% - Accent6 3 3 2 4" xfId="5368" xr:uid="{FDA5BA4B-5616-4AAB-A217-5B05815B9A4D}"/>
    <cellStyle name="40% - Accent6 3 3 2 4 2" xfId="10814" xr:uid="{203CECB7-7DBD-44E3-B04D-D386918F2698}"/>
    <cellStyle name="40% - Accent6 3 3 2 5" xfId="8437" xr:uid="{D9EBB574-9EE9-4D1D-82F2-7DD5FA088D08}"/>
    <cellStyle name="40% - Accent6 3 3 3" xfId="1617" xr:uid="{6B15EAED-C374-4065-94FF-AC942C3B4A54}"/>
    <cellStyle name="40% - Accent6 3 3 3 2" xfId="1618" xr:uid="{EC013D48-9E99-47F8-A9C8-9DD62F2FF83F}"/>
    <cellStyle name="40% - Accent6 3 3 3 2 2" xfId="5373" xr:uid="{8A3859B8-5A16-449F-8BE5-8FD0EE896F52}"/>
    <cellStyle name="40% - Accent6 3 3 3 2 2 2" xfId="10819" xr:uid="{6F3D2B15-CB18-43FF-BA7E-79FAD1FA3524}"/>
    <cellStyle name="40% - Accent6 3 3 3 2 3" xfId="8442" xr:uid="{6CEFFB44-5214-442A-950B-7392EA8B9FAC}"/>
    <cellStyle name="40% - Accent6 3 3 3 3" xfId="5372" xr:uid="{E7DB9A02-4BA7-4801-9169-EA17BAC74E01}"/>
    <cellStyle name="40% - Accent6 3 3 3 3 2" xfId="10818" xr:uid="{94DE37D9-A589-43D8-8DD4-468D355E4748}"/>
    <cellStyle name="40% - Accent6 3 3 3 4" xfId="8441" xr:uid="{FDF10C7A-27DF-4D9A-98C6-62DE808BA932}"/>
    <cellStyle name="40% - Accent6 3 3 4" xfId="1619" xr:uid="{9861BCFB-58A9-485D-8B2A-310B838F86A3}"/>
    <cellStyle name="40% - Accent6 3 3 4 2" xfId="5374" xr:uid="{4164D55A-808C-489D-92DC-5784BA8D1C6B}"/>
    <cellStyle name="40% - Accent6 3 3 4 2 2" xfId="10820" xr:uid="{D6733C3E-800A-4AC9-ADC1-6D1CFC05650B}"/>
    <cellStyle name="40% - Accent6 3 3 4 3" xfId="8443" xr:uid="{839440B4-3CE5-495F-9579-045E8CD13645}"/>
    <cellStyle name="40% - Accent6 3 3 5" xfId="5367" xr:uid="{0CFBE131-734D-40AA-9484-14F216CFE357}"/>
    <cellStyle name="40% - Accent6 3 3 5 2" xfId="10813" xr:uid="{BD94EFF1-50D9-4BFC-8ED8-C196E2A8631C}"/>
    <cellStyle name="40% - Accent6 3 3 6" xfId="8436" xr:uid="{353BFDDB-D34D-4D45-886C-4009987830F3}"/>
    <cellStyle name="40% - Accent6 3 4" xfId="1620" xr:uid="{CF9F3CBB-F8BA-46E0-B39B-30E0DDF26C15}"/>
    <cellStyle name="40% - Accent6 3 4 2" xfId="1621" xr:uid="{703705BF-0755-4057-BDA5-08349412C100}"/>
    <cellStyle name="40% - Accent6 3 4 2 2" xfId="1622" xr:uid="{8017C82E-0CF3-48A2-B665-0523FDA8BA3D}"/>
    <cellStyle name="40% - Accent6 3 4 2 2 2" xfId="5377" xr:uid="{74448B55-3A57-4CBB-87ED-526CE55CFBE5}"/>
    <cellStyle name="40% - Accent6 3 4 2 2 2 2" xfId="10823" xr:uid="{73B925B6-49A4-48A1-A38D-28871FEB568A}"/>
    <cellStyle name="40% - Accent6 3 4 2 2 3" xfId="8446" xr:uid="{482F4AAB-8C60-4B48-ACF7-A363CBED5C77}"/>
    <cellStyle name="40% - Accent6 3 4 2 3" xfId="5376" xr:uid="{D86DA428-37A3-4877-808D-0A869BAEE445}"/>
    <cellStyle name="40% - Accent6 3 4 2 3 2" xfId="10822" xr:uid="{45F14765-91DE-4080-AE1C-E29D0A8755B3}"/>
    <cellStyle name="40% - Accent6 3 4 2 4" xfId="8445" xr:uid="{395FB0F0-64C4-4DAB-A761-E883650C654C}"/>
    <cellStyle name="40% - Accent6 3 4 3" xfId="1623" xr:uid="{B8E906B6-DD14-4743-BA48-354A253D54B3}"/>
    <cellStyle name="40% - Accent6 3 4 3 2" xfId="5378" xr:uid="{B0580C96-369E-4E4D-B952-42CB8FDC8A01}"/>
    <cellStyle name="40% - Accent6 3 4 3 2 2" xfId="10824" xr:uid="{53A740AC-4871-41B5-88B3-D38A1CE4705A}"/>
    <cellStyle name="40% - Accent6 3 4 3 3" xfId="8447" xr:uid="{95EFD68E-0FF9-4087-8E46-FD1BFD3E9CB8}"/>
    <cellStyle name="40% - Accent6 3 4 4" xfId="5375" xr:uid="{84D5AE26-5377-4E88-BD9C-8403C35BFF98}"/>
    <cellStyle name="40% - Accent6 3 4 4 2" xfId="10821" xr:uid="{E2831BB8-4832-4A6E-9E37-3AE10508019E}"/>
    <cellStyle name="40% - Accent6 3 4 5" xfId="8444" xr:uid="{C09F5F49-C550-45B7-9A57-DB6097EA46DF}"/>
    <cellStyle name="40% - Accent6 3 5" xfId="1624" xr:uid="{0437511F-7D76-45AA-884D-05D193A5A044}"/>
    <cellStyle name="40% - Accent6 3 5 2" xfId="1625" xr:uid="{8358AC93-FC5D-4573-A1DF-E105065496B6}"/>
    <cellStyle name="40% - Accent6 3 5 2 2" xfId="5380" xr:uid="{D668AB56-A12F-4C7B-917B-30A764B755C1}"/>
    <cellStyle name="40% - Accent6 3 5 2 2 2" xfId="10826" xr:uid="{2D330EA2-4B45-49BA-802F-C811C3D50916}"/>
    <cellStyle name="40% - Accent6 3 5 2 3" xfId="8449" xr:uid="{97E0FD72-B636-4121-8394-A95492BBB07B}"/>
    <cellStyle name="40% - Accent6 3 5 3" xfId="5379" xr:uid="{63838ECE-4711-41FD-9631-27106514DBD2}"/>
    <cellStyle name="40% - Accent6 3 5 3 2" xfId="10825" xr:uid="{34F32A24-BE60-45A1-80EF-A3C9F4D90B5A}"/>
    <cellStyle name="40% - Accent6 3 5 4" xfId="8448" xr:uid="{12F6661F-D3A1-4D60-891F-DC9447AE602F}"/>
    <cellStyle name="40% - Accent6 3 6" xfId="1626" xr:uid="{6FFE7953-BCE9-4AEF-9756-FB55B8C0338F}"/>
    <cellStyle name="40% - Accent6 3 6 2" xfId="5381" xr:uid="{FF72BCFD-F7A9-4301-B7DE-191E9DAB8F31}"/>
    <cellStyle name="40% - Accent6 3 6 2 2" xfId="10827" xr:uid="{B120C5C8-5D84-4348-87EB-5DD0A73379B5}"/>
    <cellStyle name="40% - Accent6 3 6 3" xfId="8450" xr:uid="{585943F4-12C2-4AEC-8AC0-31A69A723065}"/>
    <cellStyle name="40% - Accent6 3 7" xfId="5358" xr:uid="{61D5C4E3-785E-4EC7-86B4-6558F76E3959}"/>
    <cellStyle name="40% - Accent6 3 7 2" xfId="10804" xr:uid="{8D73402A-8C70-4260-9752-C5D190357574}"/>
    <cellStyle name="40% - Accent6 3 8" xfId="8427" xr:uid="{AE5F56F1-E53E-4343-B4EC-434817BFD67D}"/>
    <cellStyle name="40% - Accent6 4" xfId="1627" xr:uid="{00145F4F-6CB4-44BC-92FE-23D5DDD7C137}"/>
    <cellStyle name="40% - Accent6 4 2" xfId="1628" xr:uid="{3204783C-1238-4080-B4F0-CBC3D3C28378}"/>
    <cellStyle name="40% - Accent6 4 2 2" xfId="1629" xr:uid="{6FBAB784-A5F2-4034-A311-0231A91AE9A0}"/>
    <cellStyle name="40% - Accent6 4 2 2 2" xfId="1630" xr:uid="{6C37EB90-DEA2-4504-97EF-401FD6E86751}"/>
    <cellStyle name="40% - Accent6 4 2 2 2 2" xfId="1631" xr:uid="{AFCBCB71-53B7-4384-9747-D9F7433CE1D1}"/>
    <cellStyle name="40% - Accent6 4 2 2 2 2 2" xfId="5386" xr:uid="{E97377CC-FDBF-42BF-879C-5F30E4F54A7E}"/>
    <cellStyle name="40% - Accent6 4 2 2 2 2 2 2" xfId="10832" xr:uid="{86BF1036-C305-4BC5-BA8C-AA10BE129C4A}"/>
    <cellStyle name="40% - Accent6 4 2 2 2 2 3" xfId="8455" xr:uid="{ADFDC9A5-90D0-4CFB-BAE5-AFDFF0C5A87E}"/>
    <cellStyle name="40% - Accent6 4 2 2 2 3" xfId="5385" xr:uid="{82A8839E-5D6C-4557-88AD-B7D4EC3ED4EB}"/>
    <cellStyle name="40% - Accent6 4 2 2 2 3 2" xfId="10831" xr:uid="{923B2479-37B7-4EEF-B542-518AB91D917E}"/>
    <cellStyle name="40% - Accent6 4 2 2 2 4" xfId="8454" xr:uid="{5E94FBF9-DC93-497C-8DF5-79DD9675E97C}"/>
    <cellStyle name="40% - Accent6 4 2 2 3" xfId="1632" xr:uid="{F71A9D4F-9B46-42E9-86E4-EF3DC6A4FF08}"/>
    <cellStyle name="40% - Accent6 4 2 2 3 2" xfId="5387" xr:uid="{B9AE8AE4-13E0-4E37-98BE-A7016A5306AD}"/>
    <cellStyle name="40% - Accent6 4 2 2 3 2 2" xfId="10833" xr:uid="{94B08B61-0BD3-4422-8A6B-0C1C9805D2E6}"/>
    <cellStyle name="40% - Accent6 4 2 2 3 3" xfId="8456" xr:uid="{4E7191F6-F9D6-42D6-BA6C-EDB355F9A382}"/>
    <cellStyle name="40% - Accent6 4 2 2 4" xfId="5384" xr:uid="{E0C64151-6478-4FBF-A62A-311E91FE6386}"/>
    <cellStyle name="40% - Accent6 4 2 2 4 2" xfId="10830" xr:uid="{D532534F-DAE1-44E9-9A58-096FA2DD5152}"/>
    <cellStyle name="40% - Accent6 4 2 2 5" xfId="8453" xr:uid="{AB3B150C-8EDE-4BC3-AF8D-8CD2AE13F040}"/>
    <cellStyle name="40% - Accent6 4 2 3" xfId="1633" xr:uid="{0A9BAA52-3921-4874-B7A8-3EF3B6077162}"/>
    <cellStyle name="40% - Accent6 4 2 3 2" xfId="1634" xr:uid="{1595F0B8-25DE-46CD-84BB-F35F2A2B812C}"/>
    <cellStyle name="40% - Accent6 4 2 3 2 2" xfId="5389" xr:uid="{23B32C89-FF75-4863-8EC4-CCB872D9B32E}"/>
    <cellStyle name="40% - Accent6 4 2 3 2 2 2" xfId="10835" xr:uid="{972EAF36-84C0-4160-BAE2-DECAD7B80DB4}"/>
    <cellStyle name="40% - Accent6 4 2 3 2 3" xfId="8458" xr:uid="{E294C75B-11D3-4E45-BDF4-6C74CE090D24}"/>
    <cellStyle name="40% - Accent6 4 2 3 3" xfId="5388" xr:uid="{F8D9238D-AD9D-4694-9E19-1EFDEBB46584}"/>
    <cellStyle name="40% - Accent6 4 2 3 3 2" xfId="10834" xr:uid="{DDF0C98C-AC8E-4164-B727-D627DE467D4F}"/>
    <cellStyle name="40% - Accent6 4 2 3 4" xfId="8457" xr:uid="{F1BB7AA5-40C6-49F2-A798-2F0046F3A712}"/>
    <cellStyle name="40% - Accent6 4 2 4" xfId="1635" xr:uid="{F370871C-01C8-40DA-A425-71EBF17422EF}"/>
    <cellStyle name="40% - Accent6 4 2 4 2" xfId="5390" xr:uid="{2CC9239A-0D99-45D6-9333-998C1ADEEC13}"/>
    <cellStyle name="40% - Accent6 4 2 4 2 2" xfId="10836" xr:uid="{7CBF5C39-47C2-4596-8995-FD0C61204B34}"/>
    <cellStyle name="40% - Accent6 4 2 4 3" xfId="8459" xr:uid="{6A440CBD-285D-403F-8A84-9D5E18D678EB}"/>
    <cellStyle name="40% - Accent6 4 2 5" xfId="5383" xr:uid="{3B42A35C-C383-4598-970B-C247DEA5FF3C}"/>
    <cellStyle name="40% - Accent6 4 2 5 2" xfId="10829" xr:uid="{76959D20-42A8-41B1-A10E-52733BA13778}"/>
    <cellStyle name="40% - Accent6 4 2 6" xfId="8452" xr:uid="{317F0964-47EA-458E-A630-6180B610CF24}"/>
    <cellStyle name="40% - Accent6 4 3" xfId="1636" xr:uid="{80B75DD8-A3E2-474C-804E-9C2EB80C08D1}"/>
    <cellStyle name="40% - Accent6 4 3 2" xfId="1637" xr:uid="{0C794FEE-5409-4F52-AEF0-3707582F7F75}"/>
    <cellStyle name="40% - Accent6 4 3 2 2" xfId="1638" xr:uid="{93C267FA-7080-4284-8ABF-7EF7EB9DF265}"/>
    <cellStyle name="40% - Accent6 4 3 2 2 2" xfId="1639" xr:uid="{8A8F68C0-AEE0-4DB7-BF0C-4E24DC904EAC}"/>
    <cellStyle name="40% - Accent6 4 3 2 2 2 2" xfId="5394" xr:uid="{4F483B44-24F8-4A3D-8FAA-6865BDC68148}"/>
    <cellStyle name="40% - Accent6 4 3 2 2 2 2 2" xfId="10840" xr:uid="{D240E5FF-F922-4F24-BA7C-A2AA62EE5123}"/>
    <cellStyle name="40% - Accent6 4 3 2 2 2 3" xfId="8463" xr:uid="{A78786A5-2F59-47D1-B6EF-D5AAD7DDA3BB}"/>
    <cellStyle name="40% - Accent6 4 3 2 2 3" xfId="5393" xr:uid="{4A3C2484-8734-43C7-9367-36ABA6CC3E3C}"/>
    <cellStyle name="40% - Accent6 4 3 2 2 3 2" xfId="10839" xr:uid="{D3FEB327-A1EE-4842-8974-FAC89B2E41ED}"/>
    <cellStyle name="40% - Accent6 4 3 2 2 4" xfId="8462" xr:uid="{77FCC028-37C5-4C3F-8BF5-83E4C5828F55}"/>
    <cellStyle name="40% - Accent6 4 3 2 3" xfId="1640" xr:uid="{8D7373D1-B69C-4955-B307-B74A23A7808A}"/>
    <cellStyle name="40% - Accent6 4 3 2 3 2" xfId="5395" xr:uid="{779A1B43-7525-4855-B7C9-5089CFD60E08}"/>
    <cellStyle name="40% - Accent6 4 3 2 3 2 2" xfId="10841" xr:uid="{10A18A70-78AD-486E-BD2F-E4943E7A53C8}"/>
    <cellStyle name="40% - Accent6 4 3 2 3 3" xfId="8464" xr:uid="{98231251-3E07-4666-9755-D4C44208AEF2}"/>
    <cellStyle name="40% - Accent6 4 3 2 4" xfId="5392" xr:uid="{D0D97C24-1A7E-49B3-B7CF-3F510983C758}"/>
    <cellStyle name="40% - Accent6 4 3 2 4 2" xfId="10838" xr:uid="{5B807748-E39D-4AEE-B1DC-C32D205B5E32}"/>
    <cellStyle name="40% - Accent6 4 3 2 5" xfId="8461" xr:uid="{2F06DBD0-E6D2-4C6B-91A9-7D482AA87978}"/>
    <cellStyle name="40% - Accent6 4 3 3" xfId="1641" xr:uid="{2F1FAB5B-C616-4694-B6A8-3B9A0C0BA86D}"/>
    <cellStyle name="40% - Accent6 4 3 3 2" xfId="1642" xr:uid="{B35123DC-C06F-493F-9C18-1E4599363D69}"/>
    <cellStyle name="40% - Accent6 4 3 3 2 2" xfId="5397" xr:uid="{4E00B7F0-25DE-479A-BC83-6A404E9CDF42}"/>
    <cellStyle name="40% - Accent6 4 3 3 2 2 2" xfId="10843" xr:uid="{BE4FC8A0-9D02-4BE6-BFB1-E9D973A4EDED}"/>
    <cellStyle name="40% - Accent6 4 3 3 2 3" xfId="8466" xr:uid="{F83BB62B-DD98-4B3D-9DC6-EDA9AC24CF41}"/>
    <cellStyle name="40% - Accent6 4 3 3 3" xfId="5396" xr:uid="{88F97EF7-0FBF-4AA1-9786-7886C87D503F}"/>
    <cellStyle name="40% - Accent6 4 3 3 3 2" xfId="10842" xr:uid="{01F3E9F7-1A9D-413A-B06E-D0B94AE4BFAF}"/>
    <cellStyle name="40% - Accent6 4 3 3 4" xfId="8465" xr:uid="{759E2940-EC64-463C-97F9-480E2F7769DC}"/>
    <cellStyle name="40% - Accent6 4 3 4" xfId="1643" xr:uid="{B4268799-2A07-4684-BD53-8A8D1486EDAA}"/>
    <cellStyle name="40% - Accent6 4 3 4 2" xfId="5398" xr:uid="{3F8245F2-1163-4BF0-9F5E-36B7DA9EB401}"/>
    <cellStyle name="40% - Accent6 4 3 4 2 2" xfId="10844" xr:uid="{0060BD7D-44F2-4E6A-9ED2-BC8F8174D17A}"/>
    <cellStyle name="40% - Accent6 4 3 4 3" xfId="8467" xr:uid="{7C3A390F-1A5C-4FA9-9648-3B28CD764C1C}"/>
    <cellStyle name="40% - Accent6 4 3 5" xfId="5391" xr:uid="{80FFB344-23F5-4FDF-9476-6199F1A2D98B}"/>
    <cellStyle name="40% - Accent6 4 3 5 2" xfId="10837" xr:uid="{250B9495-416A-491F-B8C0-436C19A4147C}"/>
    <cellStyle name="40% - Accent6 4 3 6" xfId="8460" xr:uid="{1356A505-1C10-431D-97C4-48A2955BFB07}"/>
    <cellStyle name="40% - Accent6 4 4" xfId="1644" xr:uid="{F357C884-2E92-4FE0-806B-9D7C47D4B28D}"/>
    <cellStyle name="40% - Accent6 4 4 2" xfId="1645" xr:uid="{8F7D2C42-552E-4F75-BD95-C9BB4BCCF507}"/>
    <cellStyle name="40% - Accent6 4 4 2 2" xfId="1646" xr:uid="{E826D173-F224-498B-8506-9E8DFE0BECDA}"/>
    <cellStyle name="40% - Accent6 4 4 2 2 2" xfId="5401" xr:uid="{D1E213A4-3F4E-4E6F-BF7F-222E5EC630A0}"/>
    <cellStyle name="40% - Accent6 4 4 2 2 2 2" xfId="10847" xr:uid="{67EE66B0-6E34-4148-B05F-82ACB5A2720B}"/>
    <cellStyle name="40% - Accent6 4 4 2 2 3" xfId="8470" xr:uid="{32428EE1-6039-4D38-BB91-15C93D5754EB}"/>
    <cellStyle name="40% - Accent6 4 4 2 3" xfId="5400" xr:uid="{CF7DF72F-7CD3-4407-803F-DCDD78E43AF2}"/>
    <cellStyle name="40% - Accent6 4 4 2 3 2" xfId="10846" xr:uid="{ECED81A8-44EE-4487-B670-DC05EE50DEA4}"/>
    <cellStyle name="40% - Accent6 4 4 2 4" xfId="8469" xr:uid="{33B6943A-6CB2-4D61-AFE2-1ED0A624B43D}"/>
    <cellStyle name="40% - Accent6 4 4 3" xfId="1647" xr:uid="{EDCC5A3F-018E-4243-BFF2-CED27EA1F38C}"/>
    <cellStyle name="40% - Accent6 4 4 3 2" xfId="5402" xr:uid="{67CCE03C-8CC7-4553-8C32-ED17FC4785B7}"/>
    <cellStyle name="40% - Accent6 4 4 3 2 2" xfId="10848" xr:uid="{79C07135-E581-4549-8277-4DC737B86058}"/>
    <cellStyle name="40% - Accent6 4 4 3 3" xfId="8471" xr:uid="{89857EE0-7B21-4939-9F1B-305E6C1B5111}"/>
    <cellStyle name="40% - Accent6 4 4 4" xfId="5399" xr:uid="{621974B1-9694-470C-9CE0-0C3C7614CDE6}"/>
    <cellStyle name="40% - Accent6 4 4 4 2" xfId="10845" xr:uid="{8D6BD932-0799-469B-99B3-81AA8A0679F9}"/>
    <cellStyle name="40% - Accent6 4 4 5" xfId="8468" xr:uid="{8EA80850-AB4F-44FD-B68B-FB2E483C4EF3}"/>
    <cellStyle name="40% - Accent6 4 5" xfId="1648" xr:uid="{4BB0A422-C58D-4889-A3BA-4C31F592B781}"/>
    <cellStyle name="40% - Accent6 4 5 2" xfId="1649" xr:uid="{83EF8990-39EC-41B8-88EC-FF9F23CB1E3E}"/>
    <cellStyle name="40% - Accent6 4 5 2 2" xfId="5404" xr:uid="{C0AE5C38-C41D-45FA-8735-5D174B505102}"/>
    <cellStyle name="40% - Accent6 4 5 2 2 2" xfId="10850" xr:uid="{CC08D320-87F5-4FE1-9BE2-7B6CE8A181B7}"/>
    <cellStyle name="40% - Accent6 4 5 2 3" xfId="8473" xr:uid="{B973E3A1-4063-467B-9703-D0767A655669}"/>
    <cellStyle name="40% - Accent6 4 5 3" xfId="5403" xr:uid="{3DD1A467-E3E1-4F66-95CE-61AF9B8AD606}"/>
    <cellStyle name="40% - Accent6 4 5 3 2" xfId="10849" xr:uid="{A4D0B5BA-8A96-4588-8BCE-759E21B32B8E}"/>
    <cellStyle name="40% - Accent6 4 5 4" xfId="8472" xr:uid="{FBEFBE9D-DF4E-4065-ABB2-5EFB14F4807C}"/>
    <cellStyle name="40% - Accent6 4 6" xfId="1650" xr:uid="{10E36B65-D5A1-403A-9EEF-0FC7EBA2FF70}"/>
    <cellStyle name="40% - Accent6 4 6 2" xfId="5405" xr:uid="{01F31CB3-C6C5-4A16-9CCD-F5F25A3515FC}"/>
    <cellStyle name="40% - Accent6 4 6 2 2" xfId="10851" xr:uid="{7CB6DCA7-3478-4943-874A-B2351DB1698B}"/>
    <cellStyle name="40% - Accent6 4 6 3" xfId="8474" xr:uid="{A5492339-E243-44FC-BFA9-965298F8080B}"/>
    <cellStyle name="40% - Accent6 4 7" xfId="5382" xr:uid="{50CA7356-2CC5-4452-B401-15EFFF7B2A71}"/>
    <cellStyle name="40% - Accent6 4 7 2" xfId="10828" xr:uid="{3E292070-AB4D-4AA5-A241-CEB4C1154A49}"/>
    <cellStyle name="40% - Accent6 4 8" xfId="8451" xr:uid="{DFB81215-0481-483C-8627-A6E63D042C61}"/>
    <cellStyle name="40% - Accent6 5" xfId="1651" xr:uid="{131E58C2-AFD7-47C7-A4CB-CB4A1EACE4CE}"/>
    <cellStyle name="40% - Accent6 5 2" xfId="1652" xr:uid="{3BFD627E-818F-4B4C-B1AA-FCA99EB069D0}"/>
    <cellStyle name="40% - Accent6 5 2 2" xfId="1653" xr:uid="{BB4D1057-F6C6-4D7D-A66A-625C29E7301A}"/>
    <cellStyle name="40% - Accent6 5 2 2 2" xfId="1654" xr:uid="{533067A4-65E2-417C-A010-CC283F583F0C}"/>
    <cellStyle name="40% - Accent6 5 2 2 2 2" xfId="5409" xr:uid="{907A435C-D38F-470E-8676-A3D6622307C8}"/>
    <cellStyle name="40% - Accent6 5 2 2 2 2 2" xfId="10855" xr:uid="{B56D6AB9-04FC-45C7-A504-4B3122B037C7}"/>
    <cellStyle name="40% - Accent6 5 2 2 2 3" xfId="8478" xr:uid="{2B88ED2B-EE41-46E1-88A4-3348EB74D8E0}"/>
    <cellStyle name="40% - Accent6 5 2 2 3" xfId="5408" xr:uid="{184829D0-F0E4-4A6D-A9C5-E67DE415E520}"/>
    <cellStyle name="40% - Accent6 5 2 2 3 2" xfId="10854" xr:uid="{F116F8FE-372C-494D-A257-166016BAF397}"/>
    <cellStyle name="40% - Accent6 5 2 2 4" xfId="8477" xr:uid="{44BE2686-9E60-4C48-87A5-65CAD353D5E4}"/>
    <cellStyle name="40% - Accent6 5 2 3" xfId="1655" xr:uid="{5101C343-2069-4495-B9BF-9ACD5250DB49}"/>
    <cellStyle name="40% - Accent6 5 2 3 2" xfId="5410" xr:uid="{82BFBD39-D387-46D2-BC28-63AF8B2CDB1A}"/>
    <cellStyle name="40% - Accent6 5 2 3 2 2" xfId="10856" xr:uid="{35C74B41-09F2-4E35-A337-F21A98CF13D8}"/>
    <cellStyle name="40% - Accent6 5 2 3 3" xfId="8479" xr:uid="{CC607D8D-82B3-475D-A450-4D281CFA2FFA}"/>
    <cellStyle name="40% - Accent6 5 2 4" xfId="5407" xr:uid="{4206FA38-F201-4608-9D22-D5E7ABE7DE1B}"/>
    <cellStyle name="40% - Accent6 5 2 4 2" xfId="10853" xr:uid="{7764E1E7-CA13-476B-9F62-54CDE46DC4CF}"/>
    <cellStyle name="40% - Accent6 5 2 5" xfId="8476" xr:uid="{64776D1F-0010-4567-A7CC-4520968E9D05}"/>
    <cellStyle name="40% - Accent6 5 3" xfId="1656" xr:uid="{F6232EF0-72DE-40A7-9B04-86EED0A6FC58}"/>
    <cellStyle name="40% - Accent6 5 3 2" xfId="1657" xr:uid="{2C37BB65-D6A2-42A4-9F70-6163E4D74272}"/>
    <cellStyle name="40% - Accent6 5 3 2 2" xfId="5412" xr:uid="{4934D7A7-F753-45F6-B98F-953D326F67A7}"/>
    <cellStyle name="40% - Accent6 5 3 2 2 2" xfId="10858" xr:uid="{DB8FE081-536F-4DE7-B0CA-5D4F4758DC39}"/>
    <cellStyle name="40% - Accent6 5 3 2 3" xfId="8481" xr:uid="{C6F8CBB9-A6A0-4242-9C99-225A6C779AC3}"/>
    <cellStyle name="40% - Accent6 5 3 3" xfId="5411" xr:uid="{970DBE32-DBA0-4E81-A92F-AA3E5F310092}"/>
    <cellStyle name="40% - Accent6 5 3 3 2" xfId="10857" xr:uid="{4B9E599E-95C5-47ED-ACAD-8893777C053A}"/>
    <cellStyle name="40% - Accent6 5 3 4" xfId="8480" xr:uid="{60E63EAD-C7F5-4E6B-A079-075FACCA7A3D}"/>
    <cellStyle name="40% - Accent6 5 4" xfId="1658" xr:uid="{6DA2F717-09DA-4EB0-BB16-D5BD47EA3DCC}"/>
    <cellStyle name="40% - Accent6 5 4 2" xfId="5413" xr:uid="{35377D2A-C9D3-4495-B9AD-984ED40B76DD}"/>
    <cellStyle name="40% - Accent6 5 4 2 2" xfId="10859" xr:uid="{922F96B4-3A05-4208-A3AF-16408D322733}"/>
    <cellStyle name="40% - Accent6 5 4 3" xfId="8482" xr:uid="{422F840F-FF9C-4E1C-BFCB-FF39E1B6CEA3}"/>
    <cellStyle name="40% - Accent6 5 5" xfId="5406" xr:uid="{33C80D13-FB30-4757-9EC7-8A4059201EC2}"/>
    <cellStyle name="40% - Accent6 5 5 2" xfId="10852" xr:uid="{B84896C6-1B6F-4322-8CC0-124085856128}"/>
    <cellStyle name="40% - Accent6 5 6" xfId="8475" xr:uid="{8541F830-0F78-4CA9-B86E-9DFBED7BED37}"/>
    <cellStyle name="40% - Accent6 6" xfId="1659" xr:uid="{8D065E85-3025-4C69-B7BD-18D6BFAD5F66}"/>
    <cellStyle name="40% - Accent6 6 2" xfId="1660" xr:uid="{EAB7C9E6-D292-453A-B290-CCFF0867261F}"/>
    <cellStyle name="40% - Accent6 6 2 2" xfId="1661" xr:uid="{03595910-F2A4-4D93-85CB-2D046BD22A30}"/>
    <cellStyle name="40% - Accent6 6 2 2 2" xfId="1662" xr:uid="{52C8FF7F-D050-4D40-8BB7-94556BEE42D2}"/>
    <cellStyle name="40% - Accent6 6 2 2 2 2" xfId="5417" xr:uid="{E79BF0C9-6C17-45ED-B34E-B5668474FA03}"/>
    <cellStyle name="40% - Accent6 6 2 2 2 2 2" xfId="10863" xr:uid="{5F5FA9D6-996C-450E-B2BA-7240C0F0D8CB}"/>
    <cellStyle name="40% - Accent6 6 2 2 2 3" xfId="8486" xr:uid="{082CCB59-6D4D-4384-8DBA-81F87C2312E3}"/>
    <cellStyle name="40% - Accent6 6 2 2 3" xfId="5416" xr:uid="{B5DA9888-E670-4F81-8F45-6CE5C153D663}"/>
    <cellStyle name="40% - Accent6 6 2 2 3 2" xfId="10862" xr:uid="{F24DFC13-B29F-41F3-AD25-A7112399E976}"/>
    <cellStyle name="40% - Accent6 6 2 2 4" xfId="8485" xr:uid="{E25B071C-C17D-4113-AD80-555316F1EF19}"/>
    <cellStyle name="40% - Accent6 6 2 3" xfId="1663" xr:uid="{C90728B9-726E-4F1E-8ED4-C0BC815DDD0C}"/>
    <cellStyle name="40% - Accent6 6 2 3 2" xfId="5418" xr:uid="{890F0A1F-22A0-4879-88BE-E5631C22B423}"/>
    <cellStyle name="40% - Accent6 6 2 3 2 2" xfId="10864" xr:uid="{D03605B0-994C-4C9D-812E-5332F8A77E38}"/>
    <cellStyle name="40% - Accent6 6 2 3 3" xfId="8487" xr:uid="{2E661BC3-B8DB-486F-AD48-B1979F3CE2D9}"/>
    <cellStyle name="40% - Accent6 6 2 4" xfId="5415" xr:uid="{7C572578-8411-4346-937C-79A97C3D4EDB}"/>
    <cellStyle name="40% - Accent6 6 2 4 2" xfId="10861" xr:uid="{A35EB97C-86B4-4540-AA2D-CEDFEDEAE66C}"/>
    <cellStyle name="40% - Accent6 6 2 5" xfId="8484" xr:uid="{33ACF432-872C-4135-85D9-243A0F63B2B0}"/>
    <cellStyle name="40% - Accent6 6 3" xfId="1664" xr:uid="{177E82F6-BA69-44D7-AB24-5FE8C024569C}"/>
    <cellStyle name="40% - Accent6 6 3 2" xfId="1665" xr:uid="{03BA92B9-66DB-475B-BD48-BAB3CBD38673}"/>
    <cellStyle name="40% - Accent6 6 3 2 2" xfId="5420" xr:uid="{0522AB33-14D3-4D36-99FF-7FECC3509C71}"/>
    <cellStyle name="40% - Accent6 6 3 2 2 2" xfId="10866" xr:uid="{71ECD77B-0EAA-482F-9978-1322B4565762}"/>
    <cellStyle name="40% - Accent6 6 3 2 3" xfId="8489" xr:uid="{5E0C5A6A-8595-4804-A810-886E25CD42AF}"/>
    <cellStyle name="40% - Accent6 6 3 3" xfId="5419" xr:uid="{20E4E9DA-DF91-4F6C-95F6-114BC2CB1855}"/>
    <cellStyle name="40% - Accent6 6 3 3 2" xfId="10865" xr:uid="{3A40917E-E633-4E47-AC5A-593E55117786}"/>
    <cellStyle name="40% - Accent6 6 3 4" xfId="8488" xr:uid="{1EEB0246-1B05-41F2-BB65-D717C78A34EA}"/>
    <cellStyle name="40% - Accent6 6 4" xfId="1666" xr:uid="{3D88B76B-262B-4F0B-88D0-974E13A0E343}"/>
    <cellStyle name="40% - Accent6 6 4 2" xfId="5421" xr:uid="{6A410837-F792-4EE9-B9E6-158E0F1D98E2}"/>
    <cellStyle name="40% - Accent6 6 4 2 2" xfId="10867" xr:uid="{52E209E0-7A38-46FD-95EE-C83F4109AFA7}"/>
    <cellStyle name="40% - Accent6 6 4 3" xfId="8490" xr:uid="{EA039F50-DB1F-4BFD-BE9B-AE0518360715}"/>
    <cellStyle name="40% - Accent6 6 5" xfId="5414" xr:uid="{E8702118-171C-4AFA-A363-E8FDDCD5053E}"/>
    <cellStyle name="40% - Accent6 6 5 2" xfId="10860" xr:uid="{53A24461-EFD8-4EDA-B790-32E9CA982DDA}"/>
    <cellStyle name="40% - Accent6 6 6" xfId="8483" xr:uid="{ED684353-42AA-4436-BAED-EB04E2D3B4F6}"/>
    <cellStyle name="40% - Accent6 7" xfId="1667" xr:uid="{DAB390BD-FE09-41C2-AF49-90CFD61B6B5D}"/>
    <cellStyle name="40% - Accent6 7 2" xfId="1668" xr:uid="{5BCD7A7E-E3A6-48FF-8E32-58FB2E4355A3}"/>
    <cellStyle name="40% - Accent6 7 2 2" xfId="1669" xr:uid="{C344D104-53DD-474A-B2DA-04A6F14ED5AC}"/>
    <cellStyle name="40% - Accent6 7 2 2 2" xfId="5424" xr:uid="{89FBCAA2-2695-46EB-9EF1-2E7C27FD904B}"/>
    <cellStyle name="40% - Accent6 7 2 2 2 2" xfId="10870" xr:uid="{834BE4EB-001F-4E22-B58F-E5F855AF6697}"/>
    <cellStyle name="40% - Accent6 7 2 2 3" xfId="8493" xr:uid="{2E666F9C-C17E-4020-BD73-69C9AB4F24A0}"/>
    <cellStyle name="40% - Accent6 7 2 3" xfId="5423" xr:uid="{FC1F8464-CF1F-4CC6-87A1-D3C8E17E4CC4}"/>
    <cellStyle name="40% - Accent6 7 2 3 2" xfId="10869" xr:uid="{E1816A5D-B073-4183-A104-E0ABF5FE098F}"/>
    <cellStyle name="40% - Accent6 7 2 4" xfId="8492" xr:uid="{95B800EB-6CF6-4CDE-AB0F-B453FB72C888}"/>
    <cellStyle name="40% - Accent6 7 3" xfId="1670" xr:uid="{50FE2A46-F7A5-4927-965A-3B3D0A421B84}"/>
    <cellStyle name="40% - Accent6 7 3 2" xfId="5425" xr:uid="{FBD18AE3-EF67-4E80-8145-B05CEA01BD6F}"/>
    <cellStyle name="40% - Accent6 7 3 2 2" xfId="10871" xr:uid="{D6053EC9-CD38-4064-9271-F52827B88200}"/>
    <cellStyle name="40% - Accent6 7 3 3" xfId="8494" xr:uid="{051DD7A6-C2DE-40C6-BF57-A21AB1412809}"/>
    <cellStyle name="40% - Accent6 7 4" xfId="5422" xr:uid="{0682D47E-A293-4E5F-B6A8-08B07FC7EBEB}"/>
    <cellStyle name="40% - Accent6 7 4 2" xfId="10868" xr:uid="{3B802D92-D2FC-47E9-8065-88DC5BC8DD24}"/>
    <cellStyle name="40% - Accent6 7 5" xfId="8491" xr:uid="{5B7B3691-C4D4-463C-94FC-D4C6CCD4D9ED}"/>
    <cellStyle name="40% - Accent6 8" xfId="1671" xr:uid="{53B5A834-A96B-47EC-B6C4-A36C819D66E4}"/>
    <cellStyle name="40% - Accent6 8 2" xfId="1672" xr:uid="{196070F6-549F-4795-A711-0A3A5BCFA372}"/>
    <cellStyle name="40% - Accent6 8 2 2" xfId="1673" xr:uid="{79C38EED-9B3B-4ABE-BD11-05E24C037C3F}"/>
    <cellStyle name="40% - Accent6 8 2 2 2" xfId="5428" xr:uid="{26186347-3BC6-4416-B50A-E61AF9B75DDB}"/>
    <cellStyle name="40% - Accent6 8 2 2 2 2" xfId="10874" xr:uid="{D221DD84-72A3-4A30-8138-D74DFE89C723}"/>
    <cellStyle name="40% - Accent6 8 2 2 3" xfId="8497" xr:uid="{D085B6E8-D692-4322-B1C5-4B5A2574B6FE}"/>
    <cellStyle name="40% - Accent6 8 2 3" xfId="5427" xr:uid="{2DDF4978-9727-499C-A4AA-B4356AD61498}"/>
    <cellStyle name="40% - Accent6 8 2 3 2" xfId="10873" xr:uid="{6171F507-878F-48B8-9887-7F9C7DBBACA4}"/>
    <cellStyle name="40% - Accent6 8 2 4" xfId="8496" xr:uid="{71680039-8A3C-4A62-9925-3FEC60AB50DC}"/>
    <cellStyle name="40% - Accent6 8 3" xfId="1674" xr:uid="{1152DD12-FCDD-4BEB-A311-3D019A5BB716}"/>
    <cellStyle name="40% - Accent6 8 3 2" xfId="5429" xr:uid="{89D083AD-4049-4BF2-87DB-AD528B1F2E45}"/>
    <cellStyle name="40% - Accent6 8 3 2 2" xfId="10875" xr:uid="{696AC089-BC12-4A93-8D15-7326389DADA0}"/>
    <cellStyle name="40% - Accent6 8 3 3" xfId="8498" xr:uid="{18F2CC78-AE29-4A07-9CE6-C293D5633822}"/>
    <cellStyle name="40% - Accent6 8 4" xfId="5426" xr:uid="{8FB21223-A9ED-4078-826F-7F342F1F2A3D}"/>
    <cellStyle name="40% - Accent6 8 4 2" xfId="10872" xr:uid="{B07ABE2E-633F-4C04-B4DB-D31CAE8F816D}"/>
    <cellStyle name="40% - Accent6 8 5" xfId="8495" xr:uid="{F393D0B4-ECFB-48F0-BBC8-1041D8943A52}"/>
    <cellStyle name="40% - Accent6 9" xfId="1675" xr:uid="{F36AD8BD-CCA6-4A47-8161-14F289366EF3}"/>
    <cellStyle name="40% - Accent6 9 2" xfId="1676" xr:uid="{DD64C3A4-50BB-4B5B-9CE3-30C8FD32A67E}"/>
    <cellStyle name="40% - Accent6 9 2 2" xfId="5431" xr:uid="{584D7886-82A5-4DB1-8D40-6CA00833522F}"/>
    <cellStyle name="40% - Accent6 9 2 2 2" xfId="10877" xr:uid="{EE7921BA-85FB-467F-B23A-0FA468A0C9E2}"/>
    <cellStyle name="40% - Accent6 9 2 3" xfId="8500" xr:uid="{5BD949F8-61CE-4C56-802E-10C78CE82609}"/>
    <cellStyle name="40% - Accent6 9 3" xfId="5430" xr:uid="{00B5E8B2-9A82-47E1-933F-953A449D2C6D}"/>
    <cellStyle name="40% - Accent6 9 3 2" xfId="10876" xr:uid="{B4054665-4107-40BF-A890-387D22B17719}"/>
    <cellStyle name="40% - Accent6 9 4" xfId="8499" xr:uid="{5EDACE15-5830-4527-8469-3D39370E36FE}"/>
    <cellStyle name="60% - Accent1" xfId="14" builtinId="32" hidden="1" customBuiltin="1"/>
    <cellStyle name="60% - Accent1" xfId="356" builtinId="32" customBuiltin="1"/>
    <cellStyle name="60% - Accent1 2" xfId="2099" xr:uid="{A09270F5-6A3E-4EFC-8029-61A879950D81}"/>
    <cellStyle name="60% - Accent1 2 2" xfId="1677" xr:uid="{F277C183-1C56-4CA3-B226-B6C39523F3BC}"/>
    <cellStyle name="60% - Accent1 2 2 2" xfId="3405" xr:uid="{81F4F8D3-2228-4C7B-AEB3-F64EE1A2017A}"/>
    <cellStyle name="60% - Accent1 2 2 3" xfId="2100" xr:uid="{30B085C3-7733-46CB-AC21-4411771041AA}"/>
    <cellStyle name="60% - Accent1 2 3" xfId="1678" xr:uid="{3A459679-00D9-4627-8526-8CC54C1F6598}"/>
    <cellStyle name="60% - Accent1 2 3 2" xfId="3406" xr:uid="{918CB107-7213-4816-9BE7-418EC4A5410A}"/>
    <cellStyle name="60% - Accent1 2 3 3" xfId="2101" xr:uid="{98129FAD-F488-4511-A4B2-EEF5E9EB8FD0}"/>
    <cellStyle name="60% - Accent1 2 4" xfId="1679" xr:uid="{07D97795-851C-40AD-90E3-AFDC9DC78739}"/>
    <cellStyle name="60% - Accent1 2 4 2" xfId="3407" xr:uid="{A43A7B8E-587F-431B-A60A-F9558DEF4984}"/>
    <cellStyle name="60% - Accent1 2 4 3" xfId="2102" xr:uid="{125460BB-EFF5-4365-8A82-8C09ACABF80F}"/>
    <cellStyle name="60% - Accent1 2 5" xfId="1680" xr:uid="{476F4834-CC73-4D0F-B1BB-7E11203616D6}"/>
    <cellStyle name="60% - Accent1 2 6" xfId="1681" xr:uid="{38576536-A3C4-45CD-AE87-88FFB4EAC27E}"/>
    <cellStyle name="60% - Accent1 2 7" xfId="1682" xr:uid="{DC7A926B-3018-45B3-B1DF-EE83EFC25D8B}"/>
    <cellStyle name="60% - Accent1 2 8" xfId="1683" xr:uid="{57FAE868-D3BC-413C-8AA1-8A9A2F1BAE60}"/>
    <cellStyle name="60% - Accent1 3" xfId="2103" xr:uid="{8B5A36C9-F99B-477E-8220-9CE3901D5167}"/>
    <cellStyle name="60% - Accent1 3 2" xfId="2104" xr:uid="{01C3E63C-F4E9-4761-B16D-92CA46AE1760}"/>
    <cellStyle name="60% - Accent1 4" xfId="2038" xr:uid="{6DDAD733-DEDE-4099-8C53-416897669AFF}"/>
    <cellStyle name="60% - Accent1 5" xfId="4185" xr:uid="{E555947F-B15D-43E9-9D81-4C4180AABFFD}"/>
    <cellStyle name="60% - Accent1 5 2" xfId="9631" xr:uid="{2C7DBFA9-C668-458A-92C0-959966A61627}"/>
    <cellStyle name="60% - Accent1 6" xfId="7253" xr:uid="{197A4900-E078-4B4A-BF18-323FA4C9C1C2}"/>
    <cellStyle name="60% - Accent2" xfId="15" builtinId="36" hidden="1" customBuiltin="1"/>
    <cellStyle name="60% - Accent2" xfId="360" builtinId="36" customBuiltin="1"/>
    <cellStyle name="60% - Accent2 2" xfId="1684" xr:uid="{2A98AB6F-EAAA-4633-8C21-57949B06E091}"/>
    <cellStyle name="60% - Accent2 2 2" xfId="2106" xr:uid="{F6F3B5DD-F747-4B21-918C-873D91844A31}"/>
    <cellStyle name="60% - Accent2 2 3" xfId="2107" xr:uid="{9702D5EE-06A3-4F8B-AC94-98D83E41721A}"/>
    <cellStyle name="60% - Accent2 2 4" xfId="2108" xr:uid="{46D4D87B-19A0-4347-8D2D-88CD788617CB}"/>
    <cellStyle name="60% - Accent2 2 5" xfId="3408" xr:uid="{CB5B01A3-637B-43A7-8AC8-3BA3FB540244}"/>
    <cellStyle name="60% - Accent2 2 6" xfId="2105" xr:uid="{ED90B90A-473C-47FE-9040-A8A533E0EC8F}"/>
    <cellStyle name="60% - Accent2 3" xfId="2109" xr:uid="{243489D8-ADCC-46CA-AEAC-87B04CE214CC}"/>
    <cellStyle name="60% - Accent2 3 2" xfId="2110" xr:uid="{6D19D382-0BB2-4A1A-B8DF-6FFCF203515C}"/>
    <cellStyle name="60% - Accent2 4" xfId="2039" xr:uid="{C503C858-CF6A-4390-9215-87CF56022FA3}"/>
    <cellStyle name="60% - Accent2 5" xfId="4188" xr:uid="{1EC3B0BF-FFF0-40A2-AFAD-2ED7CDF9EFD7}"/>
    <cellStyle name="60% - Accent2 5 2" xfId="9634" xr:uid="{7CAFB52A-4CFC-43F2-8425-FF5915D90E46}"/>
    <cellStyle name="60% - Accent2 6" xfId="7256" xr:uid="{97274B12-02BC-4F55-93FC-18B8D5999660}"/>
    <cellStyle name="60% - Accent3" xfId="16" builtinId="40" hidden="1" customBuiltin="1"/>
    <cellStyle name="60% - Accent3" xfId="364" builtinId="40" customBuiltin="1"/>
    <cellStyle name="60% - Accent3 2" xfId="1685" xr:uid="{2CA26BCB-754F-4933-A1B2-A2C7CEB25206}"/>
    <cellStyle name="60% - Accent3 2 2" xfId="2112" xr:uid="{69FD50F9-00B5-4213-ACEA-7A2B044C4975}"/>
    <cellStyle name="60% - Accent3 2 3" xfId="2113" xr:uid="{10D8F229-D817-4880-9E96-298DD923A270}"/>
    <cellStyle name="60% - Accent3 2 4" xfId="2114" xr:uid="{78171C1E-A373-4449-B722-9AD65C51ECF2}"/>
    <cellStyle name="60% - Accent3 2 5" xfId="3409" xr:uid="{63421B2C-7F33-45E1-A29E-F04010565BF8}"/>
    <cellStyle name="60% - Accent3 2 6" xfId="2111" xr:uid="{60DE458D-A9A4-44F8-AE7C-7AB10FC94C16}"/>
    <cellStyle name="60% - Accent3 3" xfId="2115" xr:uid="{A0E59F37-A65F-4994-B6D6-6452862EA3A0}"/>
    <cellStyle name="60% - Accent3 3 2" xfId="2116" xr:uid="{C6649926-4E80-4A28-A6BD-B4D6FF503E61}"/>
    <cellStyle name="60% - Accent3 4" xfId="2040" xr:uid="{EF8987BD-45E4-4F29-B62E-2B064337BF7C}"/>
    <cellStyle name="60% - Accent3 5" xfId="4191" xr:uid="{A72DA24D-E03C-4D59-8012-F5267E7E4AC5}"/>
    <cellStyle name="60% - Accent3 5 2" xfId="9637" xr:uid="{C515FF58-F630-4C37-8D13-6A2B5F1C8FA4}"/>
    <cellStyle name="60% - Accent3 6" xfId="7259" xr:uid="{42B77DB8-7572-48E1-BE57-7B7A06EC7B01}"/>
    <cellStyle name="60% - Accent4" xfId="17" builtinId="44" hidden="1" customBuiltin="1"/>
    <cellStyle name="60% - Accent4" xfId="368" builtinId="44" customBuiltin="1"/>
    <cellStyle name="60% - Accent4 2" xfId="382" xr:uid="{7A1C531C-772D-4304-A454-01EBE5B7EBC9}"/>
    <cellStyle name="60% - Accent4 2 2" xfId="2118" xr:uid="{0683A482-9E38-4CF8-9696-E292F13DC16D}"/>
    <cellStyle name="60% - Accent4 2 3" xfId="2119" xr:uid="{256B9C83-A598-4D2E-923A-050D7AFCEB95}"/>
    <cellStyle name="60% - Accent4 2 4" xfId="2120" xr:uid="{4E47613E-2BC6-407E-8B66-76104E9D0359}"/>
    <cellStyle name="60% - Accent4 2 5" xfId="3410" xr:uid="{BB34B585-AED1-4459-AA49-40D652C22B6D}"/>
    <cellStyle name="60% - Accent4 2 6" xfId="2117" xr:uid="{98955FA1-E2F7-4F39-85AD-76EF3AD80353}"/>
    <cellStyle name="60% - Accent4 2 7" xfId="1686" xr:uid="{C4CEABF6-FEC1-40D6-BEA8-838ED290FEC2}"/>
    <cellStyle name="60% - Accent4 2 8" xfId="4205" xr:uid="{25D81FC3-85A3-4B32-9B09-92384650BFC9}"/>
    <cellStyle name="60% - Accent4 2 8 2" xfId="9651" xr:uid="{AA81C714-B675-46DC-82AD-8C3ACB717579}"/>
    <cellStyle name="60% - Accent4 2 9" xfId="7273" xr:uid="{FDA6F2A4-3D5D-4693-A95F-BF0EA733928E}"/>
    <cellStyle name="60% - Accent4 3" xfId="2121" xr:uid="{17CBB835-1240-46CF-9C27-CF080F1BBE81}"/>
    <cellStyle name="60% - Accent4 3 2" xfId="2122" xr:uid="{5D69B705-6ADB-43DA-B57F-019A82814FBE}"/>
    <cellStyle name="60% - Accent4 4" xfId="2041" xr:uid="{8CFC3717-1944-43A2-9F23-C663932CF5B3}"/>
    <cellStyle name="60% - Accent4 5" xfId="4194" xr:uid="{16661DAA-1F29-4668-8C0E-2D79BFF40C50}"/>
    <cellStyle name="60% - Accent4 5 2" xfId="9640" xr:uid="{A32FBBC7-7893-4580-BF76-646057B4DE4E}"/>
    <cellStyle name="60% - Accent4 6" xfId="7262" xr:uid="{CA11CD92-033F-48EE-861E-36DB4474B15C}"/>
    <cellStyle name="60% - Accent5" xfId="18" builtinId="48" hidden="1" customBuiltin="1"/>
    <cellStyle name="60% - Accent5" xfId="372" builtinId="48" customBuiltin="1"/>
    <cellStyle name="60% - Accent5 2" xfId="1687" xr:uid="{BE4919C0-26D6-468E-A0E0-E103CFB512F4}"/>
    <cellStyle name="60% - Accent5 2 2" xfId="2124" xr:uid="{DDD9D93D-6A29-4399-84CA-4EA4D7B45830}"/>
    <cellStyle name="60% - Accent5 2 3" xfId="2125" xr:uid="{330B99A7-17C9-4DF8-BFF7-E322FB2BD771}"/>
    <cellStyle name="60% - Accent5 2 4" xfId="2126" xr:uid="{468D41B4-DA24-413D-A803-B76411B55475}"/>
    <cellStyle name="60% - Accent5 2 5" xfId="3411" xr:uid="{AA7952C2-8B43-4422-9986-C8F22769D3DE}"/>
    <cellStyle name="60% - Accent5 2 6" xfId="2123" xr:uid="{A6C08C1E-E540-437D-9403-870E2A571E6B}"/>
    <cellStyle name="60% - Accent5 3" xfId="2127" xr:uid="{BC0E6F3C-C4B8-4AE9-A800-123BB96F98B1}"/>
    <cellStyle name="60% - Accent5 3 2" xfId="2128" xr:uid="{2A40EF23-9FC5-41B5-A162-E47C3437DE67}"/>
    <cellStyle name="60% - Accent5 4" xfId="2042" xr:uid="{A3591E29-AF03-47D5-AAAE-5290FF8E2861}"/>
    <cellStyle name="60% - Accent5 5" xfId="4197" xr:uid="{086A0A46-03CA-472B-B5F1-9292A7E756A7}"/>
    <cellStyle name="60% - Accent5 5 2" xfId="9643" xr:uid="{9ADA12BE-2D81-4D94-9718-6AD4E05FB0A0}"/>
    <cellStyle name="60% - Accent5 6" xfId="7265" xr:uid="{04A412EC-7513-43B6-BBAA-24FD8D26DC96}"/>
    <cellStyle name="60% - Accent6" xfId="19" builtinId="52" hidden="1" customBuiltin="1"/>
    <cellStyle name="60% - Accent6" xfId="376" builtinId="52" customBuiltin="1"/>
    <cellStyle name="60% - Accent6 2" xfId="2129" xr:uid="{B69AA7BF-83F3-4D2A-8FE6-CFF01FC6B490}"/>
    <cellStyle name="60% - Accent6 2 2" xfId="1688" xr:uid="{EAFBB47F-BC1B-4C33-A538-6860B87BD079}"/>
    <cellStyle name="60% - Accent6 2 2 2" xfId="3412" xr:uid="{6863A2CC-FFB7-46DD-90F7-260049CE960C}"/>
    <cellStyle name="60% - Accent6 2 2 3" xfId="2130" xr:uid="{184AD71F-FAAD-4389-A2B6-FF7F3755E615}"/>
    <cellStyle name="60% - Accent6 2 3" xfId="1689" xr:uid="{6026AF48-35D4-43DA-9E9B-6F83F374EB4C}"/>
    <cellStyle name="60% - Accent6 2 3 2" xfId="3413" xr:uid="{AD6A75B8-1D01-4B29-A3B0-72E925445331}"/>
    <cellStyle name="60% - Accent6 2 3 3" xfId="2131" xr:uid="{647AF89E-90B4-42D8-A8B2-C5007282C11C}"/>
    <cellStyle name="60% - Accent6 2 4" xfId="1690" xr:uid="{2760FAC1-55CF-423D-85BA-993BAE8E2816}"/>
    <cellStyle name="60% - Accent6 2 4 2" xfId="3414" xr:uid="{AC02ACBC-5A90-4B3D-A6F4-7BFDE566C13E}"/>
    <cellStyle name="60% - Accent6 2 4 3" xfId="2132" xr:uid="{E954DE4B-7ECA-41C5-A557-7CD52893FF34}"/>
    <cellStyle name="60% - Accent6 2 5" xfId="1691" xr:uid="{EFFA5CCC-DFD4-4745-B7AF-99EB3D90C650}"/>
    <cellStyle name="60% - Accent6 2 6" xfId="1692" xr:uid="{E5C5745B-8D10-4EE7-9BD1-2A21774FC361}"/>
    <cellStyle name="60% - Accent6 2 7" xfId="1693" xr:uid="{08A96555-65B5-41BF-BFE8-418ED095A017}"/>
    <cellStyle name="60% - Accent6 2 8" xfId="1694" xr:uid="{2434774A-BFA3-4086-9B66-C81D27B3F3F3}"/>
    <cellStyle name="60% - Accent6 2 9" xfId="1695" xr:uid="{BE52E6B2-AB4A-4FBF-9FCF-B11F1A39E847}"/>
    <cellStyle name="60% - Accent6 3" xfId="2133" xr:uid="{5B3E0A5E-AEB2-4106-825F-BCC40F2CFA7D}"/>
    <cellStyle name="60% - Accent6 3 2" xfId="2134" xr:uid="{5B65CF11-7425-4118-8E42-CB86058C4E8C}"/>
    <cellStyle name="60% - Accent6 4" xfId="2043" xr:uid="{3CA38900-F09A-49EE-B8B4-CA0A3901AE1A}"/>
    <cellStyle name="60% - Accent6 5" xfId="4200" xr:uid="{7928B064-E9CD-47B9-83C3-F835FC452313}"/>
    <cellStyle name="60% - Accent6 5 2" xfId="9646" xr:uid="{374D28D8-BB39-4827-BF55-34D34DFDF9CF}"/>
    <cellStyle name="60% - Accent6 6" xfId="7268" xr:uid="{E384417A-D07C-4457-847D-EADA5365C965}"/>
    <cellStyle name="Accent1" xfId="20" builtinId="29" hidden="1" customBuiltin="1"/>
    <cellStyle name="Accent1" xfId="353" builtinId="29" customBuiltin="1"/>
    <cellStyle name="Accent1 - 20%" xfId="2135" xr:uid="{1ECC9D27-C63C-4B68-8879-BB47E3880B1E}"/>
    <cellStyle name="Accent1 - 40%" xfId="2136" xr:uid="{1EED5932-2B23-4934-AFD7-62C9F83CDEC2}"/>
    <cellStyle name="Accent1 - 60%" xfId="2137" xr:uid="{C1AF8D94-31EF-4514-BAB7-02F20B4DF48C}"/>
    <cellStyle name="Accent1 10" xfId="2138" xr:uid="{3CEC6727-9E55-49F5-9338-3E02F4B3BD03}"/>
    <cellStyle name="Accent1 11" xfId="2139" xr:uid="{2CFB771F-90C7-4A54-A277-A74DF3564226}"/>
    <cellStyle name="Accent1 12" xfId="2140" xr:uid="{CF55BA4E-2CC8-4337-B5FE-CFBD13781CBE}"/>
    <cellStyle name="Accent1 13" xfId="2141" xr:uid="{BC31DD69-0BC1-4C0A-A86C-63D1F2672477}"/>
    <cellStyle name="Accent1 14" xfId="2142" xr:uid="{76315D9C-506D-4263-8034-FAE792E2AC78}"/>
    <cellStyle name="Accent1 15" xfId="2143" xr:uid="{FAA294A8-8322-48FD-A214-2F2E4C1AFE4C}"/>
    <cellStyle name="Accent1 16" xfId="2144" xr:uid="{6174D230-5D94-450D-8CE6-F8C81CF8D956}"/>
    <cellStyle name="Accent1 17" xfId="2145" xr:uid="{2EEF3060-262B-49D5-8550-299C30EC48E9}"/>
    <cellStyle name="Accent1 18" xfId="2146" xr:uid="{E1643112-2EBA-4BA1-86E0-E7277F3143C8}"/>
    <cellStyle name="Accent1 19" xfId="2147" xr:uid="{79F7E510-8C7C-4A29-B109-9289105F9F56}"/>
    <cellStyle name="Accent1 2" xfId="2148" xr:uid="{5FB8043E-52D4-4732-ABC8-5B553AB96249}"/>
    <cellStyle name="Accent1 2 2" xfId="1696" xr:uid="{169705E3-690E-4A87-A90D-D989D2842661}"/>
    <cellStyle name="Accent1 2 2 2" xfId="2150" xr:uid="{715DED99-8315-4DBF-9876-6924C54D5AEE}"/>
    <cellStyle name="Accent1 2 2 3" xfId="2151" xr:uid="{35BEE19B-0F31-43E7-82B1-DBC537A27E2C}"/>
    <cellStyle name="Accent1 2 2 4" xfId="3415" xr:uid="{7FB1CA3C-1813-495D-98B0-4F694F9552F3}"/>
    <cellStyle name="Accent1 2 2 5" xfId="2149" xr:uid="{748FA9BB-D297-48A8-B506-2201A44EA142}"/>
    <cellStyle name="Accent1 2 3" xfId="1697" xr:uid="{D37A654D-4BDA-45E2-B6ED-55FB043685F0}"/>
    <cellStyle name="Accent1 2 3 2" xfId="3416" xr:uid="{1BAE175B-0403-4698-945A-7445067463D9}"/>
    <cellStyle name="Accent1 2 3 3" xfId="2152" xr:uid="{B8010710-F177-40E9-B487-0602CED04C46}"/>
    <cellStyle name="Accent1 2 4" xfId="1698" xr:uid="{ACD56F17-CFDA-47A6-B91B-C46C38FB99EF}"/>
    <cellStyle name="Accent1 2 4 2" xfId="3417" xr:uid="{8D9BDDDB-9FF6-4F55-B028-ED1784D0AF07}"/>
    <cellStyle name="Accent1 2 4 3" xfId="2153" xr:uid="{05340A36-E513-46B6-A89E-0974269A068C}"/>
    <cellStyle name="Accent1 2 5" xfId="1699" xr:uid="{5CCAF5FA-8F11-4797-8B6E-2CF0F413BC83}"/>
    <cellStyle name="Accent1 2 5 2" xfId="3418" xr:uid="{335E31A9-13BE-4C57-A99C-EA427F9B74A0}"/>
    <cellStyle name="Accent1 2 5 3" xfId="2154" xr:uid="{14E6E9E4-4D0E-47FA-9556-55B705D6E809}"/>
    <cellStyle name="Accent1 2 6" xfId="1700" xr:uid="{64E3F4EF-2FD1-421A-B668-EA0EF2F95442}"/>
    <cellStyle name="Accent1 2 6 2" xfId="3419" xr:uid="{270CE1EC-6325-4302-ABD9-97DFC2B90698}"/>
    <cellStyle name="Accent1 2 6 3" xfId="2155" xr:uid="{DBD25426-2ACE-4897-95E4-236D9C9A8DC5}"/>
    <cellStyle name="Accent1 2 7" xfId="1701" xr:uid="{23BB1CBA-59E3-4FF6-B2DF-AE2C72DFDF9F}"/>
    <cellStyle name="Accent1 2 8" xfId="1702" xr:uid="{4E728098-732A-405C-A4A3-DD0BC8AC70EC}"/>
    <cellStyle name="Accent1 2 9" xfId="1703" xr:uid="{EA20B374-DB89-4FBA-A6BA-C51B535929FE}"/>
    <cellStyle name="Accent1 20" xfId="2156" xr:uid="{A59EF4A7-AD7F-475B-9A54-D9F0CFC8BF0E}"/>
    <cellStyle name="Accent1 21" xfId="2157" xr:uid="{5AA5322C-456F-40E7-AEE8-48651C9CE25B}"/>
    <cellStyle name="Accent1 22" xfId="2158" xr:uid="{775FA260-2081-4114-81B4-FA8F2F4EAABF}"/>
    <cellStyle name="Accent1 23" xfId="2159" xr:uid="{B50FC965-3BBC-4A4E-A146-91A2B1AA062B}"/>
    <cellStyle name="Accent1 24" xfId="2160" xr:uid="{972B1326-734C-43FF-9D97-4EF74A166490}"/>
    <cellStyle name="Accent1 25" xfId="2161" xr:uid="{ED523D19-5077-4330-8D9B-D9B88EFDA1FB}"/>
    <cellStyle name="Accent1 26" xfId="2162" xr:uid="{07BAB67C-A3F7-4FF9-A1C9-BB58D557B7FB}"/>
    <cellStyle name="Accent1 27" xfId="2163" xr:uid="{5F48902A-4CA4-4D9B-9DB2-D7DFDD22C270}"/>
    <cellStyle name="Accent1 27 2" xfId="2164" xr:uid="{BBD119EA-5C75-472A-BD14-4C3EBFB25401}"/>
    <cellStyle name="Accent1 27 3" xfId="2165" xr:uid="{13B329C3-A15A-4C15-852C-5B8EE2CC1A49}"/>
    <cellStyle name="Accent1 28" xfId="2166" xr:uid="{C9877087-A810-45CC-AF43-5D4F84129814}"/>
    <cellStyle name="Accent1 28 2" xfId="2167" xr:uid="{32141034-BD12-49C6-A295-EA6342909C33}"/>
    <cellStyle name="Accent1 28 3" xfId="2168" xr:uid="{76413E6F-F2DE-4BBF-9047-19DCE0D68C74}"/>
    <cellStyle name="Accent1 29" xfId="2169" xr:uid="{997F2DFA-44C7-4A55-9BB3-1102A8249C09}"/>
    <cellStyle name="Accent1 29 2" xfId="2170" xr:uid="{5F9E78E2-775D-4511-9CC6-58D553809CC1}"/>
    <cellStyle name="Accent1 3" xfId="2171" xr:uid="{11C1EB27-BBDA-49E3-BA21-E8435957A673}"/>
    <cellStyle name="Accent1 3 2" xfId="2172" xr:uid="{BED93397-1328-434F-BB53-8F5D8AE90DA2}"/>
    <cellStyle name="Accent1 3 3" xfId="2173" xr:uid="{FC49252A-2119-4F43-9A11-5B9529824945}"/>
    <cellStyle name="Accent1 3 4" xfId="2174" xr:uid="{0CEB8FE2-5FC4-4D88-9DED-AFE37D4CF306}"/>
    <cellStyle name="Accent1 30" xfId="2175" xr:uid="{F52F0D00-9676-418D-B5C1-ABB55826D90B}"/>
    <cellStyle name="Accent1 30 2" xfId="2176" xr:uid="{51562E07-3191-4A09-BABB-E465A30B0ACF}"/>
    <cellStyle name="Accent1 31" xfId="2177" xr:uid="{21101804-0D66-401E-A864-4E7D37AA18B3}"/>
    <cellStyle name="Accent1 31 2" xfId="2178" xr:uid="{0BF165C0-5360-46CD-9CD7-D2916700F7EF}"/>
    <cellStyle name="Accent1 32" xfId="2179" xr:uid="{491172E9-A302-421A-88D2-41D2EDCBCA02}"/>
    <cellStyle name="Accent1 32 2" xfId="2180" xr:uid="{75E3658B-C37D-4CD6-BE31-507B7B8C374D}"/>
    <cellStyle name="Accent1 33" xfId="2181" xr:uid="{6C794C33-D163-4525-A9F4-D061546161A0}"/>
    <cellStyle name="Accent1 34" xfId="2182" xr:uid="{BC18A7E2-5AA0-4417-A3D6-09AE15B5368D}"/>
    <cellStyle name="Accent1 35" xfId="2183" xr:uid="{2C438EC7-6403-4163-8645-95229A2A619B}"/>
    <cellStyle name="Accent1 36" xfId="2184" xr:uid="{CAEA21E3-2CB0-45F5-8441-C684747EA48C}"/>
    <cellStyle name="Accent1 37" xfId="2185" xr:uid="{D044CA53-ECEB-49D3-8D86-68DFAE98133E}"/>
    <cellStyle name="Accent1 38" xfId="2186" xr:uid="{D50A089C-CF9C-49A5-B2D9-9F1DBB98F42C}"/>
    <cellStyle name="Accent1 39" xfId="2187" xr:uid="{8BB06167-1849-4421-B0FC-EE7B329E0B37}"/>
    <cellStyle name="Accent1 4" xfId="2188" xr:uid="{66BC645B-092E-41AF-9E69-37CCCAC723B4}"/>
    <cellStyle name="Accent1 5" xfId="2189" xr:uid="{15575A76-6558-443D-801D-7D5FAA105BCC}"/>
    <cellStyle name="Accent1 6" xfId="2190" xr:uid="{46A0A6C4-E56C-4666-B9BE-665283BE18CA}"/>
    <cellStyle name="Accent1 7" xfId="2191" xr:uid="{751DA230-1DAC-4E18-83EF-A8A04681B0C9}"/>
    <cellStyle name="Accent1 8" xfId="2192" xr:uid="{397F217E-AD63-413F-AC6D-2737902A5DEE}"/>
    <cellStyle name="Accent1 9" xfId="2193" xr:uid="{7C67F89D-60C9-4161-8211-632A82068F9B}"/>
    <cellStyle name="Accent2" xfId="21" builtinId="33" hidden="1" customBuiltin="1"/>
    <cellStyle name="Accent2" xfId="357" builtinId="33" customBuiltin="1"/>
    <cellStyle name="Accent2 - 20%" xfId="2194" xr:uid="{CA48FFDC-23A4-426C-9C4C-E95246671847}"/>
    <cellStyle name="Accent2 - 40%" xfId="2195" xr:uid="{5F4F9573-EBC9-41CD-800D-07386E0E5C9B}"/>
    <cellStyle name="Accent2 - 60%" xfId="2196" xr:uid="{387AC5BE-900D-4BF3-9633-A5FFAD8A0C09}"/>
    <cellStyle name="Accent2 10" xfId="2197" xr:uid="{EA38C4F3-DF47-4209-A1CB-9C93A503A0B4}"/>
    <cellStyle name="Accent2 11" xfId="2198" xr:uid="{84FE7ECA-16D3-4E99-B42E-6AC03020C453}"/>
    <cellStyle name="Accent2 12" xfId="2199" xr:uid="{B1A807A1-3121-4D7E-ABBC-F54D7AF2CDEC}"/>
    <cellStyle name="Accent2 13" xfId="2200" xr:uid="{992F8C7A-F3E9-4367-A77B-DA788179BE63}"/>
    <cellStyle name="Accent2 14" xfId="2201" xr:uid="{A10A098C-C1F4-4C77-8DFC-C00BC1518C0C}"/>
    <cellStyle name="Accent2 15" xfId="2202" xr:uid="{180FF5EA-5B35-4BC5-85CF-0526176FC9B4}"/>
    <cellStyle name="Accent2 16" xfId="2203" xr:uid="{32CCFF5B-5B24-4A24-AF6A-B6519AB39014}"/>
    <cellStyle name="Accent2 17" xfId="2204" xr:uid="{7991C9C5-69F3-4E3E-8B3C-A9D904E6E049}"/>
    <cellStyle name="Accent2 18" xfId="2205" xr:uid="{5EFB497C-E77B-42DD-8121-73E8A224BB34}"/>
    <cellStyle name="Accent2 19" xfId="2206" xr:uid="{FFF4DF8D-C0EF-472F-A307-3A6E1654BF56}"/>
    <cellStyle name="Accent2 2" xfId="1704" xr:uid="{44FB1024-B058-458D-A780-587E8E90679D}"/>
    <cellStyle name="Accent2 2 2" xfId="2208" xr:uid="{7C0E0D85-0E6E-4632-9104-31D41C41C5C7}"/>
    <cellStyle name="Accent2 2 2 2" xfId="2209" xr:uid="{BEF0BBDC-640F-46B8-AA6D-163BC5639843}"/>
    <cellStyle name="Accent2 2 2 3" xfId="2210" xr:uid="{8B775DDE-FE90-4ABB-A70C-197F1C45721C}"/>
    <cellStyle name="Accent2 2 3" xfId="2211" xr:uid="{6270D2FC-B942-4BC8-B287-DA68B798E2DD}"/>
    <cellStyle name="Accent2 2 4" xfId="2212" xr:uid="{6E373CDB-773F-465E-9481-5C3C3C6D8C92}"/>
    <cellStyle name="Accent2 2 5" xfId="2213" xr:uid="{5D9BD419-C417-48D4-809E-12DBD3A53E76}"/>
    <cellStyle name="Accent2 2 6" xfId="2214" xr:uid="{CD68054E-81FF-4E73-9530-DF14C64A25EF}"/>
    <cellStyle name="Accent2 2 7" xfId="3420" xr:uid="{5ADFC544-0585-4923-8D3F-BA57AFB2EA94}"/>
    <cellStyle name="Accent2 2 8" xfId="2207" xr:uid="{3036392D-C730-467E-BF1C-119A96FE058A}"/>
    <cellStyle name="Accent2 20" xfId="2215" xr:uid="{483BD4DB-22E5-4CD1-BA6E-1745A9283C88}"/>
    <cellStyle name="Accent2 21" xfId="2216" xr:uid="{CEC0129F-0A24-4866-A074-D419C44F4832}"/>
    <cellStyle name="Accent2 22" xfId="2217" xr:uid="{79C1A762-9B6E-45F3-909F-EF15512C099D}"/>
    <cellStyle name="Accent2 23" xfId="2218" xr:uid="{2118F7E3-39E9-490E-B7D0-8D0321D8E78F}"/>
    <cellStyle name="Accent2 24" xfId="2219" xr:uid="{FB8DC4EF-F754-4FF3-9759-67E9A1012282}"/>
    <cellStyle name="Accent2 25" xfId="2220" xr:uid="{D7A09B95-003A-4E15-9C9C-5B32049F2414}"/>
    <cellStyle name="Accent2 26" xfId="2221" xr:uid="{D02C0B63-6671-4CE5-A61C-123DD53C922A}"/>
    <cellStyle name="Accent2 27" xfId="2222" xr:uid="{1FCF14FB-9284-4D17-9A40-1C095F103212}"/>
    <cellStyle name="Accent2 27 2" xfId="2223" xr:uid="{CB97AB02-AD75-4B57-BFEF-A3BAE5616430}"/>
    <cellStyle name="Accent2 27 3" xfId="2224" xr:uid="{2BC3F8C4-00CF-4AE1-BA51-ABD09C3E4FA1}"/>
    <cellStyle name="Accent2 28" xfId="2225" xr:uid="{5F93FD61-1739-493D-AA63-E552230AAAB4}"/>
    <cellStyle name="Accent2 28 2" xfId="2226" xr:uid="{6C2F1AE8-D693-41D9-A5D4-0C112A5F4076}"/>
    <cellStyle name="Accent2 28 3" xfId="2227" xr:uid="{E5A747FC-9409-42D6-9EE5-201A8C262C47}"/>
    <cellStyle name="Accent2 29" xfId="2228" xr:uid="{BF8D8D54-8126-4C17-8A70-10ACF74A1C37}"/>
    <cellStyle name="Accent2 29 2" xfId="2229" xr:uid="{182F46BE-1621-45E5-9239-70C802226B8E}"/>
    <cellStyle name="Accent2 3" xfId="2230" xr:uid="{064D81C5-4FE0-4315-AC18-7BD2570C952E}"/>
    <cellStyle name="Accent2 3 2" xfId="2231" xr:uid="{A66435C7-EBA0-47A7-8320-7FFC97A6EDE1}"/>
    <cellStyle name="Accent2 3 3" xfId="2232" xr:uid="{85155859-3E9C-4D0E-BE93-DAC30B85EA7E}"/>
    <cellStyle name="Accent2 3 4" xfId="2233" xr:uid="{85F2F928-1020-4779-A8E1-A7A490F966B4}"/>
    <cellStyle name="Accent2 30" xfId="2234" xr:uid="{6588C2F9-3038-4727-97E5-3207E699261C}"/>
    <cellStyle name="Accent2 30 2" xfId="2235" xr:uid="{97ACFF44-76E0-4F98-A8B6-4BB492C630C5}"/>
    <cellStyle name="Accent2 31" xfId="2236" xr:uid="{0245C2F6-E948-4D74-9A30-2278C2AA2A6B}"/>
    <cellStyle name="Accent2 31 2" xfId="2237" xr:uid="{C5653178-253E-4004-A15B-95139EC85007}"/>
    <cellStyle name="Accent2 32" xfId="2238" xr:uid="{CC9EA45B-C304-4410-B60D-23F1653036AC}"/>
    <cellStyle name="Accent2 32 2" xfId="2239" xr:uid="{62FBC548-F829-4DDC-965C-81587091502A}"/>
    <cellStyle name="Accent2 33" xfId="2240" xr:uid="{8431436D-9097-49DE-A8C5-0D88A7FAD19F}"/>
    <cellStyle name="Accent2 34" xfId="2241" xr:uid="{596A5DCD-338B-4CF7-81B2-B3556DFDB7B5}"/>
    <cellStyle name="Accent2 35" xfId="2242" xr:uid="{946E6D33-D0C6-4872-95DE-7E390C2FF8D3}"/>
    <cellStyle name="Accent2 36" xfId="2243" xr:uid="{C8DD898E-EC20-43C8-ABDF-1327B0CC068F}"/>
    <cellStyle name="Accent2 37" xfId="2244" xr:uid="{63C6F920-BB60-40D1-BAE3-D9BE469E1A68}"/>
    <cellStyle name="Accent2 38" xfId="2245" xr:uid="{0D8226BD-EEE9-4F27-8872-12CB0466AFC2}"/>
    <cellStyle name="Accent2 39" xfId="2246" xr:uid="{DBBA9AA4-6365-4C1A-8451-E52989260E94}"/>
    <cellStyle name="Accent2 4" xfId="2247" xr:uid="{B40D19C3-B24F-49A2-9C7D-937B45D9BAA2}"/>
    <cellStyle name="Accent2 5" xfId="2248" xr:uid="{69F7FD23-50A5-49E2-ABFF-839D90F7BCCB}"/>
    <cellStyle name="Accent2 6" xfId="2249" xr:uid="{1BB11195-FD37-415F-B600-CFAD34D241F3}"/>
    <cellStyle name="Accent2 7" xfId="2250" xr:uid="{6307229F-D017-4172-A92F-75A4002753FD}"/>
    <cellStyle name="Accent2 8" xfId="2251" xr:uid="{6D9D98E2-671F-4AEE-8EA3-5F44DED73FB0}"/>
    <cellStyle name="Accent2 9" xfId="2252" xr:uid="{9CA21AC5-05BA-41AF-B41D-D67B58C74246}"/>
    <cellStyle name="Accent3" xfId="22" builtinId="37" hidden="1" customBuiltin="1"/>
    <cellStyle name="Accent3" xfId="361" builtinId="37" customBuiltin="1"/>
    <cellStyle name="Accent3 - 20%" xfId="2253" xr:uid="{51976A74-AD11-4E49-90F9-597A4E46944E}"/>
    <cellStyle name="Accent3 - 40%" xfId="2254" xr:uid="{6610C4B4-5BF2-45ED-9261-F275C2745514}"/>
    <cellStyle name="Accent3 - 60%" xfId="2255" xr:uid="{9F50FF4B-9185-467C-B0CE-C71F63918606}"/>
    <cellStyle name="Accent3 10" xfId="2256" xr:uid="{AC4F798C-7701-42A2-A47F-9B3C22B73FE6}"/>
    <cellStyle name="Accent3 11" xfId="2257" xr:uid="{0091A03A-3BF1-4C91-940D-F09E2B4ED58A}"/>
    <cellStyle name="Accent3 12" xfId="2258" xr:uid="{758CBA32-8FD2-4853-95F4-1D09B74EFDF1}"/>
    <cellStyle name="Accent3 13" xfId="2259" xr:uid="{C38EB31F-0871-4D77-8CFF-B9B232569FAE}"/>
    <cellStyle name="Accent3 14" xfId="2260" xr:uid="{882E85D9-B924-44D6-8E41-2F40494BE3F0}"/>
    <cellStyle name="Accent3 15" xfId="2261" xr:uid="{6A95AC8E-7A75-4975-BCDA-0C9E97AF6479}"/>
    <cellStyle name="Accent3 16" xfId="2262" xr:uid="{12D7EC8C-A5AA-4141-B53B-1F03C0E4220A}"/>
    <cellStyle name="Accent3 17" xfId="2263" xr:uid="{75946EEB-49CF-441C-8AE3-B5AE27B58C65}"/>
    <cellStyle name="Accent3 18" xfId="2264" xr:uid="{D138ED7C-6152-487C-8630-9DBE775A3AC6}"/>
    <cellStyle name="Accent3 19" xfId="2265" xr:uid="{F76447D9-E0FB-41A6-8AD5-A37C72FFF3FF}"/>
    <cellStyle name="Accent3 2" xfId="1705" xr:uid="{7C921B70-B7DE-47ED-B102-7DB17F3A2F24}"/>
    <cellStyle name="Accent3 2 2" xfId="2267" xr:uid="{B12EA0D4-571D-4AF2-8C63-A9502D7A4728}"/>
    <cellStyle name="Accent3 2 2 2" xfId="2268" xr:uid="{B18C2EF9-E73F-4455-B1CA-9A7A736D51F3}"/>
    <cellStyle name="Accent3 2 2 3" xfId="2269" xr:uid="{6F33D1F8-1C11-4910-B3E5-ED1DCE396AAF}"/>
    <cellStyle name="Accent3 2 3" xfId="2270" xr:uid="{81E3668F-EC1D-44CB-9B84-DA25DB9D1122}"/>
    <cellStyle name="Accent3 2 4" xfId="2271" xr:uid="{90E0A778-3659-40B9-9263-3B2FA4C510D9}"/>
    <cellStyle name="Accent3 2 5" xfId="2272" xr:uid="{C028F3D7-DEC7-42E4-B45F-2D2C465CCEB3}"/>
    <cellStyle name="Accent3 2 6" xfId="2273" xr:uid="{F4C4669F-5719-49E6-AA33-5AD7E4CD0B04}"/>
    <cellStyle name="Accent3 2 7" xfId="3421" xr:uid="{ACC0CADA-9017-4C7B-9805-81107B2033A8}"/>
    <cellStyle name="Accent3 2 8" xfId="2266" xr:uid="{FDE6AB76-04D2-475C-9CD9-1281CCBD70FD}"/>
    <cellStyle name="Accent3 20" xfId="2274" xr:uid="{A52E3A57-E3D4-4FB4-9AC3-B70C2D3DADDA}"/>
    <cellStyle name="Accent3 21" xfId="2275" xr:uid="{F1D14351-A503-4ABB-9583-500060D5E9CF}"/>
    <cellStyle name="Accent3 22" xfId="2276" xr:uid="{976ADBDB-C01F-4DFB-889B-27F1102CB251}"/>
    <cellStyle name="Accent3 23" xfId="2277" xr:uid="{4CF7588F-A88A-433E-973A-DDDAB7887385}"/>
    <cellStyle name="Accent3 24" xfId="2278" xr:uid="{8534871B-A5E2-4DED-A5AF-DF1EBCE2E0EE}"/>
    <cellStyle name="Accent3 25" xfId="2279" xr:uid="{4A82F63B-DC31-4F1E-A7A8-3C0E6578D0BB}"/>
    <cellStyle name="Accent3 26" xfId="2280" xr:uid="{C91AEB73-7A9D-4C69-A443-8C3001794524}"/>
    <cellStyle name="Accent3 27" xfId="2281" xr:uid="{357044CB-0DA4-4385-8D04-47D0277A0E0E}"/>
    <cellStyle name="Accent3 27 2" xfId="2282" xr:uid="{A4B6137D-7B20-437A-87EE-88D561A3BF1F}"/>
    <cellStyle name="Accent3 27 3" xfId="2283" xr:uid="{71D89F18-773C-4E36-9302-2BFF95BE2164}"/>
    <cellStyle name="Accent3 28" xfId="2284" xr:uid="{C8F7ADAD-8E5D-43DA-AC38-948665532C44}"/>
    <cellStyle name="Accent3 28 2" xfId="2285" xr:uid="{95850F75-F6B4-4564-AE73-5A8EC34B3BC4}"/>
    <cellStyle name="Accent3 28 3" xfId="2286" xr:uid="{72DB80EF-1A22-4907-826D-7C49903D1BF4}"/>
    <cellStyle name="Accent3 29" xfId="2287" xr:uid="{49791DE9-E071-4B01-AFA9-2935BDD97290}"/>
    <cellStyle name="Accent3 29 2" xfId="2288" xr:uid="{B31AAE4E-AB29-487D-942A-F2170FBF5D9B}"/>
    <cellStyle name="Accent3 3" xfId="2289" xr:uid="{0CC85D7A-A470-418E-BA1F-A86F84A4E701}"/>
    <cellStyle name="Accent3 3 2" xfId="2290" xr:uid="{3A481E99-273F-434F-A91D-4D490103399E}"/>
    <cellStyle name="Accent3 3 3" xfId="2291" xr:uid="{C96C6DC8-6DDF-4F64-80D6-80A4D3FDADCC}"/>
    <cellStyle name="Accent3 3 4" xfId="2292" xr:uid="{ED9C85CF-C90D-4CC8-AA59-A810686D79EB}"/>
    <cellStyle name="Accent3 30" xfId="2293" xr:uid="{2739E427-677F-4ECF-87D6-6B5DC9D244D0}"/>
    <cellStyle name="Accent3 30 2" xfId="2294" xr:uid="{BCEB3860-1589-4F17-A1A6-E524C6D31A4B}"/>
    <cellStyle name="Accent3 31" xfId="2295" xr:uid="{CE7C2F26-AAF5-4DA5-9EB6-4E6CD00D9659}"/>
    <cellStyle name="Accent3 31 2" xfId="2296" xr:uid="{DF566E42-AEBC-45BA-BF90-AB6591415E37}"/>
    <cellStyle name="Accent3 32" xfId="2297" xr:uid="{47E80B9E-90DF-42BB-A24A-790797A20A56}"/>
    <cellStyle name="Accent3 32 2" xfId="2298" xr:uid="{6D758B8A-9543-466C-BC90-8F4B95C29361}"/>
    <cellStyle name="Accent3 33" xfId="2299" xr:uid="{5DC2E9E3-F2A4-443E-B7D0-47D9A691EF75}"/>
    <cellStyle name="Accent3 34" xfId="2300" xr:uid="{30AEBB54-A165-4B4F-AFF4-4606F444159F}"/>
    <cellStyle name="Accent3 35" xfId="2301" xr:uid="{2EC98BE3-C2EB-4742-9A41-37A3A6382084}"/>
    <cellStyle name="Accent3 36" xfId="2302" xr:uid="{E1727CB9-A587-43FC-9D2A-43FEACA8974C}"/>
    <cellStyle name="Accent3 37" xfId="2303" xr:uid="{CFF939E2-69EF-4D1D-AC8A-E554C4F0B22D}"/>
    <cellStyle name="Accent3 38" xfId="2304" xr:uid="{492360ED-0064-467C-8176-8A260399BED7}"/>
    <cellStyle name="Accent3 39" xfId="2305" xr:uid="{3EB15159-2F19-41A9-82F9-38C4768820B0}"/>
    <cellStyle name="Accent3 4" xfId="2306" xr:uid="{3D399D77-B65F-4F6F-BA6C-6FBB68B64F0E}"/>
    <cellStyle name="Accent3 5" xfId="2307" xr:uid="{FEAB4544-8108-44CE-B82E-DB5C6EE603D8}"/>
    <cellStyle name="Accent3 6" xfId="2308" xr:uid="{FB101AC9-1BAC-4617-824D-703CE42C58DB}"/>
    <cellStyle name="Accent3 7" xfId="2309" xr:uid="{5F6BDE7B-5E00-498C-AC08-E4C257F571E5}"/>
    <cellStyle name="Accent3 8" xfId="2310" xr:uid="{139DF55B-2FB7-4881-96B0-B5FFBC434D0D}"/>
    <cellStyle name="Accent3 9" xfId="2311" xr:uid="{8BE7AF87-8617-4657-A594-C20C1DC75C78}"/>
    <cellStyle name="Accent4" xfId="23" builtinId="41" hidden="1" customBuiltin="1"/>
    <cellStyle name="Accent4" xfId="365" builtinId="41" customBuiltin="1"/>
    <cellStyle name="Accent4 - 20%" xfId="2312" xr:uid="{E1873EA6-02C3-432F-87AC-89EBFD1F52E9}"/>
    <cellStyle name="Accent4 - 40%" xfId="2313" xr:uid="{2E107E6A-5A6D-4451-9375-385E3964F2EB}"/>
    <cellStyle name="Accent4 - 60%" xfId="2314" xr:uid="{661E6003-DD83-46A4-84B3-0A7044FA82E8}"/>
    <cellStyle name="Accent4 10" xfId="2315" xr:uid="{D918A368-0779-4FEC-B93C-999B48E1C13F}"/>
    <cellStyle name="Accent4 11" xfId="2316" xr:uid="{6322B1BB-36FA-412C-9FAA-34C768CEB75A}"/>
    <cellStyle name="Accent4 12" xfId="2317" xr:uid="{D954A730-F7EB-4319-BBE8-48F74E5A1A9D}"/>
    <cellStyle name="Accent4 13" xfId="2318" xr:uid="{D7C27221-AE41-4440-AE4E-7AC57511E275}"/>
    <cellStyle name="Accent4 14" xfId="2319" xr:uid="{D69DC59F-DB12-4789-B959-30ED66D3CBFA}"/>
    <cellStyle name="Accent4 15" xfId="2320" xr:uid="{C07D39E7-7683-419C-B68B-4342805DDFE0}"/>
    <cellStyle name="Accent4 16" xfId="2321" xr:uid="{028C8C46-0162-4953-94FB-70823627ED76}"/>
    <cellStyle name="Accent4 17" xfId="2322" xr:uid="{D73FDBCB-71FC-4E3E-B5FF-063FDDF788B3}"/>
    <cellStyle name="Accent4 18" xfId="2323" xr:uid="{B41EA5D8-7559-4425-82A6-DFE4CC09B4F2}"/>
    <cellStyle name="Accent4 19" xfId="2324" xr:uid="{8A3C9C84-FADD-4161-AF5C-6C3572D47F9F}"/>
    <cellStyle name="Accent4 2" xfId="1706" xr:uid="{E775EFAE-2EF8-424A-9E9D-0FD0F8CBE900}"/>
    <cellStyle name="Accent4 2 2" xfId="2326" xr:uid="{D6830DE6-54A5-474D-8171-2E6613D2F363}"/>
    <cellStyle name="Accent4 2 2 2" xfId="2327" xr:uid="{9BDEEAA1-834E-4799-AA94-707E15124889}"/>
    <cellStyle name="Accent4 2 2 3" xfId="2328" xr:uid="{C9DCF8DE-EBD5-45CA-9CAB-0764F4519C3A}"/>
    <cellStyle name="Accent4 2 3" xfId="2329" xr:uid="{108A8897-94C7-467C-9854-69AC20242990}"/>
    <cellStyle name="Accent4 2 4" xfId="2330" xr:uid="{4C52F220-C9E2-4124-AE8F-544A5F9F9BDE}"/>
    <cellStyle name="Accent4 2 5" xfId="2331" xr:uid="{C8DF42CD-7B0E-4D64-AF76-F6AA541CD846}"/>
    <cellStyle name="Accent4 2 6" xfId="2332" xr:uid="{632D37EE-DFD0-4FC3-8EC9-25B4AEE475B8}"/>
    <cellStyle name="Accent4 2 7" xfId="3422" xr:uid="{DE879BB3-9565-478A-9714-BDB0727F4EB7}"/>
    <cellStyle name="Accent4 2 8" xfId="2325" xr:uid="{2EC7B5E0-7B4E-415A-AEFF-3A3735BAA78E}"/>
    <cellStyle name="Accent4 20" xfId="2333" xr:uid="{6E3EC492-FC55-4B8F-9EAA-B40BCB7E342F}"/>
    <cellStyle name="Accent4 21" xfId="2334" xr:uid="{4F82D0BF-8333-4605-82A1-23045F117095}"/>
    <cellStyle name="Accent4 22" xfId="2335" xr:uid="{2E1F1AFA-5B9D-4164-BF21-906F70DBF2ED}"/>
    <cellStyle name="Accent4 23" xfId="2336" xr:uid="{7E80C66E-893D-4BC6-B354-2993C54DC7CD}"/>
    <cellStyle name="Accent4 24" xfId="2337" xr:uid="{4D54511F-7D27-4794-926B-C3E91024531C}"/>
    <cellStyle name="Accent4 25" xfId="2338" xr:uid="{8ADFD9A7-5F52-445E-90A4-65BD819F68E1}"/>
    <cellStyle name="Accent4 26" xfId="2339" xr:uid="{CCD4025D-E094-4417-AB4E-B049F3A55306}"/>
    <cellStyle name="Accent4 27" xfId="2340" xr:uid="{0A87E02F-7044-400C-AAFD-489DE76FBC5F}"/>
    <cellStyle name="Accent4 27 2" xfId="2341" xr:uid="{9FDFE394-C555-446A-8BA1-3342A4ABB8CF}"/>
    <cellStyle name="Accent4 27 3" xfId="2342" xr:uid="{E4ACC755-1030-4A84-8444-F65C5C00BE54}"/>
    <cellStyle name="Accent4 28" xfId="2343" xr:uid="{7DD64747-BEE1-437D-A126-71BFE74AC8FB}"/>
    <cellStyle name="Accent4 28 2" xfId="2344" xr:uid="{26DAACFA-F46C-4388-9C5C-F5516043DBA6}"/>
    <cellStyle name="Accent4 28 3" xfId="2345" xr:uid="{C4916044-4EBD-4B4D-AAFE-E87DB4263FF9}"/>
    <cellStyle name="Accent4 29" xfId="2346" xr:uid="{FF161B51-4F36-4FBE-8384-1E1AFDD359FA}"/>
    <cellStyle name="Accent4 29 2" xfId="2347" xr:uid="{1031E5D5-18F6-4025-8409-607163A6B1B0}"/>
    <cellStyle name="Accent4 3" xfId="2348" xr:uid="{5A8334D1-9A3A-4D7A-854A-3B33D8196F1E}"/>
    <cellStyle name="Accent4 3 2" xfId="2349" xr:uid="{AD26CF6A-6C47-4BB9-BAF3-0064F357DC3D}"/>
    <cellStyle name="Accent4 3 3" xfId="2350" xr:uid="{D3859DEB-082A-4304-A94D-74D290F8EE2A}"/>
    <cellStyle name="Accent4 3 4" xfId="2351" xr:uid="{555A57B3-0587-4D5A-8B6D-12FD5E7457EE}"/>
    <cellStyle name="Accent4 30" xfId="2352" xr:uid="{00C2DB5B-2CCF-4A4A-9080-DA6F7DABB27D}"/>
    <cellStyle name="Accent4 30 2" xfId="2353" xr:uid="{968FD89B-E15F-406C-9F88-41BD59DFFB1C}"/>
    <cellStyle name="Accent4 31" xfId="2354" xr:uid="{0CD08E0D-49B6-4C83-84C8-A8DF34B8592A}"/>
    <cellStyle name="Accent4 31 2" xfId="2355" xr:uid="{5DD20CA7-AC6D-46B2-A7E1-73BC468DE7D4}"/>
    <cellStyle name="Accent4 32" xfId="2356" xr:uid="{8E392FE9-A0EE-40D7-B60A-FBD1BF30CFFF}"/>
    <cellStyle name="Accent4 32 2" xfId="2357" xr:uid="{89188909-C90A-4193-B935-302725ABD595}"/>
    <cellStyle name="Accent4 33" xfId="2358" xr:uid="{91AC6109-4DAF-4F61-9356-0FA83FCDA119}"/>
    <cellStyle name="Accent4 34" xfId="2359" xr:uid="{D6547D01-CBA0-4603-BD1A-67546B2CB271}"/>
    <cellStyle name="Accent4 35" xfId="2360" xr:uid="{74FEE82D-D758-4DA9-9A5D-8B37D1846E90}"/>
    <cellStyle name="Accent4 36" xfId="2361" xr:uid="{B49768E3-B2E3-4693-9382-74A04E9A7030}"/>
    <cellStyle name="Accent4 37" xfId="2362" xr:uid="{4EC6EA5B-554C-4C3A-97EB-5DE4DB9B13A6}"/>
    <cellStyle name="Accent4 38" xfId="2363" xr:uid="{1B7ECFF8-E30F-48D6-8AD0-F1B8D0E69166}"/>
    <cellStyle name="Accent4 39" xfId="2364" xr:uid="{B41A8A37-9581-4067-A8D8-D51033714E73}"/>
    <cellStyle name="Accent4 4" xfId="2365" xr:uid="{ED034A9B-ABC2-4DAA-B14D-241880BB6B58}"/>
    <cellStyle name="Accent4 5" xfId="2366" xr:uid="{C5993CF5-5DE0-4D4A-BF15-DE2D83DF73A0}"/>
    <cellStyle name="Accent4 6" xfId="2367" xr:uid="{DA19F43E-2133-45B6-AD48-DEB60500CFF0}"/>
    <cellStyle name="Accent4 7" xfId="2368" xr:uid="{DAF616E6-9464-4D34-9BA4-6086DF6E742A}"/>
    <cellStyle name="Accent4 8" xfId="2369" xr:uid="{6BAE61FE-88E7-465D-BF45-9C7310F36863}"/>
    <cellStyle name="Accent4 9" xfId="2370" xr:uid="{E2A3D5EB-2A6C-4261-8805-AADCF985B1A2}"/>
    <cellStyle name="Accent5" xfId="24" builtinId="45" hidden="1" customBuiltin="1"/>
    <cellStyle name="Accent5" xfId="369" builtinId="45" customBuiltin="1"/>
    <cellStyle name="Accent5 - 20%" xfId="2371" xr:uid="{D6A1941A-C02E-4C8A-9EAB-E7909923F9BF}"/>
    <cellStyle name="Accent5 - 40%" xfId="2372" xr:uid="{FD1FA7FB-14D8-4682-B3BF-D63F1E4CF38B}"/>
    <cellStyle name="Accent5 - 60%" xfId="2373" xr:uid="{294ADD8A-6916-41F6-9668-D66F6B8881B6}"/>
    <cellStyle name="Accent5 10" xfId="2374" xr:uid="{AFF9ED4F-85A8-4587-B407-1D40F5BCE8C9}"/>
    <cellStyle name="Accent5 11" xfId="2375" xr:uid="{D4A44940-30BD-4E67-B8CE-501A96D512FD}"/>
    <cellStyle name="Accent5 12" xfId="2376" xr:uid="{693DE608-FB9A-4BD7-8113-A7B1307B401E}"/>
    <cellStyle name="Accent5 13" xfId="2377" xr:uid="{0FEC3DF7-80DA-4C90-8D01-2874FA1D59EA}"/>
    <cellStyle name="Accent5 14" xfId="2378" xr:uid="{B86505BB-1533-4D13-9941-246EC9CD4D62}"/>
    <cellStyle name="Accent5 15" xfId="2379" xr:uid="{7577E470-6B2B-40C3-B5BB-9B3D2CB423A6}"/>
    <cellStyle name="Accent5 16" xfId="2380" xr:uid="{D589D8BA-ADFE-4836-A2FA-83151BFCE968}"/>
    <cellStyle name="Accent5 17" xfId="2381" xr:uid="{50A6FE80-3236-45F4-9184-00BE607546B1}"/>
    <cellStyle name="Accent5 18" xfId="2382" xr:uid="{63D214F7-AE26-4347-9606-F4026030FC95}"/>
    <cellStyle name="Accent5 19" xfId="2383" xr:uid="{D7770933-76F8-4D10-B251-70DE30051DD7}"/>
    <cellStyle name="Accent5 2" xfId="1707" xr:uid="{6247DD75-1FEB-461A-AA4C-985CB9944295}"/>
    <cellStyle name="Accent5 2 2" xfId="2384" xr:uid="{86BAD2B0-3C22-4331-BB77-FF259CC3678D}"/>
    <cellStyle name="Accent5 2 2 2" xfId="2385" xr:uid="{CED8F74C-E23E-41B9-98E1-46D1359A8F56}"/>
    <cellStyle name="Accent5 2 2 3" xfId="2386" xr:uid="{1D12CE43-244B-4202-83B9-559544667253}"/>
    <cellStyle name="Accent5 2 3" xfId="2387" xr:uid="{9BC55534-2390-46EE-AE95-58E79835C07C}"/>
    <cellStyle name="Accent5 2 4" xfId="2388" xr:uid="{F0926C1B-9CC7-413C-8BED-E8208D11AD83}"/>
    <cellStyle name="Accent5 2 5" xfId="2389" xr:uid="{49C08986-723E-42A4-B99C-591ACF610D89}"/>
    <cellStyle name="Accent5 2 6" xfId="2390" xr:uid="{92F854FA-7278-4C12-B0CE-C2A1D7450A5E}"/>
    <cellStyle name="Accent5 20" xfId="2391" xr:uid="{FEDF63FE-BFDD-4D85-9178-C8DCCBA9052A}"/>
    <cellStyle name="Accent5 21" xfId="2392" xr:uid="{998F7A40-58E2-453F-B411-3A92092C3EA1}"/>
    <cellStyle name="Accent5 22" xfId="2393" xr:uid="{91E9A3E5-374A-4A76-9107-AEC1DBB9EF44}"/>
    <cellStyle name="Accent5 23" xfId="2394" xr:uid="{578B8FCD-46DA-44DF-9AC4-72D98481A9A8}"/>
    <cellStyle name="Accent5 24" xfId="2395" xr:uid="{4BC8E084-E1D7-4E6C-A48A-AAFEFEAF2096}"/>
    <cellStyle name="Accent5 25" xfId="2396" xr:uid="{6571CFF5-D358-4CD8-9683-F50EE5D3D368}"/>
    <cellStyle name="Accent5 26" xfId="2397" xr:uid="{5D045374-5B00-4569-AB1F-70CC6BDA9866}"/>
    <cellStyle name="Accent5 27" xfId="2398" xr:uid="{A5BD258A-1D10-4F92-A5EE-5B9F3E9BE777}"/>
    <cellStyle name="Accent5 27 2" xfId="2399" xr:uid="{7DA868BF-90C4-4D15-B77B-58BBDA645794}"/>
    <cellStyle name="Accent5 27 3" xfId="2400" xr:uid="{326C935D-98E7-45AC-8852-80D524D19691}"/>
    <cellStyle name="Accent5 28" xfId="2401" xr:uid="{06547A91-3392-42CB-961C-F5DF153D8297}"/>
    <cellStyle name="Accent5 28 2" xfId="2402" xr:uid="{9535F428-C748-4D5D-A724-8796CAA587C1}"/>
    <cellStyle name="Accent5 28 3" xfId="2403" xr:uid="{A770F046-C375-438C-8D4D-535CBBA2DE53}"/>
    <cellStyle name="Accent5 29" xfId="2404" xr:uid="{A6FEA6CB-96F6-4706-8EFF-61A1907099DC}"/>
    <cellStyle name="Accent5 29 2" xfId="2405" xr:uid="{4129B8B1-87DA-43F6-B927-B8DC1E697295}"/>
    <cellStyle name="Accent5 3" xfId="2406" xr:uid="{9DE31F0D-A9FE-4CC6-A5AF-6D9B486FA36C}"/>
    <cellStyle name="Accent5 3 2" xfId="2407" xr:uid="{625F2617-792D-4FFB-B8B2-142BF3F37601}"/>
    <cellStyle name="Accent5 3 3" xfId="2408" xr:uid="{8E4932AE-1646-4F4A-9521-A5D20374B90F}"/>
    <cellStyle name="Accent5 3 4" xfId="2409" xr:uid="{AF40C241-B7EC-4AD2-8D50-6ACE3D7A4785}"/>
    <cellStyle name="Accent5 30" xfId="2410" xr:uid="{9BB36B10-C351-468C-82D9-EF19C339A401}"/>
    <cellStyle name="Accent5 30 2" xfId="2411" xr:uid="{5210B3D4-BAC5-43F4-B4EA-0E8557690B84}"/>
    <cellStyle name="Accent5 31" xfId="2412" xr:uid="{AB1E68DD-E9D7-4792-ADF3-3F599B05D666}"/>
    <cellStyle name="Accent5 31 2" xfId="2413" xr:uid="{A3BD08DB-D216-4296-A611-ABD0C83027F0}"/>
    <cellStyle name="Accent5 32" xfId="2414" xr:uid="{AA392EBA-7E3D-4BC5-B544-C99FBD9CE802}"/>
    <cellStyle name="Accent5 32 2" xfId="2415" xr:uid="{73010675-9532-416A-9195-3683C3C6E2F5}"/>
    <cellStyle name="Accent5 33" xfId="2416" xr:uid="{7E130DF9-3B52-4080-9CF5-C3AD104C1EF0}"/>
    <cellStyle name="Accent5 34" xfId="2417" xr:uid="{5159D2A2-AEE0-4DC9-843B-BE9934A3D241}"/>
    <cellStyle name="Accent5 35" xfId="2418" xr:uid="{201802B6-FDEB-4DD9-A3BE-50761E5CA3D2}"/>
    <cellStyle name="Accent5 36" xfId="2419" xr:uid="{81C3BD15-633C-46EB-91FA-6F19691EB707}"/>
    <cellStyle name="Accent5 37" xfId="2420" xr:uid="{16AEB4DB-F880-4D2E-ADF1-BBC9B4EEFA88}"/>
    <cellStyle name="Accent5 38" xfId="2421" xr:uid="{6B163386-83D0-4756-8577-CF1DF03BF329}"/>
    <cellStyle name="Accent5 39" xfId="2422" xr:uid="{C960A5F0-C2F4-44AF-9963-1EDFA36BA951}"/>
    <cellStyle name="Accent5 4" xfId="2423" xr:uid="{58EBEE8B-C086-4F9F-BDF2-5146CB5F8115}"/>
    <cellStyle name="Accent5 5" xfId="2424" xr:uid="{2C9BD6E0-5866-4CC3-9746-8C24120E4594}"/>
    <cellStyle name="Accent5 6" xfId="2425" xr:uid="{DCBE9307-6F17-4DFA-86E5-41AED7D9ABAC}"/>
    <cellStyle name="Accent5 7" xfId="2426" xr:uid="{BE302675-17FB-4433-8C23-8698431C2E34}"/>
    <cellStyle name="Accent5 8" xfId="2427" xr:uid="{F723F972-ECF1-4C8A-843C-F373856A94DE}"/>
    <cellStyle name="Accent5 9" xfId="2428" xr:uid="{9C192547-CE38-461B-B77E-6EBA954B9346}"/>
    <cellStyle name="Accent6" xfId="25" builtinId="49" hidden="1" customBuiltin="1"/>
    <cellStyle name="Accent6" xfId="373" builtinId="49" customBuiltin="1"/>
    <cellStyle name="Accent6 - 20%" xfId="2429" xr:uid="{752C57E3-7B33-412F-BA5E-1896925C6D6D}"/>
    <cellStyle name="Accent6 - 40%" xfId="2430" xr:uid="{510CDB6E-1554-40CC-A19F-41C97D171109}"/>
    <cellStyle name="Accent6 - 60%" xfId="2431" xr:uid="{3F1E86D4-1CC3-43D9-AF33-7F85655DB05D}"/>
    <cellStyle name="Accent6 10" xfId="2432" xr:uid="{60CF6B57-3C4F-4B86-9262-10C4982CECCE}"/>
    <cellStyle name="Accent6 11" xfId="2433" xr:uid="{BA310AF2-277A-4A33-B4A2-3135FD9F2862}"/>
    <cellStyle name="Accent6 12" xfId="2434" xr:uid="{E2A0D46D-DF1A-48EC-AE56-865CC783ECDF}"/>
    <cellStyle name="Accent6 13" xfId="2435" xr:uid="{E912EA82-DB9B-4474-8CA8-E72814AFBB4A}"/>
    <cellStyle name="Accent6 14" xfId="2436" xr:uid="{73B0D548-0F02-4C97-B259-FA12A0EF1C83}"/>
    <cellStyle name="Accent6 15" xfId="2437" xr:uid="{5BA074F3-724A-43CD-A02D-A44C62768138}"/>
    <cellStyle name="Accent6 16" xfId="2438" xr:uid="{20816CBC-F50C-4C7B-AABF-7FDF821170C2}"/>
    <cellStyle name="Accent6 17" xfId="2439" xr:uid="{86338D50-A0B5-4E0B-B6C1-0D1B881089FC}"/>
    <cellStyle name="Accent6 18" xfId="2440" xr:uid="{2CA8C6D9-579B-4DBD-8E34-CA6937E09064}"/>
    <cellStyle name="Accent6 19" xfId="2441" xr:uid="{C3262475-AF6D-4922-8746-72AE5D7B7609}"/>
    <cellStyle name="Accent6 2" xfId="2442" xr:uid="{61A4821E-B0BC-4B82-9D2C-1CB1125C8EF6}"/>
    <cellStyle name="Accent6 2 2" xfId="1708" xr:uid="{1D56ECD6-01AA-41B1-9F80-28BD1C261352}"/>
    <cellStyle name="Accent6 2 2 2" xfId="2444" xr:uid="{41B820F6-4691-40D5-AA7B-CBA9E8B39ABE}"/>
    <cellStyle name="Accent6 2 2 3" xfId="2445" xr:uid="{56E00F3E-ADF6-42A2-9E9E-BE3382069FFC}"/>
    <cellStyle name="Accent6 2 2 4" xfId="3423" xr:uid="{06FE2F45-AB5D-4BC9-B77E-EAB3B5F83C60}"/>
    <cellStyle name="Accent6 2 2 5" xfId="2443" xr:uid="{935744AE-EE34-41A7-BAB9-DCE855E9DAB0}"/>
    <cellStyle name="Accent6 2 3" xfId="1709" xr:uid="{B49CC66B-D099-4B48-910A-7E63AC95D664}"/>
    <cellStyle name="Accent6 2 3 2" xfId="3424" xr:uid="{EE33290A-0281-4AA7-ADB5-EBF8A45A552F}"/>
    <cellStyle name="Accent6 2 3 3" xfId="2446" xr:uid="{D7875CB3-B3FD-4C08-8319-245E55FF295F}"/>
    <cellStyle name="Accent6 2 4" xfId="1710" xr:uid="{1FDCC112-C892-4CE2-B9F6-FFE1B4882D3E}"/>
    <cellStyle name="Accent6 2 4 2" xfId="3425" xr:uid="{B2A63CA9-738E-4373-98B7-E31674623948}"/>
    <cellStyle name="Accent6 2 4 3" xfId="2447" xr:uid="{D898487F-7A10-41BC-B3E2-E83CFA2A39DD}"/>
    <cellStyle name="Accent6 2 5" xfId="1711" xr:uid="{DA388632-4874-4A35-BA00-4FB15B3F7830}"/>
    <cellStyle name="Accent6 2 5 2" xfId="3426" xr:uid="{B156E49E-BFE3-46D3-9CF7-FB00DD508516}"/>
    <cellStyle name="Accent6 2 5 3" xfId="2448" xr:uid="{4724C43B-2BA9-453C-B65C-87A2E624B48A}"/>
    <cellStyle name="Accent6 2 6" xfId="1712" xr:uid="{286A8562-F844-4839-84A4-81D634587FF4}"/>
    <cellStyle name="Accent6 2 6 2" xfId="3427" xr:uid="{FBFCA6A3-3FB0-4664-8E98-C2EE979476F2}"/>
    <cellStyle name="Accent6 2 6 3" xfId="2449" xr:uid="{F7A98723-74BF-4C58-93D0-98553AC93923}"/>
    <cellStyle name="Accent6 2 7" xfId="1713" xr:uid="{D43EF6FC-3FCF-4A0E-AF6E-76B7A3963935}"/>
    <cellStyle name="Accent6 2 8" xfId="1714" xr:uid="{00756374-587B-40E7-BFE9-CB670409B394}"/>
    <cellStyle name="Accent6 2 9" xfId="1715" xr:uid="{345D3C9E-02EA-4131-8C94-987C0217C467}"/>
    <cellStyle name="Accent6 20" xfId="2450" xr:uid="{661127B9-9486-47C9-AC22-C54638BFF695}"/>
    <cellStyle name="Accent6 21" xfId="2451" xr:uid="{B8F23646-A5E8-4838-900C-CEE7EFF37F50}"/>
    <cellStyle name="Accent6 22" xfId="2452" xr:uid="{E17E9DAF-9A80-4BDF-BA38-B99F06EB3063}"/>
    <cellStyle name="Accent6 23" xfId="2453" xr:uid="{FDA6C404-8844-4CAD-AE29-BB1B13DA3AA4}"/>
    <cellStyle name="Accent6 24" xfId="2454" xr:uid="{A68EC4C1-256C-421E-BEAA-A94C22820971}"/>
    <cellStyle name="Accent6 25" xfId="2455" xr:uid="{617D3419-D189-4437-AE1F-AF874ADFCE0D}"/>
    <cellStyle name="Accent6 26" xfId="2456" xr:uid="{4318D065-65E4-4D97-A91A-246538740D32}"/>
    <cellStyle name="Accent6 27" xfId="2457" xr:uid="{60B322E7-AF55-4B15-B02D-70FCFF0696DB}"/>
    <cellStyle name="Accent6 27 2" xfId="2458" xr:uid="{A18EC77D-EF6A-45F5-B6AF-47E504F22845}"/>
    <cellStyle name="Accent6 27 3" xfId="2459" xr:uid="{3AD2D577-21BA-4821-A43C-B5461B9E263A}"/>
    <cellStyle name="Accent6 28" xfId="2460" xr:uid="{9A68358F-E22A-4458-8E51-77B5805B65C2}"/>
    <cellStyle name="Accent6 28 2" xfId="2461" xr:uid="{F3ABA961-C11B-4F39-904D-1C89F5DE3DEF}"/>
    <cellStyle name="Accent6 28 3" xfId="2462" xr:uid="{A3ACD736-5864-4B6D-8584-2C45E1EEF638}"/>
    <cellStyle name="Accent6 29" xfId="2463" xr:uid="{F8899D71-397F-4437-B36B-750D2DA33E07}"/>
    <cellStyle name="Accent6 29 2" xfId="2464" xr:uid="{58468E97-0F21-4C4D-8676-828060C88854}"/>
    <cellStyle name="Accent6 3" xfId="2465" xr:uid="{C729EE86-6686-4509-9329-04C496115754}"/>
    <cellStyle name="Accent6 3 2" xfId="2466" xr:uid="{DDD12D6D-9846-4929-83CC-F60D7BB373FF}"/>
    <cellStyle name="Accent6 3 3" xfId="2467" xr:uid="{23044ECA-6F80-4571-8E8D-A10A21F7BE00}"/>
    <cellStyle name="Accent6 3 4" xfId="2468" xr:uid="{5700C537-8724-4787-A744-5A1C019F06DD}"/>
    <cellStyle name="Accent6 30" xfId="2469" xr:uid="{08C966AE-4748-4DC0-9445-75F8CBB2F67C}"/>
    <cellStyle name="Accent6 30 2" xfId="2470" xr:uid="{A6485008-3902-4016-BC50-4C4AB9971331}"/>
    <cellStyle name="Accent6 31" xfId="2471" xr:uid="{E37563E2-0A1E-4E03-9621-0311B18AC82B}"/>
    <cellStyle name="Accent6 31 2" xfId="2472" xr:uid="{BE1DD5A3-F1AE-4AB4-A9BA-688916256D42}"/>
    <cellStyle name="Accent6 32" xfId="2473" xr:uid="{783B20E2-55C9-4DA1-8BCE-7272993709F7}"/>
    <cellStyle name="Accent6 32 2" xfId="2474" xr:uid="{E228DE2F-344D-4D40-BF56-F9FEFF753C14}"/>
    <cellStyle name="Accent6 33" xfId="2475" xr:uid="{85590E3C-BA8F-486B-B036-8904283E2A31}"/>
    <cellStyle name="Accent6 34" xfId="2476" xr:uid="{D596C3F0-B143-4250-B577-8AD99BAC40FC}"/>
    <cellStyle name="Accent6 35" xfId="2477" xr:uid="{BAA69BE8-1E70-449E-9F4C-10DB1BC888CA}"/>
    <cellStyle name="Accent6 36" xfId="2478" xr:uid="{EA55D5EC-44F3-416A-A92F-C74B1E12CA8D}"/>
    <cellStyle name="Accent6 37" xfId="2479" xr:uid="{7A547B98-77AF-47F7-A8F6-0C49FDD67139}"/>
    <cellStyle name="Accent6 38" xfId="2480" xr:uid="{3139E66B-2B9B-467C-B619-968506F71F38}"/>
    <cellStyle name="Accent6 39" xfId="2481" xr:uid="{4F82F297-4C4B-4BB9-BFA4-20D7D4B6AE73}"/>
    <cellStyle name="Accent6 4" xfId="2482" xr:uid="{96A2C78D-B2F7-4289-B8BA-DD1989617DFF}"/>
    <cellStyle name="Accent6 5" xfId="2483" xr:uid="{AF2A9431-3902-43ED-8A29-BF53AC2A2072}"/>
    <cellStyle name="Accent6 6" xfId="2484" xr:uid="{10ADF457-0559-437A-9CD1-D8C4A4E48126}"/>
    <cellStyle name="Accent6 7" xfId="2485" xr:uid="{8B63075B-463C-4ECA-843F-E258AB5BF995}"/>
    <cellStyle name="Accent6 8" xfId="2486" xr:uid="{083E6C06-1B63-4D35-816D-6B6CE4C4DDC5}"/>
    <cellStyle name="Accent6 9" xfId="2487" xr:uid="{CE584BCE-762F-4C67-8678-807DEBEEB967}"/>
    <cellStyle name="args.style" xfId="105" xr:uid="{55F67E80-C4FB-4958-AEAC-62AE3B86EBA1}"/>
    <cellStyle name="Bad" xfId="26" builtinId="27" customBuiltin="1"/>
    <cellStyle name="Bad 2" xfId="90" xr:uid="{5D313816-E712-4BD7-B868-CBF6F93C9392}"/>
    <cellStyle name="Bad 2 2" xfId="2489" xr:uid="{974744D1-0D64-463F-842F-C32D69FA1305}"/>
    <cellStyle name="Bad 2 2 2" xfId="2490" xr:uid="{65631790-0D90-46CB-8FE4-2315FD6C9B6E}"/>
    <cellStyle name="Bad 2 2 3" xfId="2491" xr:uid="{3065F083-9BA0-4D65-A30C-24BCB80253BB}"/>
    <cellStyle name="Bad 2 3" xfId="2492" xr:uid="{E81442E0-1FD7-4580-B34F-F2749B3C6FDB}"/>
    <cellStyle name="Bad 2 4" xfId="2493" xr:uid="{56083FC9-2C7D-4B04-81E9-43202309BD6E}"/>
    <cellStyle name="Bad 2 5" xfId="2494" xr:uid="{7C068570-235E-4CC8-A3A3-99581DD82EE1}"/>
    <cellStyle name="Bad 2 6" xfId="2495" xr:uid="{CB576BEC-4E4B-41CF-BF88-0374D8AB6A51}"/>
    <cellStyle name="Bad 2 7" xfId="3428" xr:uid="{43157C48-D427-46C0-B4D5-09AA362313EE}"/>
    <cellStyle name="Bad 2 8" xfId="2488" xr:uid="{ACEA2464-3D70-415E-8130-28EBA2E5FE35}"/>
    <cellStyle name="Bad 2 9" xfId="1716" xr:uid="{A6357A18-FA92-4B7F-B08B-740F596033BD}"/>
    <cellStyle name="Bad 3" xfId="2496" xr:uid="{25275EB1-4AC7-47C3-AFC8-093FD1795369}"/>
    <cellStyle name="Bad 3 2" xfId="2497" xr:uid="{318EAD6E-3549-4245-BE77-BE84BDEB37F5}"/>
    <cellStyle name="Bad 3 3" xfId="2498" xr:uid="{737C7804-2DE3-48E4-A064-0CB8257736AE}"/>
    <cellStyle name="Bad 4" xfId="342" xr:uid="{0B9CC04A-BD6E-4895-AAB3-9BFC4012BA0C}"/>
    <cellStyle name="Border1" xfId="12" xr:uid="{00000000-0005-0000-0000-00001A000000}"/>
    <cellStyle name="Calc Currency (0)" xfId="106" xr:uid="{6A61F255-F403-48BF-9992-DFA16670EDD3}"/>
    <cellStyle name="Calculation" xfId="27" builtinId="22" customBuiltin="1"/>
    <cellStyle name="Calculation 2" xfId="28" xr:uid="{00000000-0005-0000-0000-00001C000000}"/>
    <cellStyle name="Calculation 2 10" xfId="5432" xr:uid="{69A676A2-8B37-4D25-A8F1-725A67576E54}"/>
    <cellStyle name="Calculation 2 10 2" xfId="10878" xr:uid="{DDD1548F-3AC0-4473-96B4-E2BCFDDB7620}"/>
    <cellStyle name="Calculation 2 10 3" xfId="13253" xr:uid="{38C438AF-D7D7-41F4-9D31-E227FBE7E176}"/>
    <cellStyle name="Calculation 2 11" xfId="6440" xr:uid="{E9AC06D6-A6B9-4B72-AE6A-E76AC3E78CD9}"/>
    <cellStyle name="Calculation 2 11 2" xfId="11882" xr:uid="{8BC923AE-C7B6-4122-B8F4-320928A605A9}"/>
    <cellStyle name="Calculation 2 11 3" xfId="13950" xr:uid="{E52BB912-8B17-4429-A259-1D157D9F7B9B}"/>
    <cellStyle name="Calculation 2 12" xfId="7112" xr:uid="{9A894A80-8319-4B52-8A4F-C1836037C82F}"/>
    <cellStyle name="Calculation 2 13" xfId="8904" xr:uid="{00DF05DE-66E5-48C8-89F6-DC437F7A97C9}"/>
    <cellStyle name="Calculation 2 2" xfId="1718" xr:uid="{D256201D-BEB5-4111-843E-510ADACE0A0B}"/>
    <cellStyle name="Calculation 2 2 2" xfId="2501" xr:uid="{6854FB60-96E9-4213-99FD-D40CADA472F2}"/>
    <cellStyle name="Calculation 2 2 2 2" xfId="5595" xr:uid="{9478D9E3-D838-4DAA-B817-41AB1280E6DE}"/>
    <cellStyle name="Calculation 2 2 2 2 2" xfId="11041" xr:uid="{7E5A0D74-EC26-4BAF-AD49-5AA14FAA24D0}"/>
    <cellStyle name="Calculation 2 2 2 2 3" xfId="13273" xr:uid="{2DC09E27-D92E-4E90-A0F2-8415F3642B2F}"/>
    <cellStyle name="Calculation 2 2 2 3" xfId="6454" xr:uid="{365E73F5-FC24-4CD0-B71D-25C2367391B0}"/>
    <cellStyle name="Calculation 2 2 2 3 2" xfId="11896" xr:uid="{23E73C6A-A580-4B81-B630-0AD52B657A75}"/>
    <cellStyle name="Calculation 2 2 2 3 3" xfId="13964" xr:uid="{F096A65C-4F9B-42C1-9667-8ECF8213E0BC}"/>
    <cellStyle name="Calculation 2 2 2 4" xfId="8661" xr:uid="{E079795F-9662-42FD-B477-9B03C2395021}"/>
    <cellStyle name="Calculation 2 2 2 5" xfId="12567" xr:uid="{F18AE2F4-94E5-48E8-9A51-9EDE5EA829F6}"/>
    <cellStyle name="Calculation 2 2 3" xfId="2502" xr:uid="{A11A18A1-B107-45B2-863E-57F9DAEAE503}"/>
    <cellStyle name="Calculation 2 2 3 2" xfId="5596" xr:uid="{86622FBD-1CF8-4BCE-87BF-2AEE09A0F9C6}"/>
    <cellStyle name="Calculation 2 2 3 2 2" xfId="11042" xr:uid="{03403D99-0339-4E82-B0EC-42B8B90B35C1}"/>
    <cellStyle name="Calculation 2 2 3 2 3" xfId="13274" xr:uid="{97F776CD-A31E-4CA0-999F-1A8210859172}"/>
    <cellStyle name="Calculation 2 2 3 3" xfId="6455" xr:uid="{0DB9E0C7-5E02-44BF-8AA9-C928317B3177}"/>
    <cellStyle name="Calculation 2 2 3 3 2" xfId="11897" xr:uid="{FD83AAE9-86E0-4585-B925-FEE82A83F7E1}"/>
    <cellStyle name="Calculation 2 2 3 3 3" xfId="13965" xr:uid="{B860D830-4C9B-4F92-83C7-F80DC86129AF}"/>
    <cellStyle name="Calculation 2 2 3 4" xfId="8662" xr:uid="{DED8A5D6-78B1-4772-943F-1214372D2927}"/>
    <cellStyle name="Calculation 2 2 3 5" xfId="12568" xr:uid="{9C09B232-A92B-401F-BD66-7D103E825461}"/>
    <cellStyle name="Calculation 2 2 4" xfId="3430" xr:uid="{80C9B698-699C-4580-8A6E-AFC699C75D12}"/>
    <cellStyle name="Calculation 2 2 4 2" xfId="5895" xr:uid="{BAFC2992-6BDC-4ADF-82F8-136F084E377C}"/>
    <cellStyle name="Calculation 2 2 4 2 2" xfId="11337" xr:uid="{8360C041-D9C9-4547-BA84-CBA0011A0880}"/>
    <cellStyle name="Calculation 2 2 4 2 3" xfId="13486" xr:uid="{199F80DF-FF89-465B-8683-E993DC37CEDD}"/>
    <cellStyle name="Calculation 2 2 4 3" xfId="6643" xr:uid="{50B7272E-9632-4C76-BECF-290B7E6C6D02}"/>
    <cellStyle name="Calculation 2 2 4 3 2" xfId="12085" xr:uid="{FFE20CC0-53F1-42A9-8F26-C2C9EF9E4C18}"/>
    <cellStyle name="Calculation 2 2 4 3 3" xfId="14148" xr:uid="{6DBD8942-4BE2-4E61-9FDE-84B5B0BDB9CF}"/>
    <cellStyle name="Calculation 2 2 4 4" xfId="8953" xr:uid="{8C12FA50-86E7-48F2-B3EB-0A903A9D827A}"/>
    <cellStyle name="Calculation 2 2 4 5" xfId="12751" xr:uid="{A4D68777-5F73-4237-B94E-CD240D3FACB0}"/>
    <cellStyle name="Calculation 2 2 5" xfId="2500" xr:uid="{AC18BF99-4F08-4A4F-BEDD-91D74A6AEE3F}"/>
    <cellStyle name="Calculation 2 2 5 2" xfId="5594" xr:uid="{450E5BD3-185D-4974-9AC9-547DB6D52E02}"/>
    <cellStyle name="Calculation 2 2 5 2 2" xfId="11040" xr:uid="{C171924B-9191-484E-BD26-550649E18E72}"/>
    <cellStyle name="Calculation 2 2 5 2 3" xfId="13272" xr:uid="{ED72F0FB-738C-44E8-A598-598907356F46}"/>
    <cellStyle name="Calculation 2 2 5 3" xfId="6453" xr:uid="{B66B5546-9AB7-46D6-AFAE-7C621DBD7F33}"/>
    <cellStyle name="Calculation 2 2 5 3 2" xfId="11895" xr:uid="{E0FEF05A-EB08-470B-800D-9F7A45A41C0D}"/>
    <cellStyle name="Calculation 2 2 5 3 3" xfId="13963" xr:uid="{7B88FF40-3D83-45EF-AA41-0F442C8A6BCC}"/>
    <cellStyle name="Calculation 2 2 5 4" xfId="8660" xr:uid="{FE57B34D-BB57-431E-9FF4-82B46764EA7E}"/>
    <cellStyle name="Calculation 2 2 5 5" xfId="12566" xr:uid="{253B36CA-CC43-4450-B90E-E9D075816838}"/>
    <cellStyle name="Calculation 2 2 6" xfId="5433" xr:uid="{AAFDBAD1-ECC8-4156-B6BA-C3C997D24D31}"/>
    <cellStyle name="Calculation 2 2 6 2" xfId="10879" xr:uid="{3C29A799-14F6-4DDC-A950-D0DCF28615AA}"/>
    <cellStyle name="Calculation 2 2 6 3" xfId="13254" xr:uid="{230D4CA9-30B8-48EF-9AA8-9848C2D9BC85}"/>
    <cellStyle name="Calculation 2 2 7" xfId="6441" xr:uid="{B95CE9EF-92E2-4AE2-8102-678652A5B53E}"/>
    <cellStyle name="Calculation 2 2 7 2" xfId="11883" xr:uid="{2CCAB104-035C-45CE-B824-CA19C9FBB481}"/>
    <cellStyle name="Calculation 2 2 7 3" xfId="13951" xr:uid="{C4122B28-24A8-483C-9795-7DDEBC5E325D}"/>
    <cellStyle name="Calculation 2 2 8" xfId="8502" xr:uid="{F4FFEEC4-4E93-4415-A525-BA0E66C190E5}"/>
    <cellStyle name="Calculation 2 2 9" xfId="12554" xr:uid="{60C3D658-4F8E-46A7-A312-ECD7B060A1BD}"/>
    <cellStyle name="Calculation 2 2_2014 CLEAResult Invoices" xfId="2503" xr:uid="{BA4CBBDF-115C-45EE-91B1-AA8F06D150EB}"/>
    <cellStyle name="Calculation 2 3" xfId="2504" xr:uid="{53395C37-3F3B-4BF7-B5BF-FDDB7A9408E4}"/>
    <cellStyle name="Calculation 2 3 2" xfId="2505" xr:uid="{D144BBCF-97E8-4507-8C64-FD392D01DDAD}"/>
    <cellStyle name="Calculation 2 3 2 2" xfId="5598" xr:uid="{F96FD7A0-F135-4F64-829B-763FF035F0DD}"/>
    <cellStyle name="Calculation 2 3 2 2 2" xfId="11044" xr:uid="{47D427BD-3382-4309-B4BA-10F02CB3B33D}"/>
    <cellStyle name="Calculation 2 3 2 2 3" xfId="13276" xr:uid="{A3B5851E-C784-4B9F-AA15-A95FF54F1330}"/>
    <cellStyle name="Calculation 2 3 2 3" xfId="6457" xr:uid="{E615D2DE-CBAC-4D8C-8019-8C5E29114C3B}"/>
    <cellStyle name="Calculation 2 3 2 3 2" xfId="11899" xr:uid="{724E7D75-720A-4F3F-BA1B-EA27278D9CCE}"/>
    <cellStyle name="Calculation 2 3 2 3 3" xfId="13967" xr:uid="{C48FC99C-0FED-43D7-A77E-113840A0C65A}"/>
    <cellStyle name="Calculation 2 3 2 4" xfId="8664" xr:uid="{31EED1B3-C96C-4772-B65B-EF7BBEE43327}"/>
    <cellStyle name="Calculation 2 3 2 5" xfId="12570" xr:uid="{1417CF6A-A43D-468B-B3C3-55518CED065D}"/>
    <cellStyle name="Calculation 2 3 3" xfId="5597" xr:uid="{BC0C726C-F680-458A-A468-55915F78D02C}"/>
    <cellStyle name="Calculation 2 3 3 2" xfId="11043" xr:uid="{6CD20980-4116-4567-B61B-932225F82AE5}"/>
    <cellStyle name="Calculation 2 3 3 3" xfId="13275" xr:uid="{B13BE104-154A-4140-B5A4-E71ADB52002D}"/>
    <cellStyle name="Calculation 2 3 4" xfId="6456" xr:uid="{AFE8D7A7-82F1-4832-90F8-01AF683D0F7A}"/>
    <cellStyle name="Calculation 2 3 4 2" xfId="11898" xr:uid="{D6CA98B3-0B50-427D-B729-F666E49212C5}"/>
    <cellStyle name="Calculation 2 3 4 3" xfId="13966" xr:uid="{D73BCA4F-1E47-43AE-AF3B-31E482A02117}"/>
    <cellStyle name="Calculation 2 3 5" xfId="8663" xr:uid="{6C9790A6-7A35-47E8-AD9A-5D749E8F4437}"/>
    <cellStyle name="Calculation 2 3 6" xfId="12569" xr:uid="{E5696C88-C05B-428A-A40A-06C213A14BFE}"/>
    <cellStyle name="Calculation 2 4" xfId="2506" xr:uid="{E220F201-5778-4E32-9D88-D971B7197585}"/>
    <cellStyle name="Calculation 2 4 2" xfId="2507" xr:uid="{9EF955EF-9BF1-4E4A-8FC4-1700A71246D8}"/>
    <cellStyle name="Calculation 2 4 3" xfId="5599" xr:uid="{DBE462CE-91E4-4913-9503-8D16F490BEDA}"/>
    <cellStyle name="Calculation 2 4 3 2" xfId="11045" xr:uid="{5614FD93-B247-4B5A-B034-5825F065DC1A}"/>
    <cellStyle name="Calculation 2 4 3 3" xfId="13277" xr:uid="{53E07F15-96E5-4CC8-854D-EB7B0BEA199F}"/>
    <cellStyle name="Calculation 2 4 4" xfId="6458" xr:uid="{5EC9C7CE-8FE9-43A5-A0B2-582479E7EF5E}"/>
    <cellStyle name="Calculation 2 4 4 2" xfId="11900" xr:uid="{E34CBBAC-42FD-4F16-B08F-7472B93D6CAE}"/>
    <cellStyle name="Calculation 2 4 4 3" xfId="13968" xr:uid="{0C349602-3B82-4B87-844C-9B9B51F2BB40}"/>
    <cellStyle name="Calculation 2 4 5" xfId="8665" xr:uid="{2A1DE2C3-23CE-4D7F-8D1B-ED64A75670BA}"/>
    <cellStyle name="Calculation 2 4 6" xfId="12571" xr:uid="{342E1389-4638-43E7-94F8-E69087CA6B3F}"/>
    <cellStyle name="Calculation 2 5" xfId="2508" xr:uid="{3DC38564-A19F-4E54-8386-527B87F7C54B}"/>
    <cellStyle name="Calculation 2 5 2" xfId="2509" xr:uid="{A337FA7D-04C7-46F4-A396-12CC9CB5B084}"/>
    <cellStyle name="Calculation 2 5 3" xfId="5600" xr:uid="{5F2915E3-C57B-4D24-942F-D0706E5DC49E}"/>
    <cellStyle name="Calculation 2 5 3 2" xfId="11046" xr:uid="{6ACBB938-F9BF-469C-B694-CADE19941C68}"/>
    <cellStyle name="Calculation 2 5 3 3" xfId="13278" xr:uid="{B1ED65DD-40D2-4D62-9AC6-229DCFF7D01C}"/>
    <cellStyle name="Calculation 2 5 4" xfId="6459" xr:uid="{F11BB202-F469-464F-A1AD-CB60DB8285F6}"/>
    <cellStyle name="Calculation 2 5 4 2" xfId="11901" xr:uid="{0443AAC1-1662-49C0-9608-C1C8BE75E8AF}"/>
    <cellStyle name="Calculation 2 5 4 3" xfId="13969" xr:uid="{8DD9E629-BF70-48C9-AB06-944E49CDA8EB}"/>
    <cellStyle name="Calculation 2 5 5" xfId="8666" xr:uid="{45706285-2496-4ABF-A6C0-6A196E540C66}"/>
    <cellStyle name="Calculation 2 5 6" xfId="12572" xr:uid="{F1D81D85-FDA3-4439-9EA6-FA08D8596D65}"/>
    <cellStyle name="Calculation 2 6" xfId="2510" xr:uid="{83BB0831-AB80-4906-89BB-0AC1EB549283}"/>
    <cellStyle name="Calculation 2 6 2" xfId="5601" xr:uid="{8EE172FF-C325-4F10-8247-C16588DDA632}"/>
    <cellStyle name="Calculation 2 6 2 2" xfId="11047" xr:uid="{3E57AF31-A2FE-4BBD-A27A-538FDC51DD9D}"/>
    <cellStyle name="Calculation 2 6 2 3" xfId="13279" xr:uid="{280547C6-B757-4672-B2DC-B31999056C16}"/>
    <cellStyle name="Calculation 2 6 3" xfId="6460" xr:uid="{789914B1-53C6-4A09-9AC0-23BB92DB6703}"/>
    <cellStyle name="Calculation 2 6 3 2" xfId="11902" xr:uid="{CDD2B8F9-402E-4AF5-A0C4-39935C597847}"/>
    <cellStyle name="Calculation 2 6 3 3" xfId="13970" xr:uid="{F6D9878E-8B3B-4187-BFBA-E482185234A7}"/>
    <cellStyle name="Calculation 2 6 4" xfId="8667" xr:uid="{8F3AACA9-DD0B-45C7-9130-1D764EA5AA53}"/>
    <cellStyle name="Calculation 2 6 5" xfId="12573" xr:uid="{2BAB6980-8DA9-4A44-BE24-2DCAECC9873F}"/>
    <cellStyle name="Calculation 2 7" xfId="3429" xr:uid="{2CAEF804-7C3A-4295-B240-6C814C108125}"/>
    <cellStyle name="Calculation 2 7 2" xfId="5894" xr:uid="{06512BEF-9A01-4CF6-B3E6-7FC969FE5F8D}"/>
    <cellStyle name="Calculation 2 7 2 2" xfId="11336" xr:uid="{2B20F17D-C287-4685-A251-08B50D941001}"/>
    <cellStyle name="Calculation 2 7 2 3" xfId="13485" xr:uid="{4EBBD101-B43B-4423-97E5-EB3E334A5C26}"/>
    <cellStyle name="Calculation 2 7 3" xfId="6642" xr:uid="{3F70C7E0-D246-4483-8B44-46C4452728D7}"/>
    <cellStyle name="Calculation 2 7 3 2" xfId="12084" xr:uid="{BC01AF9E-EF35-4957-903D-DA7F26DF91C4}"/>
    <cellStyle name="Calculation 2 7 3 3" xfId="14147" xr:uid="{09656270-BE3D-4208-91A8-DCF6E9242A68}"/>
    <cellStyle name="Calculation 2 7 4" xfId="8952" xr:uid="{98F653E1-C2A8-4923-A0A4-95BB57AA0BFE}"/>
    <cellStyle name="Calculation 2 7 5" xfId="12750" xr:uid="{AAF5574A-05C9-4096-A6BB-2E3D135D33F6}"/>
    <cellStyle name="Calculation 2 8" xfId="2499" xr:uid="{98721703-BB3F-4B1D-9E7F-587AB3BE9C2E}"/>
    <cellStyle name="Calculation 2 8 2" xfId="5593" xr:uid="{F212A2DB-17FD-408E-BC93-76B87B460FC5}"/>
    <cellStyle name="Calculation 2 8 2 2" xfId="11039" xr:uid="{FB381E73-B16D-4EFE-9972-1CD51A72CA59}"/>
    <cellStyle name="Calculation 2 8 2 3" xfId="13271" xr:uid="{E9C6A38F-C634-4D82-8F9D-87533D58FD3C}"/>
    <cellStyle name="Calculation 2 8 3" xfId="6452" xr:uid="{A116A2AB-7312-434E-81E5-70425141F5DB}"/>
    <cellStyle name="Calculation 2 8 3 2" xfId="11894" xr:uid="{35C208F4-B7F5-4B58-BC79-03D8DDDD924B}"/>
    <cellStyle name="Calculation 2 8 3 3" xfId="13962" xr:uid="{DC1D068A-E819-4C7A-8F62-FE4A43BAD40B}"/>
    <cellStyle name="Calculation 2 8 4" xfId="8659" xr:uid="{62AE26EA-C520-4BAB-B511-9DFB09FCC4BD}"/>
    <cellStyle name="Calculation 2 8 5" xfId="12565" xr:uid="{3A83CA62-C95D-4625-B9AC-742F0335F843}"/>
    <cellStyle name="Calculation 2 9" xfId="1717" xr:uid="{A891CE07-139B-45D9-A9C2-784BBD13D061}"/>
    <cellStyle name="Calculation 2 9 2" xfId="8501" xr:uid="{20423ED9-69A6-4E5F-ABF5-E4ED8969A10B}"/>
    <cellStyle name="Calculation 2 9 3" xfId="12553" xr:uid="{3AE16076-93D4-4D36-AF72-28B10C4D9878}"/>
    <cellStyle name="Calculation 2_2014 CLEAResult Invoices" xfId="2511" xr:uid="{125176A0-7140-4369-B222-C093DE2C04CA}"/>
    <cellStyle name="Calculation 3" xfId="2512" xr:uid="{9CCFD562-160E-4545-B505-0FC956B035D8}"/>
    <cellStyle name="Calculation 3 2" xfId="2513" xr:uid="{56C90C18-5911-4B59-B621-AB4057A23419}"/>
    <cellStyle name="Calculation 3 3" xfId="2514" xr:uid="{90D7DD6B-B67C-4B42-8BB4-8BAC7E2A1055}"/>
    <cellStyle name="Calculation 3 3 2" xfId="5602" xr:uid="{F2896DF5-9F88-40EF-ACA0-8089E14DA2B9}"/>
    <cellStyle name="Calculation 3 3 2 2" xfId="11048" xr:uid="{7BE095B1-8A61-480C-9F40-358FF0E096F8}"/>
    <cellStyle name="Calculation 3 3 2 3" xfId="13280" xr:uid="{ED1E66F4-F1AB-48C9-AF3E-417E2AFD7E95}"/>
    <cellStyle name="Calculation 3 3 3" xfId="6461" xr:uid="{FDE843BA-80EC-4B35-ADBF-FA0EC1F01B6D}"/>
    <cellStyle name="Calculation 3 3 3 2" xfId="11903" xr:uid="{ED23FA94-CBAB-4F40-940A-2448BF12BB45}"/>
    <cellStyle name="Calculation 3 3 3 3" xfId="13971" xr:uid="{5342859E-5F13-42AE-B7B1-AC732C3D1D62}"/>
    <cellStyle name="Calculation 3 3 4" xfId="8668" xr:uid="{69200B1D-94AB-48BA-B2EC-5CE97A0DB421}"/>
    <cellStyle name="Calculation 3 3 5" xfId="12574" xr:uid="{3367B205-55F6-43EB-B800-5CCDAA34DB50}"/>
    <cellStyle name="Calculation 4" xfId="346" xr:uid="{3C45FA0D-619F-44A5-BFAE-8D44CA7E9EE2}"/>
    <cellStyle name="Calculation 5" xfId="4180" xr:uid="{64CB178F-4CF0-468F-AF7A-D7BBCF72641E}"/>
    <cellStyle name="Calculation 6" xfId="5643" xr:uid="{11AD1EF7-745A-44D0-B451-8E2DA2F41617}"/>
    <cellStyle name="Calculation 7" xfId="7111" xr:uid="{C6FCE301-B3D3-45B6-AAEB-5F7473D4293B}"/>
    <cellStyle name="Calculation 8" xfId="8905" xr:uid="{E5901764-F985-4E89-AFC5-FD1B467CAE07}"/>
    <cellStyle name="Check Cell" xfId="29" builtinId="23" customBuiltin="1"/>
    <cellStyle name="Check Cell 2" xfId="30" xr:uid="{00000000-0005-0000-0000-00001E000000}"/>
    <cellStyle name="Check Cell 2 2" xfId="2515" xr:uid="{49581990-917D-4460-98F3-E10CAEFBED8F}"/>
    <cellStyle name="Check Cell 2 2 2" xfId="2516" xr:uid="{A1B48926-DDB8-40CB-AABA-5BC0768784B1}"/>
    <cellStyle name="Check Cell 2 2 3" xfId="2517" xr:uid="{C95E9B57-9361-4E6B-B3B8-AFE34BDE73EF}"/>
    <cellStyle name="Check Cell 2 3" xfId="2518" xr:uid="{C218A57D-B3C1-4E96-BA03-5C572A6E7F4F}"/>
    <cellStyle name="Check Cell 2 4" xfId="2519" xr:uid="{6FF575F0-DD97-4B83-ABC4-2362784D26B8}"/>
    <cellStyle name="Check Cell 2 5" xfId="2520" xr:uid="{F59C4D79-C99D-427B-A8C9-92C79F0746F4}"/>
    <cellStyle name="Check Cell 2 6" xfId="2521" xr:uid="{AC7DB177-5A12-4304-83DF-7FF8A64A3B79}"/>
    <cellStyle name="Check Cell 3" xfId="2522" xr:uid="{E4B6BB95-4322-46E4-9C7C-F9E85F8D704C}"/>
    <cellStyle name="Check Cell 3 2" xfId="2523" xr:uid="{AF256DB4-3F0F-4E71-ABD6-5BD43929E6B9}"/>
    <cellStyle name="Check Cell 3 3" xfId="2524" xr:uid="{EBF3A1DE-CE1B-41F2-BA68-453189454703}"/>
    <cellStyle name="Check Cell 4" xfId="348" xr:uid="{907E857F-8EC0-40F0-8350-021759128AFE}"/>
    <cellStyle name="Comma" xfId="86" builtinId="3"/>
    <cellStyle name="Comma  - Style1" xfId="107" xr:uid="{10683668-5DC0-46E5-AA5C-1AA3A903170C}"/>
    <cellStyle name="Comma  - Style2" xfId="108" xr:uid="{CCAF744E-F9B5-4AE3-991A-133D6EE6DBC5}"/>
    <cellStyle name="Comma  - Style3" xfId="109" xr:uid="{ECC5C1EE-6CF9-4365-949B-08B288AE2599}"/>
    <cellStyle name="Comma  - Style4" xfId="110" xr:uid="{F4E5C933-287C-48AD-A617-0852EAA7B0C3}"/>
    <cellStyle name="Comma  - Style5" xfId="111" xr:uid="{F73DF798-B073-4307-AAA9-ECAC19BA0814}"/>
    <cellStyle name="Comma  - Style6" xfId="112" xr:uid="{8BF81B38-5D66-420C-8ECE-7369AB33E5F1}"/>
    <cellStyle name="Comma  - Style7" xfId="113" xr:uid="{3A56117C-EDC8-4FBF-A10F-A7E750454BB3}"/>
    <cellStyle name="Comma  - Style8" xfId="114" xr:uid="{25C2F5B0-62C0-4B7F-9B3D-5EFC42881A9A}"/>
    <cellStyle name="Comma [0]" xfId="31" builtinId="6"/>
    <cellStyle name="Comma [0] 2" xfId="115" xr:uid="{75096600-ECF5-47A9-92C0-F1F90A001780}"/>
    <cellStyle name="Comma [0] 2 2" xfId="32" xr:uid="{00000000-0005-0000-0000-000020000000}"/>
    <cellStyle name="Comma [0] 2 2 2" xfId="2525" xr:uid="{907EA440-3075-4AD3-AF41-7DFB05E0E07A}"/>
    <cellStyle name="Comma [0] 3" xfId="2526" xr:uid="{B623D268-46A8-4B41-A348-3202E3688D9E}"/>
    <cellStyle name="Comma [0] 3 2" xfId="2527" xr:uid="{BC817AD2-BA48-47CA-AC25-DC8BD1FFE56E}"/>
    <cellStyle name="Comma [0] 4" xfId="33" xr:uid="{00000000-0005-0000-0000-000021000000}"/>
    <cellStyle name="Comma [0] 4 2" xfId="2528" xr:uid="{C6367973-A174-45A2-AD41-C7EBC0A550E5}"/>
    <cellStyle name="Comma [0] 4 3" xfId="327" xr:uid="{7226FB29-26FF-4DDD-AC7F-6AA07CB6168F}"/>
    <cellStyle name="Comma [0] 5" xfId="34" xr:uid="{00000000-0005-0000-0000-000022000000}"/>
    <cellStyle name="Comma [0] 5 2" xfId="2529" xr:uid="{F3A85A6C-939F-4B1A-AF0B-2349C7436C6D}"/>
    <cellStyle name="Comma [0] 6" xfId="2530" xr:uid="{818CD601-70D1-42BD-B257-2D7AD3A2C1E7}"/>
    <cellStyle name="Comma [0] 6 2" xfId="2531" xr:uid="{544AF882-6301-4FDD-B76F-5870C3F1AE57}"/>
    <cellStyle name="Comma [0] 7" xfId="2532" xr:uid="{983C8EE2-6A2A-4EDA-A700-9E01F1A070E0}"/>
    <cellStyle name="Comma 0" xfId="84" xr:uid="{00000000-0005-0000-0000-000023000000}"/>
    <cellStyle name="Comma 1" xfId="36" xr:uid="{00000000-0005-0000-0000-000024000000}"/>
    <cellStyle name="Comma 10" xfId="116" xr:uid="{79D6B1BE-DA1A-43C1-983A-2718355E1801}"/>
    <cellStyle name="Comma 10 2" xfId="2534" xr:uid="{910C4D8D-C5DF-45D2-8AB2-FBBCC851FA1F}"/>
    <cellStyle name="Comma 10 3" xfId="2533" xr:uid="{DA001979-AA0D-4EF0-9174-AD361C719343}"/>
    <cellStyle name="Comma 10 4" xfId="4066" xr:uid="{892CFBF8-3F33-42B1-AA8E-0962ED9FE8D6}"/>
    <cellStyle name="Comma 10 4 2" xfId="9516" xr:uid="{F1E102B0-9EA4-4C74-BE25-2F8DDA4E4295}"/>
    <cellStyle name="Comma 10 5" xfId="7131" xr:uid="{33D80ECE-BF74-4721-B1A6-7AC11B315A44}"/>
    <cellStyle name="Comma 11" xfId="117" xr:uid="{EAC92A22-DB3D-4E5D-BF46-8184F5A9C440}"/>
    <cellStyle name="Comma 11 2" xfId="2535" xr:uid="{9D64ADB7-5C05-4A50-9914-C8801B68D454}"/>
    <cellStyle name="Comma 11 3" xfId="4067" xr:uid="{6358ECF5-EF05-486D-B6BA-6F982EE0D03D}"/>
    <cellStyle name="Comma 11 3 2" xfId="9517" xr:uid="{2A337269-F654-45BA-8447-C2CC2D67F2E6}"/>
    <cellStyle name="Comma 11 4" xfId="7132" xr:uid="{90220EEA-AB76-4C91-AB9F-A54B3D7CCF26}"/>
    <cellStyle name="Comma 12" xfId="118" xr:uid="{89AFE79E-BF91-46DC-A83E-EADA802802B9}"/>
    <cellStyle name="Comma 12 2" xfId="4068" xr:uid="{8F1A9CDE-CBA2-424F-A5C1-CAB7390BA888}"/>
    <cellStyle name="Comma 12 2 2" xfId="9518" xr:uid="{EA9F9545-58AC-4AA2-BA51-BE9907810DBC}"/>
    <cellStyle name="Comma 12 3" xfId="7133" xr:uid="{35B000A7-C38E-4466-A25C-1972FB9B866F}"/>
    <cellStyle name="Comma 13" xfId="119" xr:uid="{B53ABD5F-C12E-499C-A99D-15A7E623F785}"/>
    <cellStyle name="Comma 13 2" xfId="2536" xr:uid="{A810C933-74A1-4858-AC57-96AB32D46194}"/>
    <cellStyle name="Comma 13 2 2" xfId="5603" xr:uid="{ADC29E62-140F-48EB-B088-E4C330084607}"/>
    <cellStyle name="Comma 13 2 2 2" xfId="11049" xr:uid="{CCD5F2AC-E72C-46C6-8426-724E96DEADCB}"/>
    <cellStyle name="Comma 13 2 3" xfId="8669" xr:uid="{FA96C66D-6771-4646-846A-6DF9B5518D86}"/>
    <cellStyle name="Comma 14" xfId="302" xr:uid="{9B35BDDD-6A52-4243-AA70-0A59B690DDB7}"/>
    <cellStyle name="Comma 14 2" xfId="2050" xr:uid="{D86B41F5-89A9-44A2-A0CF-41533F6E41DF}"/>
    <cellStyle name="Comma 14 2 2" xfId="5591" xr:uid="{276B62B4-06FF-4116-8C48-2BA6E25DB50D}"/>
    <cellStyle name="Comma 14 2 2 2" xfId="11037" xr:uid="{E7799010-40BF-4B8E-A52D-558B5F38370B}"/>
    <cellStyle name="Comma 14 2 3" xfId="8657" xr:uid="{ECDECF82-F8F3-4D70-8C38-C68954B620AB}"/>
    <cellStyle name="Comma 14 3" xfId="3555" xr:uid="{50DCD5AC-AE12-4855-BD86-519A3A704E7A}"/>
    <cellStyle name="Comma 14 4" xfId="4028" xr:uid="{6952C8FE-40B6-4F3F-9440-38CE33F66D8A}"/>
    <cellStyle name="Comma 14 4 2" xfId="6431" xr:uid="{2F060EDC-1B1C-4B7D-9DF8-57E5C68DFAD2}"/>
    <cellStyle name="Comma 14 4 2 2" xfId="11873" xr:uid="{2C628E17-D280-4303-A1AE-485DA1585373}"/>
    <cellStyle name="Comma 14 4 3" xfId="9494" xr:uid="{73B206EC-BF79-4F09-8EBB-7D311F08AF75}"/>
    <cellStyle name="Comma 15" xfId="2053" xr:uid="{FDB25A40-577D-488F-8909-4D43D60D7F66}"/>
    <cellStyle name="Comma 15 2" xfId="4029" xr:uid="{7F1A754F-EB33-491E-B751-008982A7AB99}"/>
    <cellStyle name="Comma 15 2 2" xfId="6432" xr:uid="{FC870FE2-61AA-4D86-A2E6-3EEEADB7ADC5}"/>
    <cellStyle name="Comma 15 2 2 2" xfId="11874" xr:uid="{528B3F6B-FC37-478A-B29D-4B7A14D342DA}"/>
    <cellStyle name="Comma 15 2 3" xfId="9495" xr:uid="{009AD8BE-7600-4D23-A4D7-F157E78ADB92}"/>
    <cellStyle name="Comma 16" xfId="2062" xr:uid="{B755D194-38C4-4265-8094-67F82D60A63C}"/>
    <cellStyle name="Comma 16 2" xfId="4030" xr:uid="{EA263A8D-9024-413F-B104-C266DD311D21}"/>
    <cellStyle name="Comma 16 2 2" xfId="6433" xr:uid="{62D14791-F6B8-4DA3-8D2A-2EAC2748718D}"/>
    <cellStyle name="Comma 16 2 2 2" xfId="11875" xr:uid="{2CA102B1-8454-4764-BCA4-8C1B76F0F2D4}"/>
    <cellStyle name="Comma 16 2 3" xfId="9496" xr:uid="{5A5FB3A9-133E-489F-AD1A-06598A41EEBB}"/>
    <cellStyle name="Comma 17" xfId="4056" xr:uid="{92EDB31F-AACF-443E-8D0C-147DD85D07CC}"/>
    <cellStyle name="Comma 18" xfId="101" xr:uid="{6D4C187F-168D-4DC0-9749-0D756DF06A1B}"/>
    <cellStyle name="Comma 18 2" xfId="7129" xr:uid="{2CC06F62-52EE-450B-9482-F65792307968}"/>
    <cellStyle name="Comma 19" xfId="4063" xr:uid="{05A09FD8-9430-4E31-A2D7-875584B63DC6}"/>
    <cellStyle name="Comma 19 2" xfId="9513" xr:uid="{26662699-7A79-4D4D-8F36-BCF8A795B693}"/>
    <cellStyle name="Comma 2" xfId="91" xr:uid="{070D7337-66FE-4996-B117-4D2C4E59A0A7}"/>
    <cellStyle name="Comma 2 10" xfId="1719" xr:uid="{78B4BE01-5EE8-42BB-912E-C20D8CE7DF3F}"/>
    <cellStyle name="Comma 2 11" xfId="1720" xr:uid="{F5BF1888-D931-4530-BD12-26004920619E}"/>
    <cellStyle name="Comma 2 12" xfId="1721" xr:uid="{D8DB73DD-0700-4A62-AE7D-19A99C4E197B}"/>
    <cellStyle name="Comma 2 13" xfId="1722" xr:uid="{1D3064E3-242E-4072-9F60-825D72D949FA}"/>
    <cellStyle name="Comma 2 14" xfId="309" xr:uid="{CB131AEE-5A0B-4871-9FD1-0C01E4C0FE1B}"/>
    <cellStyle name="Comma 2 14 2" xfId="405" xr:uid="{DD8EC0EB-9E53-47D6-BFCA-414464D9228B}"/>
    <cellStyle name="Comma 2 14 3" xfId="1723" xr:uid="{96B249B9-3E17-41AD-9BBA-BB770FD5C052}"/>
    <cellStyle name="Comma 2 15" xfId="1724" xr:uid="{12BE4DCA-7406-4C09-A7EA-0964C7EAFDA9}"/>
    <cellStyle name="Comma 2 16" xfId="1725" xr:uid="{E4BCE8EA-CAB8-4FCC-9696-59128357AFB0}"/>
    <cellStyle name="Comma 2 16 2" xfId="1726" xr:uid="{F43BCA79-9171-4BE8-980D-BC322FA51C9D}"/>
    <cellStyle name="Comma 2 16 3" xfId="1727" xr:uid="{EDE5B8C8-C27E-4AC5-A011-591B043BA47E}"/>
    <cellStyle name="Comma 2 16 3 2" xfId="1728" xr:uid="{1465D2E3-DED1-4CCB-8483-C938F4DDBF8B}"/>
    <cellStyle name="Comma 2 16 3 3" xfId="1729" xr:uid="{35F3EBCA-8E64-468F-8DD2-BC9693B92042}"/>
    <cellStyle name="Comma 2 16 4" xfId="1730" xr:uid="{66D435A4-4B8B-4260-A9F6-DCEC0484ADE5}"/>
    <cellStyle name="Comma 2 17" xfId="1731" xr:uid="{3F6D4DBE-1947-4CB7-80AA-00325246B52E}"/>
    <cellStyle name="Comma 2 18" xfId="2537" xr:uid="{3FDEC48D-9AD8-431F-8B1D-9A916D913D17}"/>
    <cellStyle name="Comma 2 18 2" xfId="5604" xr:uid="{60CAB808-0BBE-424B-9A44-3BFB5F3F21DB}"/>
    <cellStyle name="Comma 2 18 2 2" xfId="11050" xr:uid="{71E1F884-6E1F-4A6A-A991-248B65832481}"/>
    <cellStyle name="Comma 2 18 3" xfId="8670" xr:uid="{BC265603-3B54-417F-8265-0F07B5A091AD}"/>
    <cellStyle name="Comma 2 2" xfId="120" xr:uid="{D39FD009-10F2-410C-88F8-644506E259A9}"/>
    <cellStyle name="Comma 2 2 2" xfId="121" xr:uid="{3DF99473-485E-4D0C-B455-516E29E177CD}"/>
    <cellStyle name="Comma 2 2 2 2" xfId="2539" xr:uid="{AE59F38C-FE97-4F8C-A722-47145F7C2D68}"/>
    <cellStyle name="Comma 2 2 2 3" xfId="2540" xr:uid="{95E9E0F6-3C6F-418F-A93C-C284C3BD6C37}"/>
    <cellStyle name="Comma 2 2 2 3 2" xfId="2541" xr:uid="{3A44A5BC-A1DA-4336-B027-A3EE64E07322}"/>
    <cellStyle name="Comma 2 2 2 4" xfId="2542" xr:uid="{C95975F9-6223-4265-9861-C22567C2FCCE}"/>
    <cellStyle name="Comma 2 2 2 5" xfId="2538" xr:uid="{EAA60177-78BA-49F0-8643-58D99B5BB2E4}"/>
    <cellStyle name="Comma 2 2 2 5 2" xfId="5605" xr:uid="{E308EBA7-58EA-471D-8D41-10709A763952}"/>
    <cellStyle name="Comma 2 2 2 5 2 2" xfId="11051" xr:uid="{B37946E5-1CEF-4FE1-A8B3-85F3FB698D34}"/>
    <cellStyle name="Comma 2 2 2 5 3" xfId="8671" xr:uid="{1870857A-5D66-4790-979E-73B55D424E80}"/>
    <cellStyle name="Comma 2 2 2 6" xfId="1732" xr:uid="{01ACCF77-ADFA-4782-AB15-15BE125BB7F6}"/>
    <cellStyle name="Comma 2 2 3" xfId="384" xr:uid="{470C5210-D0A6-4F6B-A29D-1809337D4C3B}"/>
    <cellStyle name="Comma 2 2 3 2" xfId="1733" xr:uid="{32E40D74-5FD8-4559-980A-F424AA35DD17}"/>
    <cellStyle name="Comma 2 2 3 3" xfId="4207" xr:uid="{6A103447-AE23-46C6-BBD6-74931A0FF00D}"/>
    <cellStyle name="Comma 2 2 3 3 2" xfId="9653" xr:uid="{4E607792-45A3-4BD1-B44A-88E7E924EB8E}"/>
    <cellStyle name="Comma 2 2 3 4" xfId="7275" xr:uid="{0B35431A-80C8-46C2-A73E-D7E52F2EDD3A}"/>
    <cellStyle name="Comma 2 2 4" xfId="1734" xr:uid="{EF169CAB-9370-412E-82E2-A8C9B53B6994}"/>
    <cellStyle name="Comma 2 2 5" xfId="1735" xr:uid="{1BBF7DC7-1C37-43AE-8984-01CCC5A2E49A}"/>
    <cellStyle name="Comma 2 2 6" xfId="1736" xr:uid="{3DF5382C-B9F6-4805-BE79-0E5BBA9FE414}"/>
    <cellStyle name="Comma 2 2 7" xfId="1737" xr:uid="{582847A9-C14C-4B13-8F87-4DEB8F81D851}"/>
    <cellStyle name="Comma 2 2 8" xfId="1738" xr:uid="{BD366050-9C4B-4B1C-8563-E830E9AB85E3}"/>
    <cellStyle name="Comma 2 2 9" xfId="1739" xr:uid="{9095BE91-91A9-4B73-941B-0C5490F0C755}"/>
    <cellStyle name="Comma 2 3" xfId="122" xr:uid="{426EA8A8-3CB0-45D8-8C4C-BE85B6C57939}"/>
    <cellStyle name="Comma 2 3 2" xfId="2543" xr:uid="{8AF2A7CD-8A9D-4C1E-9B03-D0E57C77C6FE}"/>
    <cellStyle name="Comma 2 3 2 2" xfId="2544" xr:uid="{5B42AF44-7333-411F-BC1E-35DC5C51229F}"/>
    <cellStyle name="Comma 2 3 2 2 2" xfId="2545" xr:uid="{C101BEFE-F52A-4811-8315-C4F185DABCAC}"/>
    <cellStyle name="Comma 2 3 2 2 3" xfId="2546" xr:uid="{92A46290-0BAF-40A5-9108-4CD663B26D3A}"/>
    <cellStyle name="Comma 2 3 2 3" xfId="2547" xr:uid="{8A9608A0-8C2C-48B7-A1DE-47F3D7CB974F}"/>
    <cellStyle name="Comma 2 3 2 4" xfId="2548" xr:uid="{AA3B223E-DFBE-45D4-9570-3EA2BA26C7F4}"/>
    <cellStyle name="Comma 2 3 2 5" xfId="2549" xr:uid="{0D05A315-8C9B-438A-99A2-CE4EA529B70C}"/>
    <cellStyle name="Comma 2 3 3" xfId="2550" xr:uid="{FAEC9E55-ECAA-492A-AD37-D02571E3A2F6}"/>
    <cellStyle name="Comma 2 3 4" xfId="2551" xr:uid="{7721F048-AB10-4A9D-8272-73853C0AF173}"/>
    <cellStyle name="Comma 2 3 5" xfId="2552" xr:uid="{DE2D4E7F-DCFF-4DBB-B27A-BD634920542C}"/>
    <cellStyle name="Comma 2 3 6" xfId="1740" xr:uid="{0ACD1FC4-D372-4A12-B5D2-6A448956726D}"/>
    <cellStyle name="Comma 2 3 7" xfId="4069" xr:uid="{8F0360F7-0F15-4A38-BFA6-AB351EBA99C0}"/>
    <cellStyle name="Comma 2 3 7 2" xfId="9519" xr:uid="{F5E68C42-4755-47DE-830D-A7F524F83853}"/>
    <cellStyle name="Comma 2 3 8" xfId="7134" xr:uid="{B7A12FC3-833F-4E94-8CA3-DB580BB61AA5}"/>
    <cellStyle name="Comma 2 4" xfId="123" xr:uid="{F72407A9-9983-4EE4-9CEC-2170BCB7BE03}"/>
    <cellStyle name="Comma 2 4 2" xfId="2554" xr:uid="{CAF95C55-169F-4599-A758-93DFEF638D44}"/>
    <cellStyle name="Comma 2 4 3" xfId="3431" xr:uid="{0609E566-F760-42EC-BC2E-A5DED3699197}"/>
    <cellStyle name="Comma 2 4 4" xfId="2553" xr:uid="{9F66E4EB-31CE-4DC2-9454-CD3B5555B18E}"/>
    <cellStyle name="Comma 2 4 5" xfId="1741" xr:uid="{3BC65552-290B-45EA-A372-549DA0ED12AF}"/>
    <cellStyle name="Comma 2 4 6" xfId="4070" xr:uid="{315E3E6C-B31A-4E66-9D3E-7B7FDF4A5215}"/>
    <cellStyle name="Comma 2 4 6 2" xfId="9520" xr:uid="{6AE20E37-D50D-4EFF-8435-85F37B4B5996}"/>
    <cellStyle name="Comma 2 4 7" xfId="7135" xr:uid="{C5F3CDD7-07ED-490D-AC69-C96BAE1F43D6}"/>
    <cellStyle name="Comma 2 5" xfId="124" xr:uid="{144E7620-23B9-4A6D-A5E6-7AC333BC2E2C}"/>
    <cellStyle name="Comma 2 5 2" xfId="2556" xr:uid="{CFFA2B07-28FA-486A-9557-A3BA7639DE37}"/>
    <cellStyle name="Comma 2 5 3" xfId="3432" xr:uid="{E3E30961-5B32-41B3-A710-8CA23D7319DE}"/>
    <cellStyle name="Comma 2 5 4" xfId="2555" xr:uid="{A9CA6858-37E6-4971-BBC0-FC1EDF1A5ECF}"/>
    <cellStyle name="Comma 2 5 5" xfId="1742" xr:uid="{255FAA40-B0E7-4473-A943-9EC559A13872}"/>
    <cellStyle name="Comma 2 5 6" xfId="4071" xr:uid="{643057A1-54CC-47D4-9406-3C922F443005}"/>
    <cellStyle name="Comma 2 5 6 2" xfId="9521" xr:uid="{75122B56-74AC-428B-AB72-0E292EE17003}"/>
    <cellStyle name="Comma 2 5 7" xfId="7136" xr:uid="{69CEA67B-71A7-4243-AC74-5D2A2E38BF8D}"/>
    <cellStyle name="Comma 2 6" xfId="125" xr:uid="{00BE197C-B429-40F5-8AF7-680ABC177E18}"/>
    <cellStyle name="Comma 2 6 2" xfId="2558" xr:uid="{227E4A5A-8AA2-4DF3-A6F7-3642F073C23E}"/>
    <cellStyle name="Comma 2 6 3" xfId="3433" xr:uid="{229C4978-2FF4-4F4B-885D-7A3975132B13}"/>
    <cellStyle name="Comma 2 6 4" xfId="2557" xr:uid="{7A929792-4EBB-4177-9056-3835BC459C82}"/>
    <cellStyle name="Comma 2 6 5" xfId="1743" xr:uid="{DFCDEF18-C6C8-41F6-94B6-C393617DD21F}"/>
    <cellStyle name="Comma 2 6 6" xfId="4072" xr:uid="{3DA8F1B5-1474-44E3-B653-B91137CAC1FD}"/>
    <cellStyle name="Comma 2 6 6 2" xfId="9522" xr:uid="{24CFB224-0E0A-43B5-AD7A-8E843D751819}"/>
    <cellStyle name="Comma 2 6 7" xfId="7137" xr:uid="{58BF2555-D6AF-4857-977E-71D9088D0A90}"/>
    <cellStyle name="Comma 2 7" xfId="126" xr:uid="{024A3C9F-1043-48ED-BFD3-BA4BCE4A1E7A}"/>
    <cellStyle name="Comma 2 7 2" xfId="1744" xr:uid="{A8CB5BC8-F701-4FB0-A46C-A34FBE7BE315}"/>
    <cellStyle name="Comma 2 7 3" xfId="4073" xr:uid="{7A2343C9-80AA-4C62-86D3-4C4095266D91}"/>
    <cellStyle name="Comma 2 7 3 2" xfId="9523" xr:uid="{A3BE0B2D-DA9B-476C-902E-F662B56CFA6C}"/>
    <cellStyle name="Comma 2 7 4" xfId="7138" xr:uid="{5E1D0342-AC9B-437A-9BB7-DF6D15CBFAFF}"/>
    <cellStyle name="Comma 2 8" xfId="127" xr:uid="{2E1CD4B1-34AF-4E7F-B09B-B49B6200D4C5}"/>
    <cellStyle name="Comma 2 8 2" xfId="1745" xr:uid="{D2AABE87-08E0-4BD7-8AA0-51EC349E7644}"/>
    <cellStyle name="Comma 2 8 3" xfId="4074" xr:uid="{4D42DC58-69E0-45D8-A1B5-020148F92FCC}"/>
    <cellStyle name="Comma 2 8 3 2" xfId="9524" xr:uid="{1FB6F7A4-64E9-472B-9B17-2F3EB7C603B5}"/>
    <cellStyle name="Comma 2 8 4" xfId="7139" xr:uid="{8015028D-DEC5-4747-B2FB-B0658BA94C4D}"/>
    <cellStyle name="Comma 2 9" xfId="1746" xr:uid="{38A19F1A-D076-4318-850F-C55ACD40CA43}"/>
    <cellStyle name="Comma 20" xfId="5843" xr:uid="{4536807E-8D2F-4C0F-9C44-F8C4E4A63EC3}"/>
    <cellStyle name="Comma 20 2" xfId="11285" xr:uid="{9AD97005-E7EC-451C-9207-02E587C9CD6F}"/>
    <cellStyle name="Comma 21" xfId="7125" xr:uid="{E07A8295-A84B-443C-8BEB-7AE2C1D75B22}"/>
    <cellStyle name="Comma 22" xfId="8774" xr:uid="{1DBD476B-E8B9-40C1-8BE4-58666CD778AD}"/>
    <cellStyle name="Comma 3" xfId="92" xr:uid="{597F70B2-DF38-44E7-9AF3-FBCD5D124DD9}"/>
    <cellStyle name="Comma 3 10" xfId="1747" xr:uid="{67EE7C3A-0604-433B-AE7D-DE8B1E24F170}"/>
    <cellStyle name="Comma 3 10 2" xfId="1748" xr:uid="{FA79FC2E-58E8-46B6-9DCB-A876C702AF07}"/>
    <cellStyle name="Comma 3 10 3" xfId="1749" xr:uid="{F9233BEA-9B0A-42E1-8A5D-66EC67E57529}"/>
    <cellStyle name="Comma 3 10 3 2" xfId="1750" xr:uid="{7BA1DD1E-A56C-41F5-9AB0-0D3B40C59F06}"/>
    <cellStyle name="Comma 3 10 3 3" xfId="1751" xr:uid="{8A28730C-5CA2-4A11-843B-C38ABA1DD4A9}"/>
    <cellStyle name="Comma 3 10 4" xfId="1752" xr:uid="{966B18DA-A2AC-49A1-85CD-4F7E858420E5}"/>
    <cellStyle name="Comma 3 11" xfId="1753" xr:uid="{96B35CFE-78B0-4505-BFB1-43A05ECA8E27}"/>
    <cellStyle name="Comma 3 12" xfId="2559" xr:uid="{2DDAB94E-7F29-44A6-AEDD-72E7851D95E0}"/>
    <cellStyle name="Comma 3 12 2" xfId="5606" xr:uid="{47B5513C-B3DA-49DF-B62E-D5BE4A2737BF}"/>
    <cellStyle name="Comma 3 12 2 2" xfId="11052" xr:uid="{FCE6BDA1-C6F2-46A9-8D57-28992CB6A7CA}"/>
    <cellStyle name="Comma 3 12 3" xfId="8672" xr:uid="{914EDAFC-0F10-4425-A794-D6DBACC4A968}"/>
    <cellStyle name="Comma 3 2" xfId="37" xr:uid="{00000000-0005-0000-0000-000025000000}"/>
    <cellStyle name="Comma 3 2 2" xfId="129" xr:uid="{B0FFC45A-2C20-4191-B737-DAB709674190}"/>
    <cellStyle name="Comma 3 2 2 2" xfId="1755" xr:uid="{D9718C6B-38C7-4612-B932-CA03A263673F}"/>
    <cellStyle name="Comma 3 2 2 3" xfId="4075" xr:uid="{95ADE302-1428-49A0-A5EF-A3E9B3361ECE}"/>
    <cellStyle name="Comma 3 2 2 3 2" xfId="9525" xr:uid="{F4AB6DE4-00B8-47E9-ABDA-525AB117B87D}"/>
    <cellStyle name="Comma 3 2 2 4" xfId="7140" xr:uid="{0289273F-CA32-4745-898A-12DFB21CF449}"/>
    <cellStyle name="Comma 3 2 3" xfId="130" xr:uid="{AF7B80F2-62B4-42FE-8784-DFD022D95082}"/>
    <cellStyle name="Comma 3 2 3 2" xfId="4076" xr:uid="{CEF07E69-81EB-4685-9EF0-A64E11C519BB}"/>
    <cellStyle name="Comma 3 2 3 2 2" xfId="9526" xr:uid="{680FAA7D-5072-44C0-94DF-8F2800FE6761}"/>
    <cellStyle name="Comma 3 2 3 3" xfId="7141" xr:uid="{CBDB69EC-F959-4E01-AA6C-62FD600EA761}"/>
    <cellStyle name="Comma 3 2 4" xfId="1754" xr:uid="{490BF3A2-EAF1-4E8C-BDD6-8073545A2A6A}"/>
    <cellStyle name="Comma 3 2 5" xfId="128" xr:uid="{6638DF28-2FFB-4A9C-8269-6C05243903B8}"/>
    <cellStyle name="Comma 3 3" xfId="1756" xr:uid="{06ED5666-D8AC-4DBE-8F3F-615505E6510E}"/>
    <cellStyle name="Comma 3 3 2" xfId="3434" xr:uid="{FDED7EAE-85B6-4DF5-9B23-EF1C9D5B8D81}"/>
    <cellStyle name="Comma 3 3 3" xfId="2560" xr:uid="{497AE917-B5B3-4BBB-A275-B7BBE9EB2693}"/>
    <cellStyle name="Comma 3 4" xfId="1757" xr:uid="{E7411421-2DBB-42FA-8E71-A8E555B5A130}"/>
    <cellStyle name="Comma 3 4 2" xfId="3435" xr:uid="{31570FA1-14CC-4BB9-B932-0A37D776FF32}"/>
    <cellStyle name="Comma 3 4 3" xfId="2561" xr:uid="{5F54BEF6-73B3-43FB-B529-278F4E48D982}"/>
    <cellStyle name="Comma 3 5" xfId="333" xr:uid="{3E37D141-0A56-4F0B-9CD6-4B5CBB1810A4}"/>
    <cellStyle name="Comma 3 5 2" xfId="3436" xr:uid="{C87238B6-9A81-4F9E-A551-A89866256922}"/>
    <cellStyle name="Comma 3 5 3" xfId="2562" xr:uid="{B0B5E58D-87BE-4D5E-AEDC-452F98BFAD35}"/>
    <cellStyle name="Comma 3 5 4" xfId="1758" xr:uid="{B07167DD-0639-4912-9E4B-0AB9BEF11DA4}"/>
    <cellStyle name="Comma 3 6" xfId="1759" xr:uid="{45AF365A-AF0D-475D-B9E9-2E8E168BDFC7}"/>
    <cellStyle name="Comma 3 6 2" xfId="2563" xr:uid="{27404EE5-416E-4876-9C19-1797B488981E}"/>
    <cellStyle name="Comma 3 7" xfId="1760" xr:uid="{23A28EF0-E491-418A-A35E-07DE01FD8BD3}"/>
    <cellStyle name="Comma 3 8" xfId="1761" xr:uid="{2F9C0CD2-E8FE-44C9-B759-F46AA23101B3}"/>
    <cellStyle name="Comma 3 9" xfId="1762" xr:uid="{F257AE3C-FDAE-43BE-AF52-7798D9CE3789}"/>
    <cellStyle name="Comma 36" xfId="320" xr:uid="{957E778C-5FB0-43D1-8A01-CCF2736FD539}"/>
    <cellStyle name="Comma 36 2" xfId="4171" xr:uid="{4B0B3CC3-C2D2-4663-9821-54A9C42BBE49}"/>
    <cellStyle name="Comma 36 2 2" xfId="9621" xr:uid="{436CDD4F-4A5D-45A2-8AC4-2326A771B750}"/>
    <cellStyle name="Comma 36 3" xfId="7242" xr:uid="{ABF6B090-1DCB-4ADC-9590-4DDA4B3E852A}"/>
    <cellStyle name="Comma 4" xfId="93" xr:uid="{652499AD-D8A4-4535-9896-993ADBF0194F}"/>
    <cellStyle name="Comma 4 10" xfId="1764" xr:uid="{5CB1097B-F7DB-4E55-AD2B-B6E6286AEDD9}"/>
    <cellStyle name="Comma 4 10 2" xfId="1765" xr:uid="{D1FE47D7-DD6F-4EEE-A6AF-0B275B34D6B4}"/>
    <cellStyle name="Comma 4 10 3" xfId="1766" xr:uid="{FE7D30DD-55D0-4D20-BCE9-A5A3653110BD}"/>
    <cellStyle name="Comma 4 10 3 2" xfId="1767" xr:uid="{F24AE668-9C9F-417C-B9AD-EA863D7222D5}"/>
    <cellStyle name="Comma 4 10 3 3" xfId="1768" xr:uid="{16CED1F5-CD88-4FED-BAD7-1D5CA159E952}"/>
    <cellStyle name="Comma 4 10 3 3 2" xfId="5434" xr:uid="{4FDC82DD-DC91-4DBD-B60F-950ACC87B8C7}"/>
    <cellStyle name="Comma 4 10 3 3 2 2" xfId="10880" xr:uid="{2697256D-F5F2-4415-9BD8-AC69DB643177}"/>
    <cellStyle name="Comma 4 10 3 3 3" xfId="8503" xr:uid="{51B97C20-3031-4820-BB60-466846C24E1A}"/>
    <cellStyle name="Comma 4 10 4" xfId="1769" xr:uid="{06825EC6-D638-4741-BFEB-46FCA8E7644E}"/>
    <cellStyle name="Comma 4 10 4 2" xfId="5435" xr:uid="{FAABEFED-98FE-4DD9-A5E2-133647C3986A}"/>
    <cellStyle name="Comma 4 10 4 2 2" xfId="10881" xr:uid="{9AFB3FFF-8BAA-4E79-8BD4-54EABFEDC870}"/>
    <cellStyle name="Comma 4 10 4 3" xfId="8504" xr:uid="{134C58A1-5F51-459F-81ED-B023B5565AEB}"/>
    <cellStyle name="Comma 4 11" xfId="1770" xr:uid="{8E9DCB35-FF04-47B4-9DFE-70810E553A0B}"/>
    <cellStyle name="Comma 4 12" xfId="2564" xr:uid="{1FA98DC7-1A89-4C54-B649-E94C13BA60DD}"/>
    <cellStyle name="Comma 4 13" xfId="1763" xr:uid="{99EFCA7D-ACEB-4F56-A047-B936437A01A3}"/>
    <cellStyle name="Comma 4 2" xfId="131" xr:uid="{912A8002-1E22-4947-8E78-65754CD0993A}"/>
    <cellStyle name="Comma 4 2 2" xfId="1772" xr:uid="{2171D45A-4C5F-435A-BE57-C3129A7CC660}"/>
    <cellStyle name="Comma 4 2 3" xfId="1771" xr:uid="{13BED5BC-F9D3-4641-9729-AEF9A1D0C2BE}"/>
    <cellStyle name="Comma 4 2 4" xfId="4077" xr:uid="{1B4DFF77-E4DB-4A44-8409-531B87E0C960}"/>
    <cellStyle name="Comma 4 2 4 2" xfId="9527" xr:uid="{EA66F7D3-2ADC-4808-868D-FB2295C10DAC}"/>
    <cellStyle name="Comma 4 2 5" xfId="7142" xr:uid="{C7D01BF0-3FAC-4B82-A8CE-F7104C30E4C1}"/>
    <cellStyle name="Comma 4 3" xfId="132" xr:uid="{94EBC0E3-E486-4CCB-9DC3-A48888D5D14F}"/>
    <cellStyle name="Comma 4 3 2" xfId="2566" xr:uid="{F904C1B0-B480-49D9-A66D-A4073E8A3E36}"/>
    <cellStyle name="Comma 4 3 2 2" xfId="2567" xr:uid="{9EE19BED-B477-476E-BF60-8DF1D1FCFDEF}"/>
    <cellStyle name="Comma 4 3 2 2 2" xfId="2568" xr:uid="{B02299BC-D456-401D-AB0D-10F017F44A5C}"/>
    <cellStyle name="Comma 4 3 3" xfId="3437" xr:uid="{D6948100-5FA3-460B-AF3F-8AD551CCDAB2}"/>
    <cellStyle name="Comma 4 3 4" xfId="2565" xr:uid="{A18E494A-BEEC-49E1-8560-2BA08F05E252}"/>
    <cellStyle name="Comma 4 3 5" xfId="1773" xr:uid="{EFC8BA06-6DD2-485A-AD23-283BF4FE10D0}"/>
    <cellStyle name="Comma 4 3 6" xfId="4078" xr:uid="{B5B671F8-C92D-4FD9-B36F-24326DB80645}"/>
    <cellStyle name="Comma 4 3 6 2" xfId="9528" xr:uid="{5E6224DD-2914-4963-A6C5-C3AF56FF76B9}"/>
    <cellStyle name="Comma 4 3 7" xfId="7143" xr:uid="{D4E60B59-1423-445E-A7AC-6CCF6E0690F0}"/>
    <cellStyle name="Comma 4 4" xfId="1774" xr:uid="{31FDC582-2546-4488-ACC5-17E325FB2B8B}"/>
    <cellStyle name="Comma 4 4 2" xfId="3438" xr:uid="{2ED15F30-DE00-4F4D-8E99-822F76061DDF}"/>
    <cellStyle name="Comma 4 4 3" xfId="2569" xr:uid="{8F911034-C571-48A3-ABE6-C07182201D1B}"/>
    <cellStyle name="Comma 4 5" xfId="326" xr:uid="{1F8A9590-8728-4C7D-AE62-1865F2B65EAA}"/>
    <cellStyle name="Comma 4 5 2" xfId="3439" xr:uid="{1D8CA2B7-E972-458F-BFDE-42E59A394477}"/>
    <cellStyle name="Comma 4 5 3" xfId="2570" xr:uid="{14D64303-07CE-4A3E-B95E-651C160E1A88}"/>
    <cellStyle name="Comma 4 5 4" xfId="1775" xr:uid="{C1DAC461-16F1-406E-A52A-2CB7FC102561}"/>
    <cellStyle name="Comma 4 6" xfId="1776" xr:uid="{22EFC353-23BA-4140-9210-C6B6986FFA79}"/>
    <cellStyle name="Comma 4 7" xfId="1777" xr:uid="{92B37802-A180-458D-9BEC-31610349E6DF}"/>
    <cellStyle name="Comma 4 8" xfId="1778" xr:uid="{01DC14E9-6BDB-421D-99AC-ACE8A7BD87DA}"/>
    <cellStyle name="Comma 4 9" xfId="1779" xr:uid="{4F72650B-69F4-4E3B-92CD-7C3CD6E3E42F}"/>
    <cellStyle name="Comma 5" xfId="133" xr:uid="{F9AE5BC6-34CA-44E8-97B4-D0ADE2057EEE}"/>
    <cellStyle name="Comma 5 2" xfId="296" xr:uid="{2363A853-483D-4B15-82AA-EA3B75D0F918}"/>
    <cellStyle name="Comma 5 2 2" xfId="2571" xr:uid="{B9B90422-B7CD-4CFE-A562-7F5FF0E16628}"/>
    <cellStyle name="Comma 5 2 2 2" xfId="2572" xr:uid="{2851D6F6-1D9E-4B49-91B9-9B6FB33868FD}"/>
    <cellStyle name="Comma 5 2 3" xfId="2573" xr:uid="{7AAE180C-E18E-415D-B764-BFE14E8E4C34}"/>
    <cellStyle name="Comma 5 2 4" xfId="2574" xr:uid="{89FD612A-826F-47A3-A1A0-38D146B38880}"/>
    <cellStyle name="Comma 5 2 5" xfId="2575" xr:uid="{B4CB5F26-45FD-458E-8A4A-3F44CCBFCB2F}"/>
    <cellStyle name="Comma 5 3" xfId="2576" xr:uid="{FED721DD-75E1-4214-92A2-0EBC32033B68}"/>
    <cellStyle name="Comma 5 4" xfId="2577" xr:uid="{46034369-8C7F-42FC-955D-56DFCBBB1067}"/>
    <cellStyle name="Comma 5 5" xfId="2578" xr:uid="{644BA94E-D81B-45E6-B2D2-F4393155DB4A}"/>
    <cellStyle name="Comma 6" xfId="134" xr:uid="{3DC875F2-DB5E-43BB-AABD-F68413BB56D2}"/>
    <cellStyle name="Comma 6 2" xfId="1781" xr:uid="{3412CA9F-53E8-48AF-9890-5CCA467E0284}"/>
    <cellStyle name="Comma 6 2 2" xfId="2579" xr:uid="{33229CCC-D9EC-41B9-8803-B580895B17F3}"/>
    <cellStyle name="Comma 6 2 2 2" xfId="2580" xr:uid="{FD3BD96A-5BE6-406D-B5D7-77B0BA669846}"/>
    <cellStyle name="Comma 6 3" xfId="1780" xr:uid="{D06A6049-1F5F-4280-AE8E-CF3ED5E09CA3}"/>
    <cellStyle name="Comma 6 4" xfId="4079" xr:uid="{DF52F969-9CB2-49CB-A6A8-3737C80FBDAD}"/>
    <cellStyle name="Comma 6 4 2" xfId="9529" xr:uid="{6F413767-0FFD-4E9D-A703-33C80ECEAFD5}"/>
    <cellStyle name="Comma 6 5" xfId="7144" xr:uid="{2AD41584-F7B2-4C8A-BD6C-EE80756757D9}"/>
    <cellStyle name="Comma 7" xfId="135" xr:uid="{D508A7DD-AA2A-4B76-9B87-049785B5F99A}"/>
    <cellStyle name="Comma 7 2" xfId="325" xr:uid="{229EA519-ADEE-4E6F-9534-309C0034CFFC}"/>
    <cellStyle name="Comma 7 2 2" xfId="2582" xr:uid="{83665FD8-04DD-45D0-B2F8-69977A07961D}"/>
    <cellStyle name="Comma 7 3" xfId="2583" xr:uid="{91C37FA1-ABE5-45EB-8AFE-8258BD2C59F7}"/>
    <cellStyle name="Comma 7 4" xfId="2584" xr:uid="{9E00810B-7C61-468C-9F93-C2C6516CF2BF}"/>
    <cellStyle name="Comma 7 5" xfId="3440" xr:uid="{667431BD-D002-4709-9415-33830F2F9BE3}"/>
    <cellStyle name="Comma 7 6" xfId="2581" xr:uid="{4F57FE8D-1DAC-48B4-9D88-2B5FFD23B503}"/>
    <cellStyle name="Comma 7 7" xfId="1782" xr:uid="{217551A8-54A0-4399-853D-15E89D8A4E78}"/>
    <cellStyle name="Comma 7 8" xfId="4080" xr:uid="{F06D4AA2-F126-4434-B5B7-951D15156A01}"/>
    <cellStyle name="Comma 7 8 2" xfId="9530" xr:uid="{2A1BA6B8-7879-40E4-86B2-F9029421E725}"/>
    <cellStyle name="Comma 7 9" xfId="7145" xr:uid="{8CB09C64-69D5-4544-9865-BEE3C326F51E}"/>
    <cellStyle name="Comma 8" xfId="136" xr:uid="{B06CB74F-0FBF-407C-9782-263D05E0CF30}"/>
    <cellStyle name="Comma 8 2" xfId="2586" xr:uid="{A205DD42-761D-49EF-AB1E-268DE9FF9566}"/>
    <cellStyle name="Comma 8 3" xfId="3545" xr:uid="{A51CBC54-DEFE-462B-94CD-0E01CD3E0D7D}"/>
    <cellStyle name="Comma 8 4" xfId="2585" xr:uid="{4C5CA664-1A1B-4EB7-9574-D12C827597AF}"/>
    <cellStyle name="Comma 8 5" xfId="1783" xr:uid="{727FCA08-91F3-43FD-9E56-C04BA42BCDDB}"/>
    <cellStyle name="Comma 8 6" xfId="4081" xr:uid="{E4B373A4-1CFC-46C5-A2A3-A6F930801A9E}"/>
    <cellStyle name="Comma 8 6 2" xfId="9531" xr:uid="{C50EB175-0610-4C52-BD21-D0409A9D797A}"/>
    <cellStyle name="Comma 8 7" xfId="7146" xr:uid="{8C9774E1-FDAD-4F0E-922A-FD972D026573}"/>
    <cellStyle name="Comma 9" xfId="137" xr:uid="{89CB5BF6-9E07-483E-9AA0-9BAE160B5FBF}"/>
    <cellStyle name="Comma 9 2" xfId="138" xr:uid="{1BD4A084-A294-4CAD-B505-566AC9EBA2CD}"/>
    <cellStyle name="Comma 9 2 2" xfId="2589" xr:uid="{B740AC79-DB91-4212-A4E7-A93F6EB2074B}"/>
    <cellStyle name="Comma 9 2 3" xfId="2588" xr:uid="{83B40FB4-298B-4D54-B0E7-DC128D36913A}"/>
    <cellStyle name="Comma 9 2 4" xfId="4083" xr:uid="{0E879E71-708C-4A4F-9751-1A76AF6DF639}"/>
    <cellStyle name="Comma 9 2 4 2" xfId="9533" xr:uid="{37A0A211-9E35-4DED-8F09-73A9B61C23F8}"/>
    <cellStyle name="Comma 9 2 5" xfId="7148" xr:uid="{23580AF2-C47C-4BB8-A246-C10C7BAFC751}"/>
    <cellStyle name="Comma 9 3" xfId="2590" xr:uid="{23F87829-BAD3-448A-BFC1-E76328B31CDF}"/>
    <cellStyle name="Comma 9 4" xfId="2587" xr:uid="{047F5240-9545-4D40-A261-937CE5CE400A}"/>
    <cellStyle name="Comma 9 5" xfId="4082" xr:uid="{4F05860F-41B5-4411-8F77-25F95275EB39}"/>
    <cellStyle name="Comma 9 5 2" xfId="9532" xr:uid="{3BFBF52B-760A-48E1-ADDF-192C507C583C}"/>
    <cellStyle name="Comma 9 6" xfId="7147" xr:uid="{9BC0362C-29FC-4907-BE38-49247F2B16D8}"/>
    <cellStyle name="Comma0" xfId="139" xr:uid="{70576C44-9E82-4CBC-972B-94B9315E1276}"/>
    <cellStyle name="Copied" xfId="140" xr:uid="{A3C28964-E5F9-474B-A010-0E4999F0DB1A}"/>
    <cellStyle name="Currency" xfId="4058" builtinId="4"/>
    <cellStyle name="Currency [0]" xfId="38" builtinId="7"/>
    <cellStyle name="Currency [0] 2" xfId="39" xr:uid="{00000000-0005-0000-0000-000027000000}"/>
    <cellStyle name="Currency [0] 2 2" xfId="40" xr:uid="{00000000-0005-0000-0000-000028000000}"/>
    <cellStyle name="Currency [0] 2 2 2" xfId="2591" xr:uid="{4C921B1B-5F37-489A-ABBD-0E21BEDFF22E}"/>
    <cellStyle name="Currency [0] 2 3" xfId="141" xr:uid="{E1F85593-1BDD-4D3C-BFDB-4EA9FF7E8783}"/>
    <cellStyle name="Currency [0] 3" xfId="41" xr:uid="{00000000-0005-0000-0000-000029000000}"/>
    <cellStyle name="Currency [0] 3 2" xfId="2593" xr:uid="{46E179A8-B690-4C68-A412-7F415CF9C06B}"/>
    <cellStyle name="Currency [0] 3 3" xfId="2592" xr:uid="{DC5CEF19-62E2-4A9C-9CF5-97852F6808B7}"/>
    <cellStyle name="Currency [0] 4" xfId="42" xr:uid="{00000000-0005-0000-0000-00002A000000}"/>
    <cellStyle name="Currency [0] 4 2" xfId="2594" xr:uid="{C5EBAFE8-FAC7-4172-A678-C4E42E2F5044}"/>
    <cellStyle name="Currency [0] 5" xfId="43" xr:uid="{00000000-0005-0000-0000-00002B000000}"/>
    <cellStyle name="Currency [0] 5 2" xfId="2595" xr:uid="{F1BA810B-710E-4838-BEC3-5C44F6C97DC1}"/>
    <cellStyle name="Currency [0] 6" xfId="2596" xr:uid="{4B78A4BF-CAF3-4E23-8E95-3FACBD4A2469}"/>
    <cellStyle name="Currency [0] 6 2" xfId="2597" xr:uid="{5D6AB636-6F66-49C7-BA69-85EAD08FB4B0}"/>
    <cellStyle name="Currency [0] 7" xfId="2598" xr:uid="{FB151ABE-1E7B-474F-B307-DD1628260612}"/>
    <cellStyle name="Currency 10" xfId="142" xr:uid="{92FC35EE-003F-443E-AF83-2817A5FB4543}"/>
    <cellStyle name="Currency 10 2" xfId="2599" xr:uid="{D3518E90-AE8F-41FA-B9E1-618C1DD2901D}"/>
    <cellStyle name="Currency 10 3" xfId="4084" xr:uid="{849201F1-BD43-40DF-8DCD-BB73B714AC95}"/>
    <cellStyle name="Currency 10 3 2" xfId="9534" xr:uid="{A7751190-2FD8-48AB-98B9-5006B21ABB52}"/>
    <cellStyle name="Currency 10 4" xfId="7149" xr:uid="{C48F47B0-5E41-4035-8429-A235DB9A8C48}"/>
    <cellStyle name="Currency 11" xfId="143" xr:uid="{9006DCA7-E15A-46A5-A184-36B1B3BE9B89}"/>
    <cellStyle name="Currency 11 2" xfId="2601" xr:uid="{0924106C-20EA-4D86-B2CE-CA129FC19C1E}"/>
    <cellStyle name="Currency 11 3" xfId="2600" xr:uid="{429099C1-9253-4FF4-9F79-BD95EC5C4E24}"/>
    <cellStyle name="Currency 11 4" xfId="4085" xr:uid="{C8426E43-A0A1-41E3-83F3-E22C9A56A5D9}"/>
    <cellStyle name="Currency 11 4 2" xfId="9535" xr:uid="{2B281D2C-7EAD-4C60-98CB-D30233CDBAEA}"/>
    <cellStyle name="Currency 11 5" xfId="7150" xr:uid="{BB70E9F7-75CA-4832-8011-6081775D9249}"/>
    <cellStyle name="Currency 12" xfId="144" xr:uid="{3A6378F4-60C0-4DFE-B285-2E04524BA78D}"/>
    <cellStyle name="Currency 12 2" xfId="2602" xr:uid="{BD4BE352-06E7-434E-B1A9-A1BFF13296F0}"/>
    <cellStyle name="Currency 12 3" xfId="4086" xr:uid="{90C34A79-9D8B-4AE3-8D57-B320C70C07D8}"/>
    <cellStyle name="Currency 12 3 2" xfId="9536" xr:uid="{8CBF2E13-E3CF-44EA-9E9E-3931E0746653}"/>
    <cellStyle name="Currency 12 4" xfId="7151" xr:uid="{4BEAE53F-8F65-41F1-B131-69F03659581E}"/>
    <cellStyle name="Currency 13" xfId="145" xr:uid="{C0BFA2CF-E02A-4499-910F-BC30F2CF65E0}"/>
    <cellStyle name="Currency 13 2" xfId="2603" xr:uid="{AD8BE742-E98B-435B-9B95-3E0267A4E53A}"/>
    <cellStyle name="Currency 13 3" xfId="4087" xr:uid="{1A6E06B4-FB43-48FB-B283-875D4F818CF2}"/>
    <cellStyle name="Currency 13 3 2" xfId="9537" xr:uid="{CF11F1CA-82FD-4452-989F-AB73D560E154}"/>
    <cellStyle name="Currency 13 4" xfId="7152" xr:uid="{7A2133E0-9D41-4FE5-8F9A-7070CF3FA1C7}"/>
    <cellStyle name="Currency 14" xfId="146" xr:uid="{E59DC767-667D-43D2-A049-1219CBEE6D4B}"/>
    <cellStyle name="Currency 14 2" xfId="2604" xr:uid="{4DA2791C-5ED9-449E-9CBE-D49DDD4021DA}"/>
    <cellStyle name="Currency 14 3" xfId="4088" xr:uid="{C8CD4055-4A99-4F7C-8F06-E1AF0CCDB300}"/>
    <cellStyle name="Currency 14 3 2" xfId="9538" xr:uid="{CB4977DC-89AA-4E0B-828C-A21E4C299498}"/>
    <cellStyle name="Currency 14 4" xfId="7153" xr:uid="{9C0A9033-D137-441F-9BE9-E889C2EB5344}"/>
    <cellStyle name="Currency 15" xfId="147" xr:uid="{6960D70D-3884-45FB-BD1A-F8DBEBADAD9F}"/>
    <cellStyle name="Currency 15 2" xfId="2606" xr:uid="{14F7A6B4-F2F3-4F77-B54C-560C35C719FC}"/>
    <cellStyle name="Currency 15 3" xfId="2605" xr:uid="{41D54494-89A0-44C8-BEE2-E3CD4655FA8D}"/>
    <cellStyle name="Currency 15 4" xfId="4089" xr:uid="{81E1B2F0-1521-4A0B-A4A9-798617C0A801}"/>
    <cellStyle name="Currency 15 4 2" xfId="9539" xr:uid="{8B9D93C2-1CA2-44F4-A34E-C181F15D6F2A}"/>
    <cellStyle name="Currency 15 5" xfId="7154" xr:uid="{35D97E33-66C9-48DA-A688-46404C8E1BFD}"/>
    <cellStyle name="Currency 16" xfId="148" xr:uid="{B5BF6DDD-51EA-4CD5-9FB1-75D002583D1D}"/>
    <cellStyle name="Currency 16 2" xfId="2608" xr:uid="{BB0AB65B-6D12-4860-B92E-86119BCCFDF1}"/>
    <cellStyle name="Currency 16 3" xfId="2607" xr:uid="{ABB2C1D0-ECC8-4408-BD86-956893F671C0}"/>
    <cellStyle name="Currency 16 4" xfId="4090" xr:uid="{099AA3F4-8CD3-4EC0-8C21-0195009116E5}"/>
    <cellStyle name="Currency 16 4 2" xfId="9540" xr:uid="{947C0BD6-78E9-49AA-9954-2B58C8F851A1}"/>
    <cellStyle name="Currency 16 5" xfId="7155" xr:uid="{A2541789-C10A-468F-8344-5A50F67BEB25}"/>
    <cellStyle name="Currency 17" xfId="149" xr:uid="{00F4AF29-E8B4-41A8-94ED-A68D17BD6911}"/>
    <cellStyle name="Currency 17 2" xfId="2610" xr:uid="{4C9B4388-267F-4A7C-9FDC-D863B0FAB679}"/>
    <cellStyle name="Currency 17 3" xfId="2609" xr:uid="{6749A830-C534-4A79-A62E-91F5B8D54AFE}"/>
    <cellStyle name="Currency 18" xfId="301" xr:uid="{AD1D6C22-90D1-4C22-87A2-C57AF2655C2F}"/>
    <cellStyle name="Currency 18 2" xfId="2612" xr:uid="{0AC52C76-8B75-4DB7-A9AF-08EE681FBD4C}"/>
    <cellStyle name="Currency 18 3" xfId="2611" xr:uid="{789809DE-6311-4AD2-AF3D-F623BECD7292}"/>
    <cellStyle name="Currency 19" xfId="2613" xr:uid="{EC7B0BDB-6856-44FB-B312-AE4E736DEE33}"/>
    <cellStyle name="Currency 19 2" xfId="2614" xr:uid="{7E3F2E16-206E-417D-B2DA-A87BD6A81097}"/>
    <cellStyle name="Currency 2" xfId="44" xr:uid="{00000000-0005-0000-0000-00002C000000}"/>
    <cellStyle name="Currency 2 10" xfId="1785" xr:uid="{46B92651-7DE3-4894-BB3E-66CC27B95E68}"/>
    <cellStyle name="Currency 2 10 2" xfId="1786" xr:uid="{019A1FE6-A77F-4B1B-944A-D518A82531E1}"/>
    <cellStyle name="Currency 2 10 3" xfId="1787" xr:uid="{7E481DAA-B566-4635-80AE-CBDD7D1363A3}"/>
    <cellStyle name="Currency 2 10 3 2" xfId="1788" xr:uid="{F69499BC-04AB-4B2D-B468-B99722CEC10B}"/>
    <cellStyle name="Currency 2 10 3 3" xfId="1789" xr:uid="{63A834AD-FA5D-473A-993C-F796F0280A6A}"/>
    <cellStyle name="Currency 2 10 4" xfId="1790" xr:uid="{EABFDBE5-90D4-49A7-9590-9EDDBF4D3CF6}"/>
    <cellStyle name="Currency 2 11" xfId="1791" xr:uid="{87295ECB-F477-4B3A-8207-E2F1AEBF4747}"/>
    <cellStyle name="Currency 2 12" xfId="2615" xr:uid="{E77B2B87-C000-4531-A127-0373212CF793}"/>
    <cellStyle name="Currency 2 12 2" xfId="5607" xr:uid="{B8D05FF7-1718-4A0C-9EF7-B75046502A6A}"/>
    <cellStyle name="Currency 2 12 2 2" xfId="11053" xr:uid="{0DB9B165-7DA7-47FB-8FF7-6F03A18C1411}"/>
    <cellStyle name="Currency 2 12 3" xfId="8673" xr:uid="{8863A3FB-3968-422F-B2EA-BCBA57823527}"/>
    <cellStyle name="Currency 2 13" xfId="1784" xr:uid="{FAA74BAC-5BE3-4571-937E-A9028DD21822}"/>
    <cellStyle name="Currency 2 14" xfId="94" xr:uid="{76F146F3-E40F-40FC-8924-AB8E22EE89BF}"/>
    <cellStyle name="Currency 2 2" xfId="150" xr:uid="{1C054C02-512A-4A29-AB97-4B88D8875BE2}"/>
    <cellStyle name="Currency 2 2 2" xfId="2616" xr:uid="{691264BF-29FD-4D49-AF08-57E3871640F7}"/>
    <cellStyle name="Currency 2 2 3" xfId="2617" xr:uid="{8C809709-7C36-44C5-8662-52BFC0F0FC17}"/>
    <cellStyle name="Currency 2 2 4" xfId="2618" xr:uid="{DFFBBC52-94E4-48F7-ABEA-BA454CC33B4B}"/>
    <cellStyle name="Currency 2 2 5" xfId="1792" xr:uid="{1E6AE248-82FF-4EF1-ABD8-332F312F4288}"/>
    <cellStyle name="Currency 2 2 6" xfId="4091" xr:uid="{A1DCEEB5-5191-49D2-91F7-7D53FC70D5BB}"/>
    <cellStyle name="Currency 2 2 6 2" xfId="9541" xr:uid="{EE600579-1DEE-4B75-B5C4-EEF69713D642}"/>
    <cellStyle name="Currency 2 2 7" xfId="7156" xr:uid="{C5043483-3C14-477A-A00B-F342A613F5C0}"/>
    <cellStyle name="Currency 2 3" xfId="151" xr:uid="{CE77EC44-A51C-44C2-B4A4-AAB667D4B68F}"/>
    <cellStyle name="Currency 2 3 2" xfId="2620" xr:uid="{470CFD09-D480-4DF3-B889-DC9026B57BC8}"/>
    <cellStyle name="Currency 2 3 3" xfId="2621" xr:uid="{082792BA-630D-4283-8CD6-5A50E20038FC}"/>
    <cellStyle name="Currency 2 3 4" xfId="3441" xr:uid="{FBB2B07F-7DD5-4940-BD37-F811AE5F4DCC}"/>
    <cellStyle name="Currency 2 3 5" xfId="2619" xr:uid="{95831BFE-D32B-46D8-AE86-9BAE849B5D67}"/>
    <cellStyle name="Currency 2 3 6" xfId="1793" xr:uid="{9019A855-AA1C-4B6A-A150-E49DDB06899B}"/>
    <cellStyle name="Currency 2 3 7" xfId="4092" xr:uid="{A4A38974-FF4C-4DD0-ABE9-6F132E184250}"/>
    <cellStyle name="Currency 2 3 7 2" xfId="9542" xr:uid="{29CCB26E-23A7-4D25-815E-88997FA0DB3E}"/>
    <cellStyle name="Currency 2 3 8" xfId="7157" xr:uid="{33805E01-CAC8-41CD-B91A-18634EA68479}"/>
    <cellStyle name="Currency 2 4" xfId="1794" xr:uid="{DF1190D1-C109-48CA-B8C3-5B3FEE40E820}"/>
    <cellStyle name="Currency 2 4 2" xfId="2623" xr:uid="{25BF9C7F-D23F-4D6F-89A6-8D7B38B22312}"/>
    <cellStyle name="Currency 2 4 3" xfId="3442" xr:uid="{9C26E456-70D8-48DC-AB70-AF2E6A9B4E12}"/>
    <cellStyle name="Currency 2 4 4" xfId="2622" xr:uid="{73D7BCC7-5A18-424B-90D6-48C425A2EFD7}"/>
    <cellStyle name="Currency 2 5" xfId="1795" xr:uid="{4CF75B92-2B35-4320-AA48-28693DAE1829}"/>
    <cellStyle name="Currency 2 5 2" xfId="2624" xr:uid="{518A5C07-724E-4BB2-8EDE-537D9E867412}"/>
    <cellStyle name="Currency 2 6" xfId="1796" xr:uid="{F6C19DC9-B569-40C6-8C65-3D737AA39EA8}"/>
    <cellStyle name="Currency 2 6 2" xfId="2626" xr:uid="{AA1B371C-CDBC-4499-BECD-7822A2337097}"/>
    <cellStyle name="Currency 2 6 3" xfId="3443" xr:uid="{B13D7DD7-E5C6-4269-A7BC-EE8BA6A2622A}"/>
    <cellStyle name="Currency 2 6 4" xfId="2625" xr:uid="{3A67D426-F834-49EB-A068-1C2BE16C988C}"/>
    <cellStyle name="Currency 2 7" xfId="1797" xr:uid="{05F03797-CBE0-444F-92A4-BA038B78A6E8}"/>
    <cellStyle name="Currency 2 8" xfId="1798" xr:uid="{964D88FB-5D08-430F-90C9-AECAE46C8E22}"/>
    <cellStyle name="Currency 2 9" xfId="1799" xr:uid="{E8E3CDE3-20EA-485F-BBF0-D37E0AB3D010}"/>
    <cellStyle name="Currency 20" xfId="2627" xr:uid="{8EE7595D-D4D9-40C2-ABFD-484A8A503CC2}"/>
    <cellStyle name="Currency 20 2" xfId="2628" xr:uid="{C7820FFF-A20B-4A64-853E-1EB84EBA66B1}"/>
    <cellStyle name="Currency 21" xfId="2629" xr:uid="{3778B63D-292A-4F16-AF98-C5C25EFE9C64}"/>
    <cellStyle name="Currency 21 2" xfId="2630" xr:uid="{83BA5EFE-17BE-4FE7-A0DA-8AA0125C431A}"/>
    <cellStyle name="Currency 22" xfId="2631" xr:uid="{42702E39-FBD3-4BC0-823D-73E4B5C08FCE}"/>
    <cellStyle name="Currency 22 2" xfId="2632" xr:uid="{A2F123C5-9B43-40C1-88FD-9868A9CFC52D}"/>
    <cellStyle name="Currency 23" xfId="2633" xr:uid="{B847A4E2-7BBA-445B-9653-E58DE5EA4F8E}"/>
    <cellStyle name="Currency 23 2" xfId="2634" xr:uid="{A1018EDA-60FF-405E-932B-A46112D17ED9}"/>
    <cellStyle name="Currency 24" xfId="2635" xr:uid="{5D991793-5E00-45C4-AEB0-5DFA827A3D3D}"/>
    <cellStyle name="Currency 24 2" xfId="2636" xr:uid="{683CD58E-D61A-4F9E-83C1-08923CEEFEA0}"/>
    <cellStyle name="Currency 25" xfId="2637" xr:uid="{DD7D3411-78AE-49B4-BEF8-ED67E54DB50C}"/>
    <cellStyle name="Currency 26" xfId="2638" xr:uid="{D0995AFB-BD7F-47CE-A6E8-6B7934DCD2E7}"/>
    <cellStyle name="Currency 27" xfId="2639" xr:uid="{0BC62E51-A417-47D0-A832-5AE7BE7BF82A}"/>
    <cellStyle name="Currency 28" xfId="2640" xr:uid="{4AEA8690-3989-4B03-B786-9A512089639E}"/>
    <cellStyle name="Currency 29" xfId="2641" xr:uid="{9290A5CF-DCC4-45DB-BB75-2370830103DC}"/>
    <cellStyle name="Currency 3" xfId="45" xr:uid="{00000000-0005-0000-0000-00002D000000}"/>
    <cellStyle name="Currency 3 10" xfId="95" xr:uid="{C121A1A5-84E7-42F0-9D43-E36C08DB1549}"/>
    <cellStyle name="Currency 3 2" xfId="46" xr:uid="{00000000-0005-0000-0000-00002E000000}"/>
    <cellStyle name="Currency 3 2 2" xfId="153" xr:uid="{144F6EC0-AC66-4778-AF18-3E1409C9BEA0}"/>
    <cellStyle name="Currency 3 2 2 2" xfId="1802" xr:uid="{81038F88-7037-49BD-9115-207A13599FDC}"/>
    <cellStyle name="Currency 3 2 3" xfId="1803" xr:uid="{E9878D2F-C542-4399-84BC-05BD8D8AD245}"/>
    <cellStyle name="Currency 3 2 3 2" xfId="1804" xr:uid="{5D5409D2-0760-439C-84C7-53D7DCD6DA87}"/>
    <cellStyle name="Currency 3 2 3 3" xfId="1805" xr:uid="{45E0C685-3FEA-48E8-AA2D-FC0CA687853D}"/>
    <cellStyle name="Currency 3 2 4" xfId="1806" xr:uid="{0BE80E20-0027-4DED-83F4-D7115F1E6DD0}"/>
    <cellStyle name="Currency 3 2 5" xfId="3444" xr:uid="{CC76300E-2A20-4546-BBD9-0304C02ABBF6}"/>
    <cellStyle name="Currency 3 2 6" xfId="2643" xr:uid="{3D5B0088-4683-46A1-A221-F313284BA673}"/>
    <cellStyle name="Currency 3 2 7" xfId="1801" xr:uid="{0F909B6C-19D5-4CFC-9FD3-DD389AC71CB6}"/>
    <cellStyle name="Currency 3 2 8" xfId="152" xr:uid="{55BA8B53-FB41-4AB4-9F37-87E6BFF7F264}"/>
    <cellStyle name="Currency 3 3" xfId="154" xr:uid="{3D30C9E4-E72D-4A14-9D22-D5B36F155057}"/>
    <cellStyle name="Currency 3 3 2" xfId="3445" xr:uid="{729A4E56-1666-4A12-AFD9-DEDAD6E519CA}"/>
    <cellStyle name="Currency 3 3 3" xfId="2644" xr:uid="{2406AACC-EBC9-418F-B28C-7B872F24ADB1}"/>
    <cellStyle name="Currency 3 3 4" xfId="1807" xr:uid="{50A36455-4B5C-437A-BD3E-25961B34BE8A}"/>
    <cellStyle name="Currency 3 4" xfId="2645" xr:uid="{F7C456EC-9E01-40A4-AD21-E65625017D30}"/>
    <cellStyle name="Currency 3 4 2" xfId="2646" xr:uid="{9955E62E-94FB-4FE2-8187-982604652475}"/>
    <cellStyle name="Currency 3 4 3" xfId="5608" xr:uid="{08E3AF8A-4F4C-49D5-92A7-3D139F996ADD}"/>
    <cellStyle name="Currency 3 4 3 2" xfId="11054" xr:uid="{1D86AFBF-AEF4-4773-B554-C1A88C9EB8EB}"/>
    <cellStyle name="Currency 3 4 4" xfId="8674" xr:uid="{E29E900A-9FF1-4129-8348-FCE92B20EFCE}"/>
    <cellStyle name="Currency 3 5" xfId="2647" xr:uid="{4156D4ED-F1A4-41A0-9F47-14CFC9ECC696}"/>
    <cellStyle name="Currency 3 6" xfId="2648" xr:uid="{591AAA78-44DE-49AF-A57C-AEF4DEB822AE}"/>
    <cellStyle name="Currency 3 6 2" xfId="2649" xr:uid="{FF46EA42-E87E-4C78-8981-A5BEF3AF37BE}"/>
    <cellStyle name="Currency 3 7" xfId="2650" xr:uid="{A037800F-463A-4D6C-8DFC-89EA85D017B4}"/>
    <cellStyle name="Currency 3 8" xfId="2642" xr:uid="{82EC8D3E-6E09-42EC-8B4B-4CF260C1E5B0}"/>
    <cellStyle name="Currency 3 9" xfId="1800" xr:uid="{8B29AAB7-1D15-4A2C-9579-C1FF662B1CD2}"/>
    <cellStyle name="Currency 30" xfId="2651" xr:uid="{054965E0-D440-43FA-97DD-F09739D67782}"/>
    <cellStyle name="Currency 31" xfId="2652" xr:uid="{1CF3C9EB-02C7-4FE2-A541-81877D2C6A02}"/>
    <cellStyle name="Currency 32" xfId="2653" xr:uid="{B4A91799-C332-4821-93FD-26009B0C3D57}"/>
    <cellStyle name="Currency 33" xfId="2654" xr:uid="{80C527C0-C082-441A-9D10-E18F0B006AEA}"/>
    <cellStyle name="Currency 34" xfId="2655" xr:uid="{74606776-517E-4658-ABC3-99BEED4FA8A0}"/>
    <cellStyle name="Currency 35" xfId="2656" xr:uid="{948CBDC5-F900-485A-8670-7E97EB270B5E}"/>
    <cellStyle name="Currency 36" xfId="2657" xr:uid="{4FD34B9A-A8E1-4583-AD4D-8B9B8FD5FE87}"/>
    <cellStyle name="Currency 37" xfId="2658" xr:uid="{082F3C81-0A3D-46FE-8CDD-7FAA650C6370}"/>
    <cellStyle name="Currency 38" xfId="2659" xr:uid="{4FE0E701-6850-4381-9777-6F29B077A22A}"/>
    <cellStyle name="Currency 39" xfId="2660" xr:uid="{1AA05203-7D16-4BF4-8144-8771F45C6484}"/>
    <cellStyle name="Currency 4" xfId="81" xr:uid="{00000000-0005-0000-0000-00002F000000}"/>
    <cellStyle name="Currency 4 2" xfId="1809" xr:uid="{B7341F14-38DF-4C6A-B6CF-D619CA4B61E9}"/>
    <cellStyle name="Currency 4 2 2" xfId="1810" xr:uid="{BCF4E063-E858-4388-A910-23F095003D18}"/>
    <cellStyle name="Currency 4 2 3" xfId="1811" xr:uid="{9B976B69-8737-41ED-A6BC-63D630F24B6D}"/>
    <cellStyle name="Currency 4 2 3 2" xfId="1812" xr:uid="{1F472A8E-0A60-4FA4-81A8-E69C4BA32FFE}"/>
    <cellStyle name="Currency 4 2 3 3" xfId="1813" xr:uid="{F93BE058-C99B-450D-A9ED-78FE71F31F1A}"/>
    <cellStyle name="Currency 4 2 3 3 2" xfId="5436" xr:uid="{75EC1154-5D73-4BFC-A02B-4631516D33D3}"/>
    <cellStyle name="Currency 4 2 3 3 2 2" xfId="10882" xr:uid="{BB91A94B-BC49-426B-8FD0-C163BDD9C78D}"/>
    <cellStyle name="Currency 4 2 3 3 3" xfId="8505" xr:uid="{E0E22011-BE6A-49CA-B416-0C561775D829}"/>
    <cellStyle name="Currency 4 2 4" xfId="1814" xr:uid="{D91C398F-7BAF-409E-9195-4838EAE3BCAD}"/>
    <cellStyle name="Currency 4 2 4 2" xfId="5437" xr:uid="{03A5A533-8029-47AA-B099-D315DD07981C}"/>
    <cellStyle name="Currency 4 2 4 2 2" xfId="10883" xr:uid="{05BB2256-1778-4FD7-B8BE-8689B137B7D9}"/>
    <cellStyle name="Currency 4 2 4 3" xfId="8506" xr:uid="{A5D30447-63BF-4E4D-B437-404A187A2F69}"/>
    <cellStyle name="Currency 4 2 5" xfId="3446" xr:uid="{7D14A1F9-7C11-4EBF-9ACD-326356CDA835}"/>
    <cellStyle name="Currency 4 2 6" xfId="2661" xr:uid="{2ADE0706-C384-452A-B2D0-C697B3C211E3}"/>
    <cellStyle name="Currency 4 3" xfId="1815" xr:uid="{E88A42ED-FCB0-4D58-AEF1-A5A1AB63BD31}"/>
    <cellStyle name="Currency 4 4" xfId="1816" xr:uid="{5A0A6C4A-705C-4406-A301-404E70C899BC}"/>
    <cellStyle name="Currency 4 5" xfId="2662" xr:uid="{DE7C1B96-FEBC-4E1B-8EF0-43D8B83987D0}"/>
    <cellStyle name="Currency 4 5 2" xfId="2663" xr:uid="{BCDABEF7-77F6-4FA5-9D1F-251FB97B9B18}"/>
    <cellStyle name="Currency 4 6" xfId="2664" xr:uid="{A422E281-4D9B-4A0B-AAAA-F310F1A471E2}"/>
    <cellStyle name="Currency 4 7" xfId="1808" xr:uid="{9FAD71C0-7936-4A7C-BAA3-02B01875CF31}"/>
    <cellStyle name="Currency 4 8" xfId="155" xr:uid="{3B8BA90A-40B3-4636-BA4C-7BDD10C2C079}"/>
    <cellStyle name="Currency 4 9" xfId="7122" xr:uid="{BE90DD45-03AF-4852-AD46-725BCEEBE304}"/>
    <cellStyle name="Currency 40" xfId="2665" xr:uid="{BBFA5E2B-3073-4071-ACAC-1B8E3AABA461}"/>
    <cellStyle name="Currency 41" xfId="2666" xr:uid="{929E879E-C1D0-44B0-A7F5-ED99E5E6A416}"/>
    <cellStyle name="Currency 42" xfId="2667" xr:uid="{2807B3D6-5042-4269-B0B8-60FE6E5D208B}"/>
    <cellStyle name="Currency 43" xfId="2668" xr:uid="{70EF1359-B841-4B30-9275-A95AE3F9FCB3}"/>
    <cellStyle name="Currency 44" xfId="2669" xr:uid="{60442100-02EC-4524-B3E5-75C70A472B83}"/>
    <cellStyle name="Currency 45" xfId="2670" xr:uid="{C3A6E834-F313-45F3-B21D-F464709BFE34}"/>
    <cellStyle name="Currency 46" xfId="2671" xr:uid="{17E2B1B0-A48E-42B5-83BA-A6AC22928A96}"/>
    <cellStyle name="Currency 47" xfId="2672" xr:uid="{2F5BFEBE-52E6-44A7-9E37-791008277D88}"/>
    <cellStyle name="Currency 48" xfId="2673" xr:uid="{878603ED-A90E-4302-81D7-B2F08CD9DE8A}"/>
    <cellStyle name="Currency 49" xfId="2674" xr:uid="{97FB30BB-7B75-41B1-BD84-C772F88E656A}"/>
    <cellStyle name="Currency 5" xfId="83" xr:uid="{00000000-0005-0000-0000-000030000000}"/>
    <cellStyle name="Currency 5 10" xfId="7124" xr:uid="{627CBEC7-7DF3-4DCC-8710-AA492F0A8835}"/>
    <cellStyle name="Currency 5 2" xfId="157" xr:uid="{87462357-FA0E-48E1-B9EA-9F42575A3E16}"/>
    <cellStyle name="Currency 5 2 2" xfId="2676" xr:uid="{1C5F00DB-A21D-407C-B6C8-903566200097}"/>
    <cellStyle name="Currency 5 3" xfId="2677" xr:uid="{33BFA9E8-1067-462D-B36D-988165F0A651}"/>
    <cellStyle name="Currency 5 3 2" xfId="2678" xr:uid="{A10D6795-08DC-4D47-8700-499481C3DDE3}"/>
    <cellStyle name="Currency 5 3 3" xfId="2679" xr:uid="{A97A733F-9419-4C10-B243-7FCC3E60F74A}"/>
    <cellStyle name="Currency 5 4" xfId="2680" xr:uid="{F5B60E24-EE9F-47CE-A67C-8A90B12CA28C}"/>
    <cellStyle name="Currency 5 5" xfId="2681" xr:uid="{6BA11C9B-A5C1-4AF2-943B-EC13A25B7027}"/>
    <cellStyle name="Currency 5 6" xfId="2682" xr:uid="{BAFD7E8B-08AA-4BD9-8C1E-7466B2EF4395}"/>
    <cellStyle name="Currency 5 7" xfId="2675" xr:uid="{95028F68-E213-4D3F-9F61-43B041348005}"/>
    <cellStyle name="Currency 5 8" xfId="1817" xr:uid="{DAB069F7-6575-445D-997D-522595D164F5}"/>
    <cellStyle name="Currency 5 9" xfId="156" xr:uid="{0A990DEC-5FB2-4A1E-8153-6A40D13AE39F}"/>
    <cellStyle name="Currency 50" xfId="2683" xr:uid="{94BED17C-5518-476C-A8D6-843330917AD4}"/>
    <cellStyle name="Currency 51" xfId="2684" xr:uid="{AD6E4415-E0A3-4D32-BD72-B4016135A7B7}"/>
    <cellStyle name="Currency 52" xfId="2685" xr:uid="{C8AB2925-20B9-4B59-B883-C5A319E91898}"/>
    <cellStyle name="Currency 53" xfId="2686" xr:uid="{D13516D7-212E-47F7-B03B-9A58F51D6390}"/>
    <cellStyle name="Currency 54" xfId="2687" xr:uid="{53D9A374-302F-4ED5-B990-CBD4F17DDC29}"/>
    <cellStyle name="Currency 55" xfId="2688" xr:uid="{95A1DBCC-2DC1-49C1-82CE-A2BCD797C7D7}"/>
    <cellStyle name="Currency 56" xfId="2689" xr:uid="{53935FEB-493D-47B6-9C1E-7870848DFF20}"/>
    <cellStyle name="Currency 56 2" xfId="5609" xr:uid="{BA5422E1-FF77-479C-8F60-6DDD945ED0BD}"/>
    <cellStyle name="Currency 56 2 2" xfId="11055" xr:uid="{E0EF8BBD-E8F7-45A4-B263-669E084C43E1}"/>
    <cellStyle name="Currency 56 3" xfId="8675" xr:uid="{728B1E6C-EA2F-42B5-8400-A22E73A3A08F}"/>
    <cellStyle name="Currency 57" xfId="2690" xr:uid="{0E7A31F4-0735-4C24-A67D-2F91EA204061}"/>
    <cellStyle name="Currency 57 2" xfId="5610" xr:uid="{470A8BA5-51EA-43A1-9121-F1BC010E8D56}"/>
    <cellStyle name="Currency 57 2 2" xfId="11056" xr:uid="{9D9A91B6-ECD7-4664-AA01-50CCA0F9386F}"/>
    <cellStyle name="Currency 57 3" xfId="8676" xr:uid="{20E4CD63-5363-42A4-8DB9-37EC13ACCE8B}"/>
    <cellStyle name="Currency 58" xfId="2049" xr:uid="{BB9E631F-290D-4750-9AB7-4E862C585741}"/>
    <cellStyle name="Currency 58 2" xfId="5590" xr:uid="{482D4545-F730-4E8F-8F63-D3CB14B077A9}"/>
    <cellStyle name="Currency 58 2 2" xfId="11036" xr:uid="{9048E0D3-F69F-49AA-A1A2-5D9A26A70DF2}"/>
    <cellStyle name="Currency 58 3" xfId="8656" xr:uid="{83C6FD12-59B1-4041-AB90-42E753A75891}"/>
    <cellStyle name="Currency 59" xfId="2048" xr:uid="{DF8D3CD7-C50F-4670-8093-91213F12C90D}"/>
    <cellStyle name="Currency 6" xfId="158" xr:uid="{0CFCDB8B-CDA7-4463-B29D-C40CBCFEFDF3}"/>
    <cellStyle name="Currency 6 2" xfId="159" xr:uid="{9419AE0A-955A-4708-926E-799310480B61}"/>
    <cellStyle name="Currency 6 2 2" xfId="1818" xr:uid="{51D10F41-F695-4C49-BC8D-821827044A47}"/>
    <cellStyle name="Currency 6 2 3" xfId="4093" xr:uid="{65185B95-C114-466F-9F63-7F8DAC6A5737}"/>
    <cellStyle name="Currency 6 2 3 2" xfId="9543" xr:uid="{62AB8150-779D-4C46-851C-E17A01AF524D}"/>
    <cellStyle name="Currency 6 2 4" xfId="7158" xr:uid="{AA2DA09A-7206-47CA-886B-DE570D596B7F}"/>
    <cellStyle name="Currency 6 3" xfId="2691" xr:uid="{C024D4BA-F5C6-4020-932F-440C8256AABD}"/>
    <cellStyle name="Currency 6 3 2" xfId="2692" xr:uid="{6ADEF781-D3A2-4145-8A7F-C111C127D261}"/>
    <cellStyle name="Currency 6 3 2 2" xfId="2693" xr:uid="{A31D6654-E21D-40E9-AF90-6978447E0915}"/>
    <cellStyle name="Currency 6 4" xfId="2694" xr:uid="{46AC95DF-2D51-4882-94D1-6D05B2F1463C}"/>
    <cellStyle name="Currency 6 5" xfId="2695" xr:uid="{F55EB666-3E54-48B6-9405-0CABF1BEA868}"/>
    <cellStyle name="Currency 6 6" xfId="2696" xr:uid="{97F5FF82-11E4-4920-A97E-EA9904CA0B4A}"/>
    <cellStyle name="Currency 6 7" xfId="2697" xr:uid="{49D82012-1127-483F-BA61-31A1D54E928F}"/>
    <cellStyle name="Currency 60" xfId="2047" xr:uid="{31195161-D5C5-4490-8B25-D0988CC7F304}"/>
    <cellStyle name="Currency 61" xfId="102" xr:uid="{EA8A5474-4263-41CF-B242-EC9DC1FEE517}"/>
    <cellStyle name="Currency 61 2" xfId="7130" xr:uid="{19CBD31C-6C35-49F7-A734-A139B9937668}"/>
    <cellStyle name="Currency 62" xfId="4064" xr:uid="{8154396B-7080-4FE9-8D1D-ABF56FF1AF8C}"/>
    <cellStyle name="Currency 62 2" xfId="9514" xr:uid="{7F015046-3D3D-4B0F-A395-A051D8DD00C8}"/>
    <cellStyle name="Currency 63" xfId="5841" xr:uid="{4ECA279B-8E93-4381-B8C0-B0B1F690A46B}"/>
    <cellStyle name="Currency 63 2" xfId="11283" xr:uid="{AAC3785B-97BC-428F-8228-CE3E48CB9102}"/>
    <cellStyle name="Currency 64" xfId="7110" xr:uid="{45EECC4A-2DF1-4F07-A237-D982F77E2C32}"/>
    <cellStyle name="Currency 64 2" xfId="12552" xr:uid="{C50F8222-CB80-4963-ABD4-6F7E4F5C815D}"/>
    <cellStyle name="Currency 65" xfId="9508" xr:uid="{9D5C366F-D550-4604-AC56-43E4D9E973B4}"/>
    <cellStyle name="Currency 66" xfId="13203" xr:uid="{F73CD909-AEC5-4A5A-B1B4-C1AE31A93389}"/>
    <cellStyle name="Currency 7" xfId="160" xr:uid="{F75C1E64-C174-4AA2-885D-706C095CB7D9}"/>
    <cellStyle name="Currency 7 2" xfId="2698" xr:uid="{180DC4EE-14A9-4DC2-A835-BD922DB62B7E}"/>
    <cellStyle name="Currency 7 2 2" xfId="2699" xr:uid="{33E6E70C-5B9A-4E09-8F1C-22B6E317E3B2}"/>
    <cellStyle name="Currency 7 2 2 2" xfId="2700" xr:uid="{10F741EB-B519-4B5A-8230-68D48BE9B92A}"/>
    <cellStyle name="Currency 7 3" xfId="1819" xr:uid="{2C4CCE97-021F-43C3-A276-D05FA67691C7}"/>
    <cellStyle name="Currency 8" xfId="161" xr:uid="{C65D5C1D-ED04-4DD8-9E7F-6EE44AE356AC}"/>
    <cellStyle name="Currency 8 2" xfId="2701" xr:uid="{D381741B-CC2A-4674-9091-81D55DA7141C}"/>
    <cellStyle name="Currency 8 2 2" xfId="2702" xr:uid="{BDA448B8-1F7F-48D7-AFFC-5AA75C6FBEAB}"/>
    <cellStyle name="Currency 8 3" xfId="2703" xr:uid="{F2FB50BC-D860-4B0D-A4C2-73BD8724B606}"/>
    <cellStyle name="Currency 8 4" xfId="1820" xr:uid="{89F6D05B-D349-448C-82A9-3F376A90DEDD}"/>
    <cellStyle name="Currency 8 5" xfId="4094" xr:uid="{3FD78510-CEE4-4816-8A37-E1028FEA0956}"/>
    <cellStyle name="Currency 8 5 2" xfId="9544" xr:uid="{36641D7C-F00E-47C1-B4D5-3AB3644B460A}"/>
    <cellStyle name="Currency 8 6" xfId="7159" xr:uid="{3A24C456-7F6D-4AF9-83CE-272AF8A8F14C}"/>
    <cellStyle name="Currency 9" xfId="162" xr:uid="{E8F6245F-ECDA-4D95-B940-56E6016CDA83}"/>
    <cellStyle name="Currency 9 2" xfId="2705" xr:uid="{69CC7E7A-AAE3-4BCA-B93B-A91B19C2B5E7}"/>
    <cellStyle name="Currency 9 3" xfId="2706" xr:uid="{D491BF81-4447-4EE4-8401-4ADA5D73862F}"/>
    <cellStyle name="Currency 9 4" xfId="2704" xr:uid="{3941DD09-0BA3-4789-AB0B-89A6E9B26044}"/>
    <cellStyle name="Currency 9 5" xfId="4095" xr:uid="{9480787B-88C3-4B48-AB9C-943E87AAB8EE}"/>
    <cellStyle name="Currency 9 5 2" xfId="9545" xr:uid="{AE8F96BC-493A-43C9-B1A3-84C7391940C4}"/>
    <cellStyle name="Currency 9 6" xfId="7160" xr:uid="{0422E010-38E7-4CF3-8EE9-59CD02CC1DA2}"/>
    <cellStyle name="Currency0" xfId="163" xr:uid="{DC00C15E-4F70-427C-9D21-81C09A839E18}"/>
    <cellStyle name="Data Field" xfId="164" xr:uid="{E483A5F3-2DDA-4FE2-ABB3-1FFB0D1A87F0}"/>
    <cellStyle name="Data Name" xfId="165" xr:uid="{27A7583F-33B7-46B2-AA93-846499603773}"/>
    <cellStyle name="Date" xfId="166" xr:uid="{45AE69B1-8E3A-4683-A152-5B023FA2DE4B}"/>
    <cellStyle name="Emphasis 1" xfId="2707" xr:uid="{49841EA5-5453-42E6-A8A1-0E334079721A}"/>
    <cellStyle name="Emphasis 2" xfId="2708" xr:uid="{7747FC75-7040-473C-B4D2-E82A387FFF18}"/>
    <cellStyle name="Emphasis 3" xfId="2709" xr:uid="{056164F4-6D32-4846-946C-666CB920327A}"/>
    <cellStyle name="Entered" xfId="167" xr:uid="{4D25A202-6E9F-419E-9B82-B794122A51C2}"/>
    <cellStyle name="Explanatory Text" xfId="47" builtinId="53" customBuiltin="1"/>
    <cellStyle name="Explanatory Text 2" xfId="48" xr:uid="{00000000-0005-0000-0000-000032000000}"/>
    <cellStyle name="Explanatory Text 2 2" xfId="2710" xr:uid="{FEDA6B84-583A-44FF-9758-96DAE27FA1CA}"/>
    <cellStyle name="Explanatory Text 2 3" xfId="2711" xr:uid="{0C7DB760-BF96-4980-86F8-38FDBD684B46}"/>
    <cellStyle name="Explanatory Text 2 4" xfId="2712" xr:uid="{FC066826-D41D-4F5A-B0BD-40F07692BC09}"/>
    <cellStyle name="Explanatory Text 3" xfId="2713" xr:uid="{E4FB362A-BD8C-400A-838C-86E12EF0E6C8}"/>
    <cellStyle name="Explanatory Text 3 2" xfId="2714" xr:uid="{26E35967-2B3D-4B34-9E03-E3775CBEB7B5}"/>
    <cellStyle name="Explanatory Text 4" xfId="351" xr:uid="{2B2C4C2B-577C-48A8-ABAF-1E7B4C55156B}"/>
    <cellStyle name="Fixed" xfId="168" xr:uid="{2018614D-21D3-49ED-972C-9B5685B1F072}"/>
    <cellStyle name="Glossary" xfId="78" xr:uid="{00000000-0005-0000-0000-000033000000}"/>
    <cellStyle name="Glossary 2" xfId="3893" xr:uid="{95A2BB0A-22B0-438F-8755-86C54A848B22}"/>
    <cellStyle name="Glossary 3" xfId="3961" xr:uid="{CF278B21-3FB5-453E-9C83-13CA250D2D79}"/>
    <cellStyle name="Glossary 4" xfId="3594" xr:uid="{4D6E66B0-685E-40C1-98F2-6050D251956A}"/>
    <cellStyle name="Glossary 4 2" xfId="9066" xr:uid="{37B47CB8-BD18-48CF-92E8-7586B9D82E3C}"/>
    <cellStyle name="Glossary 4 3" xfId="12794" xr:uid="{161E51DD-C2D0-415C-BD13-16E605CC156B}"/>
    <cellStyle name="Glossary 5" xfId="6005" xr:uid="{736156A7-1D61-4048-8855-5403D805D2F3}"/>
    <cellStyle name="Glossary 5 2" xfId="11447" xr:uid="{42EF0FA3-95E4-43B9-866D-9FC57E645BF1}"/>
    <cellStyle name="Glossary 5 3" xfId="13531" xr:uid="{1953CECB-9097-4EFF-BCC7-0922CB00EAFB}"/>
    <cellStyle name="Glossary 6" xfId="6687" xr:uid="{9DB13797-2639-4C1D-9E1C-720E61DFACF2}"/>
    <cellStyle name="Glossary 6 2" xfId="12129" xr:uid="{5D94AB7D-3EF2-4356-AEE4-3A4EBD30EF95}"/>
    <cellStyle name="Glossary 6 3" xfId="14191" xr:uid="{4F50B1AF-B668-4DDB-8957-7239F5E7B5FF}"/>
    <cellStyle name="Good" xfId="49" builtinId="26" customBuiltin="1"/>
    <cellStyle name="Good 2" xfId="50" xr:uid="{00000000-0005-0000-0000-000035000000}"/>
    <cellStyle name="Good 2 10" xfId="89" xr:uid="{EE57401A-2D61-42A0-9908-00D9A15590FD}"/>
    <cellStyle name="Good 2 2" xfId="2716" xr:uid="{16B2E45E-ECF9-431D-9BAB-0F8AA82C85F7}"/>
    <cellStyle name="Good 2 2 2" xfId="2717" xr:uid="{9355CF22-40B7-4DF9-A475-46DCBCF06F1D}"/>
    <cellStyle name="Good 2 2 3" xfId="2718" xr:uid="{6FFB3B17-D723-4054-8703-B9C58503892D}"/>
    <cellStyle name="Good 2 3" xfId="2719" xr:uid="{BDDF6444-CC81-4669-8523-2D079A60CD13}"/>
    <cellStyle name="Good 2 4" xfId="2720" xr:uid="{B6FFDFB1-7167-4E26-AB46-3406B2329652}"/>
    <cellStyle name="Good 2 5" xfId="2721" xr:uid="{4D21CB5E-997B-4409-9C1D-28B92D8C8F66}"/>
    <cellStyle name="Good 2 6" xfId="2722" xr:uid="{14877B35-F2DE-43F9-8EC0-CC311611F780}"/>
    <cellStyle name="Good 2 7" xfId="3447" xr:uid="{0CDB491F-D819-461F-8C4E-C8751FA4429E}"/>
    <cellStyle name="Good 2 8" xfId="2715" xr:uid="{A5E0BBC1-A174-415E-80DA-F415BA300988}"/>
    <cellStyle name="Good 2 9" xfId="1821" xr:uid="{B570284B-6E12-4EB8-BAA0-B9C3B5B14613}"/>
    <cellStyle name="Good 3" xfId="2723" xr:uid="{B340418E-2110-40C8-8B72-0879F44B2A1D}"/>
    <cellStyle name="Good 3 2" xfId="2724" xr:uid="{C3C611A8-09C2-451C-94A3-94004179BF32}"/>
    <cellStyle name="Good 3 3" xfId="2725" xr:uid="{CA2069EF-CEED-4BA9-85FE-605D18D11083}"/>
    <cellStyle name="Good 4" xfId="341" xr:uid="{A8022838-FAD2-48E9-B2BE-C371A9147DA8}"/>
    <cellStyle name="Grey" xfId="169" xr:uid="{6B833BA1-639C-40A1-A5B4-40137B6240B3}"/>
    <cellStyle name="header" xfId="170" xr:uid="{B6B70574-0E83-4F2F-8590-68E7C9D7D5D2}"/>
    <cellStyle name="Header1" xfId="171" xr:uid="{A420AB3C-E036-47AC-BF37-6E4AE2B6F062}"/>
    <cellStyle name="Header1 2" xfId="3595" xr:uid="{0A0CC6C4-0686-463F-8776-46FC7F784B7E}"/>
    <cellStyle name="Header1 2 2" xfId="3680" xr:uid="{9E151782-2657-4C36-8A80-58BB29B7C437}"/>
    <cellStyle name="Header1 2 2 2" xfId="6088" xr:uid="{DE92673A-B9F7-4352-BB3A-A953F44F560D}"/>
    <cellStyle name="Header1 2 2 2 2" xfId="11530" xr:uid="{809A6C55-01B0-4CF3-A208-0EBE07C71A68}"/>
    <cellStyle name="Header1 2 2 3" xfId="6772" xr:uid="{59EF3AD2-870D-4AB8-83A0-32DB8FEE4BAE}"/>
    <cellStyle name="Header1 2 2 3 2" xfId="12214" xr:uid="{B6600745-FEBC-48BB-A16B-0114813FB4E4}"/>
    <cellStyle name="Header1 2 2 4" xfId="9151" xr:uid="{429209A4-31FA-417F-BDA1-E8E321133FB7}"/>
    <cellStyle name="Header1 2 3" xfId="3744" xr:uid="{07CD8A35-391B-4DCD-A91C-6B9E6FB3C00C}"/>
    <cellStyle name="Header1 2 3 2" xfId="6152" xr:uid="{7B69BB49-17EF-490D-B9C6-4F6A4DF03898}"/>
    <cellStyle name="Header1 2 3 2 2" xfId="11594" xr:uid="{9C4BF9AE-3239-497B-8AE0-6B0CB28E5CFD}"/>
    <cellStyle name="Header1 2 3 3" xfId="6836" xr:uid="{0A0608FD-88F6-41A9-984D-FAABC377D75A}"/>
    <cellStyle name="Header1 2 3 3 2" xfId="12278" xr:uid="{0C996633-9AA6-4D9A-BF1D-18DCA7CE4C68}"/>
    <cellStyle name="Header1 2 3 4" xfId="9215" xr:uid="{CCB21562-600E-4607-9322-01A97DDF4292}"/>
    <cellStyle name="Header1 2 4" xfId="3894" xr:uid="{3BE43AF0-23D6-4095-B430-219F621D0919}"/>
    <cellStyle name="Header1 2 4 2" xfId="6300" xr:uid="{48D9F637-8049-4188-BA2E-A2DBE72A7FD7}"/>
    <cellStyle name="Header1 2 4 2 2" xfId="11742" xr:uid="{74324A39-3B20-4E26-B12A-DBB8DA616679}"/>
    <cellStyle name="Header1 2 4 3" xfId="6980" xr:uid="{3827FCA9-8BF1-40CD-9538-A34DE0E49AC7}"/>
    <cellStyle name="Header1 2 4 3 2" xfId="12422" xr:uid="{53CB0E59-C220-4FFA-9928-4BFA809D9387}"/>
    <cellStyle name="Header1 2 4 4" xfId="9363" xr:uid="{05ED368A-B139-4078-BE15-C03D01A0ADF5}"/>
    <cellStyle name="Header1 2 5" xfId="6006" xr:uid="{9EFBEEB1-ED08-4950-9F33-50A8F2C4BC87}"/>
    <cellStyle name="Header1 2 5 2" xfId="11448" xr:uid="{050588E9-5E3B-4924-9D81-FBAFB0E1553A}"/>
    <cellStyle name="Header1 2 6" xfId="6688" xr:uid="{128BC3F8-5937-4968-98D5-A9A26F4622BE}"/>
    <cellStyle name="Header1 2 6 2" xfId="12130" xr:uid="{AECC1DBF-0236-48F5-A686-1D2DA65F507B}"/>
    <cellStyle name="Header1 2 7" xfId="9067" xr:uid="{8211D8A0-A6CB-41FB-84A2-EF567639D6E0}"/>
    <cellStyle name="Header1 3" xfId="3649" xr:uid="{FAB8B8B2-1AA6-4BBA-B72F-AE0FFB4C44C8}"/>
    <cellStyle name="Header1 3 2" xfId="6058" xr:uid="{322B9E09-964A-419C-AD7F-9FC56CA3EF77}"/>
    <cellStyle name="Header1 3 2 2" xfId="11500" xr:uid="{98F6A593-3714-4CF6-92B8-C0F2C856D07C}"/>
    <cellStyle name="Header1 3 3" xfId="6742" xr:uid="{68979B21-5F16-41BC-8AB7-45F4BF8884B6}"/>
    <cellStyle name="Header1 3 3 2" xfId="12184" xr:uid="{FD7E9CC1-FC38-48FC-8962-AADB4BC10669}"/>
    <cellStyle name="Header1 3 4" xfId="9121" xr:uid="{333AE7F3-26F6-4A6F-9699-9128C960E5C4}"/>
    <cellStyle name="Header2" xfId="172" xr:uid="{4E88DF22-CC8B-4DE5-9587-8305332974BD}"/>
    <cellStyle name="Header2 2" xfId="3596" xr:uid="{14CBAD79-D250-4932-A83F-164AF388AAF0}"/>
    <cellStyle name="Header2 2 2" xfId="3745" xr:uid="{36A77487-2452-4CDA-8204-25C07CC21C8B}"/>
    <cellStyle name="Header2 2 2 2" xfId="6153" xr:uid="{B5B67D6C-28A3-4E0C-80A3-F1EEAC2489A5}"/>
    <cellStyle name="Header2 2 2 2 2" xfId="11595" xr:uid="{A2344897-1667-48A7-A503-6C7E0AAB46A1}"/>
    <cellStyle name="Header2 2 2 2 3" xfId="13671" xr:uid="{5CEA987D-F59E-427B-B216-F30B13632997}"/>
    <cellStyle name="Header2 2 2 3" xfId="9216" xr:uid="{61BACFC6-1143-4C87-946F-8E744280FF2B}"/>
    <cellStyle name="Header2 2 3" xfId="3810" xr:uid="{854C42D2-E89E-4864-AE2D-19119EE3EE8B}"/>
    <cellStyle name="Header2 2 3 2" xfId="6218" xr:uid="{E7B29C13-8E83-40A5-838F-F9A98C6005AD}"/>
    <cellStyle name="Header2 2 3 2 2" xfId="11660" xr:uid="{2474D610-06F8-49C2-B8BD-6109AE720D2F}"/>
    <cellStyle name="Header2 2 3 2 3" xfId="13735" xr:uid="{6726BD0F-68EA-4E87-8C7B-691A0E45B911}"/>
    <cellStyle name="Header2 2 3 3" xfId="9281" xr:uid="{B5EF9D54-C13A-4280-9BA1-C48450518177}"/>
    <cellStyle name="Header2 2 4" xfId="3895" xr:uid="{2CB58809-F18E-4A1D-A09C-156658630F3C}"/>
    <cellStyle name="Header2 2 4 2" xfId="6301" xr:uid="{7B92CAC5-C180-411D-A7C1-B351877E64D8}"/>
    <cellStyle name="Header2 2 4 2 2" xfId="11743" xr:uid="{66E83EB9-4E1C-4D6C-B45C-C083C708726B}"/>
    <cellStyle name="Header2 2 4 2 3" xfId="13816" xr:uid="{5022F5D0-CB0B-4F33-8459-540C6244916A}"/>
    <cellStyle name="Header2 2 4 3" xfId="9364" xr:uid="{DD15E642-B00A-4DD2-9312-0BEA2FEE0D9C}"/>
    <cellStyle name="Header2 2 5" xfId="3962" xr:uid="{EF6020CE-116D-4286-A943-28650F99A0BB}"/>
    <cellStyle name="Header2 2 5 2" xfId="6366" xr:uid="{FA36FFB3-7963-4601-B347-8BA92224D1A9}"/>
    <cellStyle name="Header2 2 5 2 2" xfId="11808" xr:uid="{A1A60572-215A-47FE-BD96-2422142387CC}"/>
    <cellStyle name="Header2 2 5 2 3" xfId="13880" xr:uid="{428F5F3A-D87D-4B19-87B2-6B27E0CDB1EC}"/>
    <cellStyle name="Header2 2 5 3" xfId="9429" xr:uid="{B9136262-416C-4137-AEE1-CEB06D5509DC}"/>
    <cellStyle name="Header2 2 6" xfId="6689" xr:uid="{E9EAE2A6-ADF0-4E8C-A90B-AE4073C7BB49}"/>
    <cellStyle name="Header2 2 6 2" xfId="12131" xr:uid="{6B9FD2FB-52ED-481A-9BA0-E10C04223525}"/>
    <cellStyle name="Header2 2 6 3" xfId="14192" xr:uid="{9DDFB185-4045-418D-A029-23A066DEFE78}"/>
    <cellStyle name="Header2 2 7" xfId="9068" xr:uid="{C3B850A0-9453-4DC8-A724-02029CC1BAB7}"/>
    <cellStyle name="Header2 2 8" xfId="12795" xr:uid="{8BFADE81-A7F0-4D2E-A975-FEAE531DE06B}"/>
    <cellStyle name="Header2 3" xfId="3558" xr:uid="{C18064F3-5679-4511-A2C6-257528C0CAF0}"/>
    <cellStyle name="Header2 3 2" xfId="5971" xr:uid="{947D08BA-50C3-4220-AB6C-30653AE57B74}"/>
    <cellStyle name="Header2 3 2 2" xfId="11413" xr:uid="{00A8C67B-9FA0-4179-87F7-2BCAAC7579DE}"/>
    <cellStyle name="Header2 3 2 3" xfId="13498" xr:uid="{F1F19076-E407-4B03-B544-CF7B0AFB78F9}"/>
    <cellStyle name="Header2 3 3" xfId="9032" xr:uid="{DDB69DED-E7E9-4C78-AFBE-59899BA1E683}"/>
    <cellStyle name="Heading 1" xfId="51" builtinId="16" customBuiltin="1"/>
    <cellStyle name="Heading 1 2" xfId="52" xr:uid="{00000000-0005-0000-0000-000037000000}"/>
    <cellStyle name="Heading 1 2 10" xfId="1822" xr:uid="{320AD620-CD46-4EA7-B9E5-504088A2FEA6}"/>
    <cellStyle name="Heading 1 2 2" xfId="2727" xr:uid="{41584FD0-88BD-4A99-9926-4FE408559C34}"/>
    <cellStyle name="Heading 1 2 2 2" xfId="2728" xr:uid="{11BD222B-1681-4A02-B89E-2353D83D7FDE}"/>
    <cellStyle name="Heading 1 2 2 3" xfId="2729" xr:uid="{ABEEAEBE-DBA0-4BF6-927C-87C20FDFE860}"/>
    <cellStyle name="Heading 1 2 3" xfId="2730" xr:uid="{0C21DF70-9F77-4BB1-9679-7D6AE2581C14}"/>
    <cellStyle name="Heading 1 2 4" xfId="2731" xr:uid="{30CFD5BA-2659-41A5-AB66-2A443ADE517C}"/>
    <cellStyle name="Heading 1 2 5" xfId="2732" xr:uid="{D0AF5BC5-A32C-4EF8-98A6-49C0B9BD7B2D}"/>
    <cellStyle name="Heading 1 2 6" xfId="2733" xr:uid="{E793D2FE-D58A-41FF-A28C-81F757349AD0}"/>
    <cellStyle name="Heading 1 2 7" xfId="2734" xr:uid="{B5DBB92A-E9D0-413B-AB7B-59A9CDBECD3B}"/>
    <cellStyle name="Heading 1 2 8" xfId="3448" xr:uid="{B3014CA9-3BCF-44CA-A9FD-E37B69F4FF5F}"/>
    <cellStyle name="Heading 1 2 9" xfId="2726" xr:uid="{50089992-FE7C-4396-AF87-3E8757D4FE70}"/>
    <cellStyle name="Heading 1 3" xfId="2735" xr:uid="{6FF13BA5-95BF-40C0-938D-60DE4D89339E}"/>
    <cellStyle name="Heading 1 3 2" xfId="2736" xr:uid="{66ED4708-784F-4959-BADA-D00E2861F857}"/>
    <cellStyle name="Heading 1 3 3" xfId="2737" xr:uid="{DA80B121-67A0-42D8-BB88-3710EABD12A5}"/>
    <cellStyle name="Heading 1 4" xfId="2738" xr:uid="{19471454-B6FD-44F3-B896-194ABF05D16C}"/>
    <cellStyle name="Heading 1 5" xfId="2739" xr:uid="{2D0D1E79-9E20-4D23-9339-659EE274D743}"/>
    <cellStyle name="Heading 1 6" xfId="337" xr:uid="{06D92B48-09CA-4A18-A502-D4CDDB26C2CD}"/>
    <cellStyle name="Heading 2" xfId="53" builtinId="17" customBuiltin="1"/>
    <cellStyle name="Heading 2 2" xfId="54" xr:uid="{00000000-0005-0000-0000-000039000000}"/>
    <cellStyle name="Heading 2 2 10" xfId="2740" xr:uid="{2FAD8D05-B694-4E9E-8330-90979D3BFF5B}"/>
    <cellStyle name="Heading 2 2 11" xfId="1823" xr:uid="{B8C977AE-8881-4579-8C17-F2A513F17AB4}"/>
    <cellStyle name="Heading 2 2 2" xfId="2741" xr:uid="{B4C95327-B40A-4830-AEF7-C4C30C9C7686}"/>
    <cellStyle name="Heading 2 2 2 2" xfId="2742" xr:uid="{0EF94600-9B4C-4F99-9D61-B47CA2B8AC74}"/>
    <cellStyle name="Heading 2 2 2 3" xfId="2743" xr:uid="{B1FC9E31-F383-4294-8028-67D94B845856}"/>
    <cellStyle name="Heading 2 2 3" xfId="2744" xr:uid="{C54EA43C-C9D7-456E-ADBD-8D4B9755A830}"/>
    <cellStyle name="Heading 2 2 4" xfId="2745" xr:uid="{7A32DCFA-487E-4D48-BB2D-514CE4F73A0E}"/>
    <cellStyle name="Heading 2 2 5" xfId="2746" xr:uid="{06D90057-215D-4468-9B21-A2D023500AE4}"/>
    <cellStyle name="Heading 2 2 6" xfId="2747" xr:uid="{5B7FC81F-70FC-4EEC-B3AA-D7B4644C716B}"/>
    <cellStyle name="Heading 2 2 7" xfId="2748" xr:uid="{68AD0669-4EE5-4693-BFB3-A7AF08E618E8}"/>
    <cellStyle name="Heading 2 2 8" xfId="2749" xr:uid="{1EC6E640-6590-47EB-9EA9-C37146AD62A6}"/>
    <cellStyle name="Heading 2 2 9" xfId="3449" xr:uid="{511C92DA-3C44-46EA-BC6B-E1904579E961}"/>
    <cellStyle name="Heading 2 3" xfId="2750" xr:uid="{D4866F38-6889-44B9-AB73-E2D062697E05}"/>
    <cellStyle name="Heading 2 3 2" xfId="2751" xr:uid="{82073592-2FCF-4FAF-8E03-2423844063FB}"/>
    <cellStyle name="Heading 2 3 3" xfId="2752" xr:uid="{E4C9997E-A8CC-413E-9122-58EDDE9DEE62}"/>
    <cellStyle name="Heading 2 4" xfId="2753" xr:uid="{AB36E2BC-921F-4127-B11D-3C92502F0ACD}"/>
    <cellStyle name="Heading 2 5" xfId="2754" xr:uid="{DBDC27D6-3350-4B90-8F6E-D15D1FC9CB2F}"/>
    <cellStyle name="Heading 2 6" xfId="338" xr:uid="{AC46A002-3E0A-43DC-B9E4-BDF6BA4D256C}"/>
    <cellStyle name="Heading 3" xfId="55" builtinId="18" customBuiltin="1"/>
    <cellStyle name="Heading 3 2" xfId="56" xr:uid="{00000000-0005-0000-0000-00003B000000}"/>
    <cellStyle name="Heading 3 2 2" xfId="2756" xr:uid="{075A8C94-ACB6-4445-931B-F56781C9B238}"/>
    <cellStyle name="Heading 3 2 2 2" xfId="2757" xr:uid="{7872A3B4-E005-4544-8E2B-BDAAA7DB020F}"/>
    <cellStyle name="Heading 3 2 2 3" xfId="2758" xr:uid="{F6490BD0-B4CB-4956-881C-06F24EABFF4B}"/>
    <cellStyle name="Heading 3 2 3" xfId="2759" xr:uid="{3FB53108-F68C-4091-91FC-596AB7E276F2}"/>
    <cellStyle name="Heading 3 2 4" xfId="2760" xr:uid="{3AF89657-81F2-45B9-9D7D-D8344553FA81}"/>
    <cellStyle name="Heading 3 2 5" xfId="2761" xr:uid="{84F4D599-C553-40FA-AE01-F64CCAA78AD0}"/>
    <cellStyle name="Heading 3 2 6" xfId="2762" xr:uid="{67038AE8-7B7F-4F4D-B696-494936A438F3}"/>
    <cellStyle name="Heading 3 2 7" xfId="3450" xr:uid="{6179EF6B-0470-4B86-96F4-B1C993C07BAC}"/>
    <cellStyle name="Heading 3 2 8" xfId="2755" xr:uid="{32376705-CE05-4D7A-9651-4B9525055E5C}"/>
    <cellStyle name="Heading 3 2 9" xfId="1824" xr:uid="{51280889-551D-458B-97B0-E120DEA3D170}"/>
    <cellStyle name="Heading 3 3" xfId="2763" xr:uid="{F9F3BC42-EA0D-4FAB-B458-9A1B93CDA409}"/>
    <cellStyle name="Heading 3 3 2" xfId="2764" xr:uid="{6836FB8F-7795-43AB-B884-5C15584B2152}"/>
    <cellStyle name="Heading 3 3 3" xfId="2765" xr:uid="{2DAC39C0-D5FF-4F10-8134-DB96A0CCC939}"/>
    <cellStyle name="Heading 3 4" xfId="339" xr:uid="{CAF2C715-47EE-4A86-AF78-381115176556}"/>
    <cellStyle name="Heading 4" xfId="57" builtinId="19" customBuiltin="1"/>
    <cellStyle name="Heading 4 2" xfId="58" xr:uid="{00000000-0005-0000-0000-00003D000000}"/>
    <cellStyle name="Heading 4 2 2" xfId="2767" xr:uid="{BCC96EC9-4DE6-4E6F-B33F-1B31C68C1F18}"/>
    <cellStyle name="Heading 4 2 2 2" xfId="2768" xr:uid="{65DD3FC8-D344-48AA-9B94-9B29956752A5}"/>
    <cellStyle name="Heading 4 2 2 3" xfId="2769" xr:uid="{37C50AC9-8E41-4FB7-AFFF-4931214BA70C}"/>
    <cellStyle name="Heading 4 2 3" xfId="2770" xr:uid="{285C8EA9-2F88-4B6B-A610-6CD8BB4CC09A}"/>
    <cellStyle name="Heading 4 2 4" xfId="2771" xr:uid="{59681682-C287-45DE-91C8-99314690A439}"/>
    <cellStyle name="Heading 4 2 5" xfId="2772" xr:uid="{0EC0C461-3ADE-4FA3-98FB-FF89FAE25F0A}"/>
    <cellStyle name="Heading 4 2 6" xfId="2773" xr:uid="{B4C754F0-0F7F-4275-838D-E5A180FE42BA}"/>
    <cellStyle name="Heading 4 2 7" xfId="2766" xr:uid="{A48BAD61-1682-4D24-B5E1-1774EED52D05}"/>
    <cellStyle name="Heading 4 2 8" xfId="1825" xr:uid="{AF1251D2-9EBF-44AD-B40D-95BBE482EDA5}"/>
    <cellStyle name="Heading 4 3" xfId="2774" xr:uid="{558B4D7F-1405-437B-8C3B-7982AF302499}"/>
    <cellStyle name="Heading 4 3 2" xfId="2775" xr:uid="{802D768D-D4E3-4FB3-BFAF-33BBADD2AABD}"/>
    <cellStyle name="Heading 4 3 3" xfId="2776" xr:uid="{2393890A-F640-4202-8537-94D24674D828}"/>
    <cellStyle name="Heading 4 4" xfId="340" xr:uid="{1FEB879D-2F96-4018-B7D5-1FDB9E9CF5EB}"/>
    <cellStyle name="HEADINGS" xfId="173" xr:uid="{A29348FA-5178-4BCE-AAB9-6146298C56A0}"/>
    <cellStyle name="HEADINGS 2" xfId="3559" xr:uid="{57831ED8-6D12-48E2-B6CC-59214E15D9E3}"/>
    <cellStyle name="HEADINGSTOP" xfId="174" xr:uid="{B446EF9D-F154-4287-9B7A-C9EC10656507}"/>
    <cellStyle name="Hyperlink" xfId="85" builtinId="8"/>
    <cellStyle name="Hyperlink 2" xfId="175" xr:uid="{E93AB1FC-451E-4621-AB5A-25F8A841725B}"/>
    <cellStyle name="Hyperlink 2 2" xfId="385" xr:uid="{90FD2537-B5CC-4AF3-BF31-EB91F0D019B9}"/>
    <cellStyle name="Hyperlink 3" xfId="176" xr:uid="{3F0061AF-BC34-4178-89AB-2AB839DC8509}"/>
    <cellStyle name="Hyperlink 4" xfId="177" xr:uid="{91C74B52-52C3-472B-B235-34A4FEDEA3DF}"/>
    <cellStyle name="Hyperlink 5" xfId="386" xr:uid="{B19FE30F-F1A0-4066-A625-273BF2A4E3A3}"/>
    <cellStyle name="Input" xfId="59" builtinId="20" customBuiltin="1"/>
    <cellStyle name="Input [yellow]" xfId="178" xr:uid="{2C1B8ACA-E743-4D07-A300-9AEF23B02E05}"/>
    <cellStyle name="Input [yellow] 2" xfId="3597" xr:uid="{77B4D601-1BAF-40BA-8260-C3E77E68D5C7}"/>
    <cellStyle name="Input [yellow] 2 2" xfId="3896" xr:uid="{246F87E9-FB7E-4989-8F88-89D51274EFA5}"/>
    <cellStyle name="Input [yellow] 2 3" xfId="3963" xr:uid="{849FBE8D-0B00-48CB-8459-E50E3B8C813C}"/>
    <cellStyle name="Input [yellow] 2 4" xfId="6007" xr:uid="{E40C756F-7A9D-4663-BEE2-56FD7370BB20}"/>
    <cellStyle name="Input [yellow] 2 4 2" xfId="11449" xr:uid="{3C57BD3B-668A-4D35-B4FE-F85C0ABABAC6}"/>
    <cellStyle name="Input [yellow] 2 4 3" xfId="13532" xr:uid="{984C2736-DC72-4845-BFCB-CEE94F7E4223}"/>
    <cellStyle name="Input [yellow] 2 5" xfId="6690" xr:uid="{67A00519-383A-44CC-B751-87B05674454E}"/>
    <cellStyle name="Input [yellow] 2 5 2" xfId="12132" xr:uid="{4FB19B20-670A-46D3-8EB9-48FB39441949}"/>
    <cellStyle name="Input [yellow] 2 5 3" xfId="14193" xr:uid="{CB03C8D2-164B-411E-8E62-00DFE6236257}"/>
    <cellStyle name="Input [yellow] 2 6" xfId="9069" xr:uid="{062CEBE7-3063-422F-9B88-0438C8C76FBF}"/>
    <cellStyle name="Input [yellow] 2 7" xfId="12796" xr:uid="{1D83AFE5-62A3-48E5-9D61-99224913A5EA}"/>
    <cellStyle name="Input [yellow] 3" xfId="3650" xr:uid="{D5F1246A-1884-474F-9881-4C49B952CC42}"/>
    <cellStyle name="Input [yellow] 4" xfId="3811" xr:uid="{03111639-253A-4540-AC07-97B875728812}"/>
    <cellStyle name="Input [yellow] 5" xfId="3560" xr:uid="{148316D4-E6F4-4DA9-9EB7-9DBC77ED5B4C}"/>
    <cellStyle name="Input 10" xfId="7230" xr:uid="{40C24972-CA92-4B5F-A881-38FBCCE824AA}"/>
    <cellStyle name="Input 2" xfId="60" xr:uid="{00000000-0005-0000-0000-00003F000000}"/>
    <cellStyle name="Input 2 10" xfId="3548" xr:uid="{FB71B801-3502-4FD3-A6A6-F5ACE4A9C70E}"/>
    <cellStyle name="Input 2 10 2" xfId="5969" xr:uid="{0ACE89BB-5FA9-4FA3-BF87-8398CB7DD8DC}"/>
    <cellStyle name="Input 2 10 2 2" xfId="11411" xr:uid="{734C1CD8-A9AE-4815-8390-8331BBFDE0E4}"/>
    <cellStyle name="Input 2 10 2 3" xfId="13496" xr:uid="{5C847901-0EA0-47E4-AF2A-BDBB437190E9}"/>
    <cellStyle name="Input 2 10 3" xfId="6653" xr:uid="{86709888-7824-44C1-985E-00A457C6B442}"/>
    <cellStyle name="Input 2 10 3 2" xfId="12095" xr:uid="{4ED32CDB-682A-492C-B50D-292CBFD43736}"/>
    <cellStyle name="Input 2 10 3 3" xfId="14158" xr:uid="{861D0E4F-DD7B-4689-9CD9-4529183D4AFA}"/>
    <cellStyle name="Input 2 10 4" xfId="9027" xr:uid="{13055DDA-5445-4EA0-AEA0-1B3CDF2CC2EA}"/>
    <cellStyle name="Input 2 10 5" xfId="12761" xr:uid="{2D0D5440-19D7-4854-B555-834CFAEDA61F}"/>
    <cellStyle name="Input 2 11" xfId="2777" xr:uid="{ED58E9CA-EE58-4BD3-B1AD-C23408EA8447}"/>
    <cellStyle name="Input 2 11 2" xfId="5611" xr:uid="{59E16C22-3450-47B5-8E06-F8E879EC837B}"/>
    <cellStyle name="Input 2 11 2 2" xfId="11057" xr:uid="{B46C70C8-C47F-4D20-8D26-B4B77DC018B9}"/>
    <cellStyle name="Input 2 11 2 3" xfId="13281" xr:uid="{071F18BE-1C66-4F99-B15B-EA7AB6817177}"/>
    <cellStyle name="Input 2 11 3" xfId="6462" xr:uid="{0F8A70CE-4920-4151-95E5-094858052892}"/>
    <cellStyle name="Input 2 11 3 2" xfId="11904" xr:uid="{207CB616-0CC2-47CA-BC49-FC11729D23BB}"/>
    <cellStyle name="Input 2 11 3 3" xfId="13972" xr:uid="{2C73663A-E1B8-44DA-A88A-BF492C7E3BD2}"/>
    <cellStyle name="Input 2 11 4" xfId="8677" xr:uid="{DF080A63-0B32-4954-9432-6F2715BFE8C8}"/>
    <cellStyle name="Input 2 11 5" xfId="12575" xr:uid="{F03D3354-02B6-4B9A-85CD-5F5A7049FCD5}"/>
    <cellStyle name="Input 2 12" xfId="1826" xr:uid="{9C7B0D5A-86D6-45A3-8943-8AC52E7C9F78}"/>
    <cellStyle name="Input 2 12 2" xfId="5438" xr:uid="{AD8026F9-ECCD-4D29-B2A6-F69B96603E9D}"/>
    <cellStyle name="Input 2 12 2 2" xfId="10884" xr:uid="{B4E33A44-B1B4-4CC9-9811-575CF4D135E7}"/>
    <cellStyle name="Input 2 12 2 3" xfId="13255" xr:uid="{DF1F62CF-60D6-4DB2-B811-2D2DA09C919E}"/>
    <cellStyle name="Input 2 12 3" xfId="6442" xr:uid="{793325CF-D735-4208-85C3-71D0392C1BA1}"/>
    <cellStyle name="Input 2 12 3 2" xfId="11884" xr:uid="{255B3808-A959-4820-9F87-A869BCFA870A}"/>
    <cellStyle name="Input 2 12 3 3" xfId="13952" xr:uid="{9BBD7F96-B502-4F7B-8A1D-52E5B6C6689D}"/>
    <cellStyle name="Input 2 12 4" xfId="8507" xr:uid="{F5195409-F95F-4750-8113-C6155966DC8A}"/>
    <cellStyle name="Input 2 12 5" xfId="12555" xr:uid="{246DD0B6-4752-4A7D-B09F-63F5DA741290}"/>
    <cellStyle name="Input 2 13" xfId="307" xr:uid="{B7DD51E3-DB11-413D-8393-9C6641E44578}"/>
    <cellStyle name="Input 2 14" xfId="7114" xr:uid="{FA19747C-3A1A-412E-8CFD-7C8E0470A3CC}"/>
    <cellStyle name="Input 2 2" xfId="1827" xr:uid="{7027C601-95C0-444F-82BF-57715694E8C1}"/>
    <cellStyle name="Input 2 2 2" xfId="1828" xr:uid="{918BAE96-E544-4325-9F71-CD0920DAA9D2}"/>
    <cellStyle name="Input 2 2 2 2" xfId="1829" xr:uid="{853E04D6-25DF-4064-8133-0571EAA180AD}"/>
    <cellStyle name="Input 2 2 2 3" xfId="1830" xr:uid="{17DB2A4A-8267-4B46-A17E-1C074410EE2C}"/>
    <cellStyle name="Input 2 2 2 3 2" xfId="1831" xr:uid="{6B44C4FE-8682-46FB-A7EC-76D5FBBF4FFA}"/>
    <cellStyle name="Input 2 2 2 4" xfId="1832" xr:uid="{7AE2EE2D-A73C-491E-A343-74C193DBB073}"/>
    <cellStyle name="Input 2 2 2 5" xfId="3453" xr:uid="{7B00A5D4-0C80-4017-BBD5-67EDCBC6030D}"/>
    <cellStyle name="Input 2 2 2 6" xfId="2779" xr:uid="{F774573B-E7A3-440E-A25D-E039F4994E06}"/>
    <cellStyle name="Input 2 2 2 6 2" xfId="5613" xr:uid="{21EB8D77-8223-4529-9FFF-E70FE73B7183}"/>
    <cellStyle name="Input 2 2 2 6 2 2" xfId="11059" xr:uid="{0617A59D-E1FE-4A4D-BBF7-47CA211F8C0D}"/>
    <cellStyle name="Input 2 2 2 6 2 3" xfId="13283" xr:uid="{FEF680AB-813A-48A1-A58C-77D129D8E18C}"/>
    <cellStyle name="Input 2 2 2 6 3" xfId="6464" xr:uid="{C1DA48DA-266A-4D6C-9190-EC51C53EFACC}"/>
    <cellStyle name="Input 2 2 2 6 3 2" xfId="11906" xr:uid="{88298105-5637-4D1F-88FA-998E4A56A4B1}"/>
    <cellStyle name="Input 2 2 2 6 3 3" xfId="13974" xr:uid="{A46BF91F-BC44-4718-9DE6-6A753EA92FE8}"/>
    <cellStyle name="Input 2 2 2 6 4" xfId="8679" xr:uid="{9583FAE7-95EC-46C8-94A4-82EC85E0578B}"/>
    <cellStyle name="Input 2 2 2 6 5" xfId="12577" xr:uid="{7379A570-4EDC-44BD-BD96-94670E2AE4E0}"/>
    <cellStyle name="Input 2 2 3" xfId="2780" xr:uid="{D0DACC58-E242-46AC-B8E6-E4BDEAF0B752}"/>
    <cellStyle name="Input 2 2 3 2" xfId="5614" xr:uid="{3C2942C7-A684-4910-89B6-2503762A172A}"/>
    <cellStyle name="Input 2 2 3 2 2" xfId="11060" xr:uid="{AB1963AD-9089-4C6F-9E43-44C6E83594AC}"/>
    <cellStyle name="Input 2 2 3 2 3" xfId="13284" xr:uid="{19F921B1-40C7-4E92-9FED-5628E3A0D423}"/>
    <cellStyle name="Input 2 2 3 3" xfId="6465" xr:uid="{D8AF3111-F8FF-45CB-B5BE-AFD9805D4BD8}"/>
    <cellStyle name="Input 2 2 3 3 2" xfId="11907" xr:uid="{A2737DE8-F0D4-4892-97CF-0BF19D13729C}"/>
    <cellStyle name="Input 2 2 3 3 3" xfId="13975" xr:uid="{1C2FAB93-B2DB-45EB-A289-9A7394FBFB0D}"/>
    <cellStyle name="Input 2 2 3 4" xfId="8680" xr:uid="{BA34BF5D-87AF-487F-BE58-796E57A3A72A}"/>
    <cellStyle name="Input 2 2 3 5" xfId="12578" xr:uid="{850C1FE2-3209-4319-AFF5-74ED915BDB74}"/>
    <cellStyle name="Input 2 2 4" xfId="3452" xr:uid="{D622BABE-CAE1-4EF4-946A-E8649E51CC8B}"/>
    <cellStyle name="Input 2 2 5" xfId="2778" xr:uid="{6CC0589E-BE03-469D-AD10-16DCEA1066D8}"/>
    <cellStyle name="Input 2 2 5 2" xfId="5612" xr:uid="{01337FEB-EA99-465A-B5B8-B820C93C3224}"/>
    <cellStyle name="Input 2 2 5 2 2" xfId="11058" xr:uid="{CDE0B530-3EB5-42C8-9AE4-60F353FF648E}"/>
    <cellStyle name="Input 2 2 5 2 3" xfId="13282" xr:uid="{9CBD3512-1D67-446F-979F-B81A94396B2A}"/>
    <cellStyle name="Input 2 2 5 3" xfId="6463" xr:uid="{DD33A3B1-7308-44E2-B526-EA0A78F01E7C}"/>
    <cellStyle name="Input 2 2 5 3 2" xfId="11905" xr:uid="{549164B1-F90E-4F4C-91AB-3A9801057CF1}"/>
    <cellStyle name="Input 2 2 5 3 3" xfId="13973" xr:uid="{94D7EC9A-3E76-4E10-8A58-1CF97AD4E4F0}"/>
    <cellStyle name="Input 2 2 5 4" xfId="8678" xr:uid="{4188DD6D-FE44-41B0-833C-1B3A0CB898B0}"/>
    <cellStyle name="Input 2 2 5 5" xfId="12576" xr:uid="{8FBCE6FE-ECF2-4C41-9C29-946134D3B844}"/>
    <cellStyle name="Input 2 2_2014 CLEAResult Invoices" xfId="2781" xr:uid="{CB871DBE-3304-4355-93E8-ABAC8ED94EC3}"/>
    <cellStyle name="Input 2 3" xfId="1833" xr:uid="{85D6108F-8DEB-4368-97F2-4E6FBA3C0BD7}"/>
    <cellStyle name="Input 2 3 2" xfId="2783" xr:uid="{CCBEFC94-0943-4D84-9C42-327BDF86014B}"/>
    <cellStyle name="Input 2 3 3" xfId="3454" xr:uid="{1ABB10B8-7B0A-4AB3-808B-27F19A2DD16B}"/>
    <cellStyle name="Input 2 3 3 2" xfId="5897" xr:uid="{37B09D4B-F3B0-419F-BA5D-120ADB2173AD}"/>
    <cellStyle name="Input 2 3 3 2 2" xfId="11339" xr:uid="{BD9F88EA-CF38-4A48-97F7-7A8D50E7F67D}"/>
    <cellStyle name="Input 2 3 3 2 3" xfId="13488" xr:uid="{4DE53E6B-BB94-459B-B66C-2C97E566823E}"/>
    <cellStyle name="Input 2 3 3 3" xfId="6645" xr:uid="{E150A29D-B46C-4912-A196-3ACE4227DD4D}"/>
    <cellStyle name="Input 2 3 3 3 2" xfId="12087" xr:uid="{9A14BA95-8C8E-4243-A647-308A6DF76CB3}"/>
    <cellStyle name="Input 2 3 3 3 3" xfId="14150" xr:uid="{4715A6C5-9B2A-4924-9F12-A68EB1EBB1D1}"/>
    <cellStyle name="Input 2 3 3 4" xfId="8955" xr:uid="{2C87261A-0BE6-40D1-AB0D-118EED0515EB}"/>
    <cellStyle name="Input 2 3 3 5" xfId="12753" xr:uid="{5BC2B8FE-6FCD-4059-8F08-D761A13D70B0}"/>
    <cellStyle name="Input 2 3 4" xfId="2782" xr:uid="{383EF5C6-7E6F-48CF-A031-9E3FA44ED966}"/>
    <cellStyle name="Input 2 3 4 2" xfId="5615" xr:uid="{DFE4B49D-4577-4598-B50F-08225185A179}"/>
    <cellStyle name="Input 2 3 4 2 2" xfId="11061" xr:uid="{B70F9EFB-F5C4-4889-BCA4-9C8FDE9481E8}"/>
    <cellStyle name="Input 2 3 4 2 3" xfId="13285" xr:uid="{A52A2DE8-3895-4A55-ADA2-5AE58DEE5E1A}"/>
    <cellStyle name="Input 2 3 4 3" xfId="6466" xr:uid="{E8645FA3-3FC5-4976-AD72-2789093763BC}"/>
    <cellStyle name="Input 2 3 4 3 2" xfId="11908" xr:uid="{C652FCAC-6DA6-4301-BE61-3385EF75E3E3}"/>
    <cellStyle name="Input 2 3 4 3 3" xfId="13976" xr:uid="{9E4300A4-3E61-4F97-97C7-05437E8299AB}"/>
    <cellStyle name="Input 2 3 4 4" xfId="8681" xr:uid="{6FCB63EC-0313-42EC-8094-24833E67C535}"/>
    <cellStyle name="Input 2 3 4 5" xfId="12579" xr:uid="{42CB1F3C-8853-4FB8-A864-C843C79A2BBE}"/>
    <cellStyle name="Input 2 3 5" xfId="5439" xr:uid="{C2B334AF-2052-4F1D-A288-12E9B73229F0}"/>
    <cellStyle name="Input 2 3 5 2" xfId="10885" xr:uid="{36D15D38-3AFD-4248-81EB-014ECA43D3C4}"/>
    <cellStyle name="Input 2 3 5 3" xfId="13256" xr:uid="{B59ED6EA-DDD5-421D-8FCF-E1611173AEA1}"/>
    <cellStyle name="Input 2 3 6" xfId="6443" xr:uid="{5F6F620C-4CA5-4F8F-972F-DDEB518FEEF6}"/>
    <cellStyle name="Input 2 3 6 2" xfId="11885" xr:uid="{B8A1A035-64F1-495C-AAFC-CD0F4A1BCF8F}"/>
    <cellStyle name="Input 2 3 6 3" xfId="13953" xr:uid="{B65E9EE1-6281-4D1C-BDF6-C5B1CD876517}"/>
    <cellStyle name="Input 2 3 7" xfId="8508" xr:uid="{94A30F39-C7A5-43EC-A4D2-92C2E7C232AF}"/>
    <cellStyle name="Input 2 3 8" xfId="12556" xr:uid="{A9AD9B43-0DA5-42EB-AA64-F60F9C030C46}"/>
    <cellStyle name="Input 2 4" xfId="2784" xr:uid="{1E95B18C-A56A-4ED0-BF23-4293D6CD2458}"/>
    <cellStyle name="Input 2 4 2" xfId="2785" xr:uid="{19DA40C7-370A-40B6-8815-6914F96D0525}"/>
    <cellStyle name="Input 2 4 2 2" xfId="5617" xr:uid="{1509E05E-81B1-4C58-A66D-A3ED18CB89AC}"/>
    <cellStyle name="Input 2 4 2 2 2" xfId="11063" xr:uid="{E1D1F18C-12C6-4EC8-A836-1ACDC5A2B9F0}"/>
    <cellStyle name="Input 2 4 2 2 3" xfId="13287" xr:uid="{2DB3D34D-D19A-48B7-AEBB-E9E46FC577FA}"/>
    <cellStyle name="Input 2 4 2 3" xfId="6468" xr:uid="{7474EC2D-B7C3-4043-AA55-4FE5DEC66533}"/>
    <cellStyle name="Input 2 4 2 3 2" xfId="11910" xr:uid="{DC9B89E7-2421-467C-84E1-26D71EAE4CFD}"/>
    <cellStyle name="Input 2 4 2 3 3" xfId="13978" xr:uid="{AB1D4B33-2126-44BF-9468-7FD180CA6051}"/>
    <cellStyle name="Input 2 4 2 4" xfId="8683" xr:uid="{1CDD270A-FEC6-4667-A562-4D0BE6C26D7C}"/>
    <cellStyle name="Input 2 4 2 5" xfId="12581" xr:uid="{4C8CEE04-F0E8-4B27-8C77-4192A984D398}"/>
    <cellStyle name="Input 2 4 3" xfId="5616" xr:uid="{771B62F9-7D4A-42A6-8D6D-BE0C1DCA4B4A}"/>
    <cellStyle name="Input 2 4 3 2" xfId="11062" xr:uid="{CF7203B0-8A5C-4B6A-8BDB-1D2536FCE2A8}"/>
    <cellStyle name="Input 2 4 3 3" xfId="13286" xr:uid="{79839E13-DC24-4728-A247-3899BEBD232A}"/>
    <cellStyle name="Input 2 4 4" xfId="6467" xr:uid="{87F5D2ED-9AA4-416D-81E7-AFD33DCDFFBB}"/>
    <cellStyle name="Input 2 4 4 2" xfId="11909" xr:uid="{61917A54-1618-441A-ABF6-93C3CCE4B6BB}"/>
    <cellStyle name="Input 2 4 4 3" xfId="13977" xr:uid="{9BA98221-22BB-48D6-9158-56BECA856E9F}"/>
    <cellStyle name="Input 2 4 5" xfId="8682" xr:uid="{111AA5EB-3F38-48C8-B96B-8D0D46B6DFFE}"/>
    <cellStyle name="Input 2 4 6" xfId="12580" xr:uid="{E211ECDF-B062-40CE-8764-76BED9166006}"/>
    <cellStyle name="Input 2 5" xfId="2786" xr:uid="{927598F6-1ED2-4FA0-95A1-59B2B935404F}"/>
    <cellStyle name="Input 2 5 2" xfId="2787" xr:uid="{C80E8C3B-50EC-49AB-907F-AD0480D89930}"/>
    <cellStyle name="Input 2 5 3" xfId="5618" xr:uid="{DE744570-51C5-494F-A786-8B46265F9707}"/>
    <cellStyle name="Input 2 5 3 2" xfId="11064" xr:uid="{2DC668AB-E296-4D60-98F1-0ABED7E5031A}"/>
    <cellStyle name="Input 2 5 3 3" xfId="13288" xr:uid="{310FFE1A-667B-407E-83D4-088937D0FBED}"/>
    <cellStyle name="Input 2 5 4" xfId="6469" xr:uid="{7067F4AD-B2A0-4C94-AF2F-47FC6FEFA573}"/>
    <cellStyle name="Input 2 5 4 2" xfId="11911" xr:uid="{A1908F1B-F51F-47A3-B52B-815426ADE4AF}"/>
    <cellStyle name="Input 2 5 4 3" xfId="13979" xr:uid="{41979D0A-872C-4183-ABB0-8C804C40D3D3}"/>
    <cellStyle name="Input 2 5 5" xfId="8684" xr:uid="{A6194AFC-34E3-46B3-87BA-1520C79AB96E}"/>
    <cellStyle name="Input 2 5 6" xfId="12582" xr:uid="{1E8EC5A8-9FCF-4550-934E-57644EF9C135}"/>
    <cellStyle name="Input 2 6" xfId="2788" xr:uid="{F67CD150-520E-4097-A52D-BF5F7830C870}"/>
    <cellStyle name="Input 2 7" xfId="2789" xr:uid="{A9257D16-68D7-4A3E-A152-D81DA410D06E}"/>
    <cellStyle name="Input 2 7 2" xfId="5619" xr:uid="{6B78952F-79A2-4697-A5E4-F8A4DE57C31F}"/>
    <cellStyle name="Input 2 7 2 2" xfId="11065" xr:uid="{E6CE952A-804B-4187-B184-EF221EF50B28}"/>
    <cellStyle name="Input 2 7 2 3" xfId="13289" xr:uid="{22AA9F27-F000-447A-90D6-389B8EEA08AC}"/>
    <cellStyle name="Input 2 7 3" xfId="6470" xr:uid="{1C2F5929-CA5A-4E6A-AFE8-B7B50CB4EA8B}"/>
    <cellStyle name="Input 2 7 3 2" xfId="11912" xr:uid="{9E36BDB1-A7D7-42A6-81B5-F024FEA1E88F}"/>
    <cellStyle name="Input 2 7 3 3" xfId="13980" xr:uid="{A7BEEF1B-5C5E-4288-9C6B-733EF00E5A74}"/>
    <cellStyle name="Input 2 7 4" xfId="8685" xr:uid="{464A9827-9585-432C-8E9C-88C3C85F3808}"/>
    <cellStyle name="Input 2 7 5" xfId="12583" xr:uid="{ABD7F3A2-DB2B-4108-9664-AB6F78978769}"/>
    <cellStyle name="Input 2 8" xfId="2790" xr:uid="{18197B46-4F9A-4DB3-982A-F6A183BB9610}"/>
    <cellStyle name="Input 2 9" xfId="3451" xr:uid="{8110E98A-7CA1-41B3-803E-20D3B1FE59B5}"/>
    <cellStyle name="Input 2 9 2" xfId="5896" xr:uid="{E2566B5E-3AEE-4726-AFC5-545193B8C3B1}"/>
    <cellStyle name="Input 2 9 2 2" xfId="11338" xr:uid="{7CDA79A9-603E-4919-8225-BE6943ECA220}"/>
    <cellStyle name="Input 2 9 2 3" xfId="13487" xr:uid="{8232D332-188E-40AB-B1B6-7DCB4156A528}"/>
    <cellStyle name="Input 2 9 3" xfId="6644" xr:uid="{E58FA708-C50A-4C44-885E-E23A26B54039}"/>
    <cellStyle name="Input 2 9 3 2" xfId="12086" xr:uid="{C69FB11F-14DB-41CE-8282-CC3508223ACD}"/>
    <cellStyle name="Input 2 9 3 3" xfId="14149" xr:uid="{55826C4A-6FFE-4ECC-B668-D0A53B607BC8}"/>
    <cellStyle name="Input 2 9 4" xfId="8954" xr:uid="{6F9C8BEC-6CEE-40DF-8EF0-3C3B8AD0E627}"/>
    <cellStyle name="Input 2 9 5" xfId="12752" xr:uid="{843CC01A-F19F-4DF1-8DA8-469F71FA52E1}"/>
    <cellStyle name="Input 2_2014 CLEAResult Invoices" xfId="2791" xr:uid="{8A30270A-1832-4152-ABED-16E7346FAF27}"/>
    <cellStyle name="Input 3" xfId="2792" xr:uid="{A12A8F6C-FAEF-429B-989A-C34426C5B326}"/>
    <cellStyle name="Input 3 2" xfId="2793" xr:uid="{6F915FA9-5EF5-4E9E-8152-16ECE86544B1}"/>
    <cellStyle name="Input 3 3" xfId="2794" xr:uid="{6F3174F0-B94C-438D-8789-28A15EC47015}"/>
    <cellStyle name="Input 3 3 2" xfId="5620" xr:uid="{AE4F7D0F-8141-4DB4-B9EE-15C147E3845F}"/>
    <cellStyle name="Input 3 3 2 2" xfId="11066" xr:uid="{CB58F41F-8EBC-4B3E-A3F4-CEADC869B5E7}"/>
    <cellStyle name="Input 3 3 2 3" xfId="13290" xr:uid="{6854EFD2-327E-4168-8E35-F7CCC81E68AC}"/>
    <cellStyle name="Input 3 3 3" xfId="6471" xr:uid="{E7108B3B-24D2-4B32-8682-BBA2235830BD}"/>
    <cellStyle name="Input 3 3 3 2" xfId="11913" xr:uid="{8A35B096-9A66-4DEE-B44C-1E845C05F786}"/>
    <cellStyle name="Input 3 3 3 3" xfId="13981" xr:uid="{AECD9D9D-F88A-4185-B494-160BA4D2A8E4}"/>
    <cellStyle name="Input 3 3 4" xfId="8686" xr:uid="{BB968A84-5EAC-4D3B-BA01-5DB177D04197}"/>
    <cellStyle name="Input 3 3 5" xfId="12584" xr:uid="{6AE1FE5E-CEDC-4128-9E90-3B8EF41745C5}"/>
    <cellStyle name="Input 4" xfId="2795" xr:uid="{54FBE102-A208-44C8-8307-A02E594FD657}"/>
    <cellStyle name="Input 4 2" xfId="5621" xr:uid="{AFE2F2FB-1917-41AA-82AA-D6FC2AE9F63C}"/>
    <cellStyle name="Input 4 2 2" xfId="11067" xr:uid="{5FD3C34B-8524-452E-B1CD-DE416AF23BFF}"/>
    <cellStyle name="Input 4 2 3" xfId="13291" xr:uid="{4930DED8-7036-488D-A02B-80944B06B2FB}"/>
    <cellStyle name="Input 4 3" xfId="6472" xr:uid="{BB5136B9-9D15-4A2F-BC34-A26F09183F19}"/>
    <cellStyle name="Input 4 3 2" xfId="11914" xr:uid="{A606FF92-3D87-428D-B05C-DD18A0C8C0ED}"/>
    <cellStyle name="Input 4 3 3" xfId="13982" xr:uid="{7B340BC9-6522-4230-B361-B9FB018630BF}"/>
    <cellStyle name="Input 4 4" xfId="8687" xr:uid="{54955883-E19F-4DD6-9D8A-C8239E350ADE}"/>
    <cellStyle name="Input 4 5" xfId="12585" xr:uid="{7EB37A5B-854E-4219-832F-20F0086A1A6F}"/>
    <cellStyle name="Input 5" xfId="2796" xr:uid="{2B1721F1-A72B-411D-8480-7993DF9B66A0}"/>
    <cellStyle name="Input 6" xfId="344" xr:uid="{F263EE43-1F36-408E-8A75-8B4693C70D46}"/>
    <cellStyle name="Input 7" xfId="4178" xr:uid="{6B13BD7D-0A0A-4C37-899D-B296A1042886}"/>
    <cellStyle name="Input 8" xfId="5645" xr:uid="{EBFC681A-D858-49A0-9A44-452776C36CF9}"/>
    <cellStyle name="Input 9" xfId="7113" xr:uid="{E14E8B4D-7CEA-4F84-A1BE-EEED5F328BD1}"/>
    <cellStyle name="Linked Cell" xfId="61" builtinId="24" customBuiltin="1"/>
    <cellStyle name="Linked Cell 2" xfId="62" xr:uid="{00000000-0005-0000-0000-000041000000}"/>
    <cellStyle name="Linked Cell 2 2" xfId="2798" xr:uid="{A27AC101-F62B-49AA-8F1E-2BF070321CA6}"/>
    <cellStyle name="Linked Cell 2 2 2" xfId="2799" xr:uid="{1B750387-AD8D-488D-9EAE-B73A6DBDE0F6}"/>
    <cellStyle name="Linked Cell 2 2 3" xfId="2800" xr:uid="{77C9A4F3-13C8-48E8-90F3-0C52DEED1B99}"/>
    <cellStyle name="Linked Cell 2 3" xfId="2801" xr:uid="{17595883-F9C6-4848-9B73-8B515E49E982}"/>
    <cellStyle name="Linked Cell 2 4" xfId="2802" xr:uid="{86DCB326-B142-4882-8447-BA9DB6736FF7}"/>
    <cellStyle name="Linked Cell 2 5" xfId="2803" xr:uid="{623E9F48-387B-4826-ACCE-17E6C43BF4E7}"/>
    <cellStyle name="Linked Cell 2 6" xfId="2804" xr:uid="{7CCF76C2-9904-41E0-8331-CE52720FF124}"/>
    <cellStyle name="Linked Cell 2 7" xfId="3455" xr:uid="{EC82810E-9A8F-42DF-8551-DA060B22012E}"/>
    <cellStyle name="Linked Cell 2 8" xfId="2797" xr:uid="{55D75D71-ADCA-49CB-9F25-5AD828A130BE}"/>
    <cellStyle name="Linked Cell 2 9" xfId="1834" xr:uid="{DF286991-3DA0-4A54-A2BF-084A7750B868}"/>
    <cellStyle name="Linked Cell 3" xfId="2805" xr:uid="{82B9D9BF-12FD-4909-BD2D-82B709766ADB}"/>
    <cellStyle name="Linked Cell 3 2" xfId="2806" xr:uid="{D6957F1F-07E4-46A8-BA53-2320439A56F1}"/>
    <cellStyle name="Linked Cell 3 3" xfId="2807" xr:uid="{8638F2BB-FDC4-4C47-9F3D-8707442DEB34}"/>
    <cellStyle name="Linked Cell 4" xfId="347" xr:uid="{6B52B7FF-D3F3-4A1F-87AF-81214F2A5DAE}"/>
    <cellStyle name="Neutral" xfId="63" builtinId="28" customBuiltin="1"/>
    <cellStyle name="Neutral 2" xfId="64" xr:uid="{00000000-0005-0000-0000-000043000000}"/>
    <cellStyle name="Neutral 2 2" xfId="2809" xr:uid="{B80B1DB5-AA5A-447B-BC19-5F1F2F03D5C4}"/>
    <cellStyle name="Neutral 2 2 2" xfId="2810" xr:uid="{807C347E-F929-489D-B925-3F7C09E0A34A}"/>
    <cellStyle name="Neutral 2 2 3" xfId="2811" xr:uid="{1220424B-4AE2-4541-BCE0-BAA42888B47E}"/>
    <cellStyle name="Neutral 2 3" xfId="2812" xr:uid="{39D14D87-4A12-436A-9BB5-78C49DAB0BDF}"/>
    <cellStyle name="Neutral 2 4" xfId="2813" xr:uid="{21ED7928-44A1-4CC9-B025-F28FE44AF13B}"/>
    <cellStyle name="Neutral 2 5" xfId="2814" xr:uid="{51781C5B-3CF4-4D79-B2D5-75AF8921E359}"/>
    <cellStyle name="Neutral 2 6" xfId="2815" xr:uid="{BC58047A-FC58-4AA0-906B-42349A6C2626}"/>
    <cellStyle name="Neutral 2 7" xfId="3456" xr:uid="{A40E0DA0-1403-4F9A-BD06-D95B50D83ECE}"/>
    <cellStyle name="Neutral 2 8" xfId="2808" xr:uid="{FEEFB898-79FB-48A8-BA69-62038A7C74C3}"/>
    <cellStyle name="Neutral 2 9" xfId="1835" xr:uid="{CEFB7C16-BE71-467E-91B1-D102F8B57BBD}"/>
    <cellStyle name="Neutral 3" xfId="2816" xr:uid="{97EBA348-C200-4C91-B14B-232A35D44229}"/>
    <cellStyle name="Neutral 3 2" xfId="2817" xr:uid="{7D0D9E66-43BB-4DB3-8710-6E662DE1AE38}"/>
    <cellStyle name="Neutral 3 3" xfId="2818" xr:uid="{6CFA38C7-C44B-4C14-A1E8-79F70D2F7CFE}"/>
    <cellStyle name="Neutral 4" xfId="2037" xr:uid="{83CC3EF0-E5AF-4451-9791-09FAB7DE6990}"/>
    <cellStyle name="Neutral 5" xfId="343" xr:uid="{FFF702BC-527D-459C-BFC7-CABEEDEE2038}"/>
    <cellStyle name="no dec" xfId="1836" xr:uid="{A9CC3B84-54DF-425E-861F-7CD9A804FC78}"/>
    <cellStyle name="no dec 2" xfId="1837" xr:uid="{59C3DCD5-804F-45B1-A5A5-B76BAE966859}"/>
    <cellStyle name="no dec 3" xfId="1838" xr:uid="{774823BE-F696-4E5D-AF02-21DAC8E079F8}"/>
    <cellStyle name="no dec 4" xfId="1839" xr:uid="{8706AE4A-A12B-4D19-84C0-47F557058941}"/>
    <cellStyle name="no dec_Arkansas Quick Start Lighting Table (complete)" xfId="1840" xr:uid="{9AB78A8D-A79A-4908-A649-CE46DCE3F787}"/>
    <cellStyle name="Normal" xfId="0" builtinId="0"/>
    <cellStyle name="Normal - Numbering" xfId="76" xr:uid="{00000000-0005-0000-0000-000045000000}"/>
    <cellStyle name="Normal - Style1" xfId="179" xr:uid="{D21C132B-E794-42D9-81E5-71D2F286312B}"/>
    <cellStyle name="Normal 10" xfId="180" xr:uid="{DCC03EE8-F695-4CFD-8101-8AA74EC6E311}"/>
    <cellStyle name="Normal 10 2" xfId="181" xr:uid="{25644283-9457-4344-AA48-3333EDAD6CDC}"/>
    <cellStyle name="Normal 10 2 2" xfId="2821" xr:uid="{4C677120-852C-4CFE-9E7C-D1405BD5BFCF}"/>
    <cellStyle name="Normal 10 2 3" xfId="2820" xr:uid="{99CF7E44-62C2-4336-9201-18A471B16F3C}"/>
    <cellStyle name="Normal 10 2 4" xfId="4096" xr:uid="{63153ECA-7105-4AEE-B7F4-AFEFCE59A517}"/>
    <cellStyle name="Normal 10 2 4 2" xfId="9546" xr:uid="{DC8061F8-8DE9-4E85-A414-DDB0E1D7C853}"/>
    <cellStyle name="Normal 10 2 5" xfId="7161" xr:uid="{CB34AF18-ED54-4C53-A8E6-873ED3518776}"/>
    <cellStyle name="Normal 10 3" xfId="2822" xr:uid="{4DE3DF22-1585-43F4-BF3C-98F7FBD047A5}"/>
    <cellStyle name="Normal 10 4" xfId="2823" xr:uid="{088CF047-36FC-4489-AEA1-1E2D4EB63932}"/>
    <cellStyle name="Normal 10 5" xfId="2824" xr:uid="{720D3A74-6250-43C3-89C4-FBA149F850C2}"/>
    <cellStyle name="Normal 10 6" xfId="3457" xr:uid="{0F6FB6FD-02F5-4A6F-A7CC-8F6045A4A3F3}"/>
    <cellStyle name="Normal 10 6 2" xfId="5898" xr:uid="{FD4ADC22-A1B1-42CB-B517-8C3F81554BFE}"/>
    <cellStyle name="Normal 10 6 2 2" xfId="11340" xr:uid="{66C4A108-78D3-4C2D-A4D1-5B8FCF5BECDB}"/>
    <cellStyle name="Normal 10 6 3" xfId="8956" xr:uid="{49CA400B-6F95-4C86-8CD3-2D4CA922D317}"/>
    <cellStyle name="Normal 10 7" xfId="2819" xr:uid="{89885567-D916-4F11-8E98-C30DFAB2B16A}"/>
    <cellStyle name="Normal 10 8" xfId="1841" xr:uid="{7A66619C-0694-4A86-9129-9E60C79B450D}"/>
    <cellStyle name="Normal 10 8 2" xfId="5440" xr:uid="{62E3BB06-E348-4A2F-8361-C239199C54AA}"/>
    <cellStyle name="Normal 10 8 2 2" xfId="10886" xr:uid="{A3D92D64-95E3-4BCC-8507-8E707CCC3AF2}"/>
    <cellStyle name="Normal 10 8 3" xfId="8509" xr:uid="{7677F976-F35A-4010-8FBC-2EEFB3A6A3ED}"/>
    <cellStyle name="Normal 100" xfId="4051" xr:uid="{DE3069A2-AFA5-4BEE-B657-72BE8D8AE420}"/>
    <cellStyle name="Normal 101" xfId="4054" xr:uid="{951582BE-E54C-44F6-8CE1-1EFC7B33AB77}"/>
    <cellStyle name="Normal 102" xfId="87" xr:uid="{463EF55A-AA80-496B-9BAF-2154238FD5B8}"/>
    <cellStyle name="Normal 102 2" xfId="7126" xr:uid="{17D4B03A-506D-4582-80A0-84A00811A258}"/>
    <cellStyle name="Normal 103" xfId="4059" xr:uid="{475F1AFE-D2BD-4EED-86E6-30293874D53C}"/>
    <cellStyle name="Normal 103 2" xfId="9509" xr:uid="{92AD6AA0-19CC-47E0-9B96-87A263C9401B}"/>
    <cellStyle name="Normal 104" xfId="5847" xr:uid="{9EF72A3E-4CDE-4953-AB3F-766BF3624E78}"/>
    <cellStyle name="Normal 104 2" xfId="11289" xr:uid="{8D7646CA-41CF-4F2E-8DCB-099D1B447968}"/>
    <cellStyle name="Normal 105" xfId="7109" xr:uid="{DF6F78D3-89DF-4102-A677-7068CB1B210D}"/>
    <cellStyle name="Normal 105 2" xfId="12551" xr:uid="{C7384561-A663-4ADA-94F8-2965B17CDD12}"/>
    <cellStyle name="Normal 11" xfId="182" xr:uid="{CE411DDC-624D-40FE-AB72-493E37E3F6CD}"/>
    <cellStyle name="Normal 11 2" xfId="2826" xr:uid="{C0F70F9F-BDEF-4733-8444-9DC5497986C5}"/>
    <cellStyle name="Normal 11 3" xfId="3458" xr:uid="{9E838573-44D2-47CE-8831-FD96C348C401}"/>
    <cellStyle name="Normal 11 4" xfId="2825" xr:uid="{30C70470-BFA6-4E7A-999C-8BF5A788277A}"/>
    <cellStyle name="Normal 11 4 2" xfId="5622" xr:uid="{F15DF685-617E-4006-B77A-93E184F17EFC}"/>
    <cellStyle name="Normal 11 4 2 2" xfId="11068" xr:uid="{288AC5C8-E91B-45AF-9340-128E135D9BFB}"/>
    <cellStyle name="Normal 11 4 3" xfId="8688" xr:uid="{BEF74CFB-2E40-438F-89EF-2B9FB8008553}"/>
    <cellStyle name="Normal 12" xfId="183" xr:uid="{274B935D-FA6D-4455-B78A-29EE795793F6}"/>
    <cellStyle name="Normal 12 2" xfId="2828" xr:uid="{D3C7066A-5E91-4226-A454-5A672519F8A5}"/>
    <cellStyle name="Normal 12 3" xfId="2829" xr:uid="{5D776192-17B5-4AF1-B835-4D6A95FBB226}"/>
    <cellStyle name="Normal 12 4" xfId="2830" xr:uid="{11451145-F99F-4DB1-81DD-E349D74B2BDC}"/>
    <cellStyle name="Normal 12 5" xfId="3459" xr:uid="{B9675143-596E-44AE-8816-A2DE34050CCB}"/>
    <cellStyle name="Normal 12 6" xfId="2827" xr:uid="{4F6795FA-A88C-4F55-9ECB-2B6E5B6EEA12}"/>
    <cellStyle name="Normal 12 6 2" xfId="5623" xr:uid="{5C3776FA-7C7B-4DAA-BFC8-C39CB40EC93C}"/>
    <cellStyle name="Normal 12 6 2 2" xfId="11069" xr:uid="{DC795805-E7A1-4870-93C2-0C5316C46FEE}"/>
    <cellStyle name="Normal 12 6 3" xfId="8689" xr:uid="{6B8A239C-5F73-456D-8383-3415184B532F}"/>
    <cellStyle name="Normal 13" xfId="184" xr:uid="{2120086A-578A-4CFA-B240-D5065191AB82}"/>
    <cellStyle name="Normal 13 2" xfId="185" xr:uid="{A1DEFFCD-2D62-497E-933D-0E744023C245}"/>
    <cellStyle name="Normal 13 2 2" xfId="2831" xr:uid="{963DF247-1C74-49AA-97B9-ACA6038E42DA}"/>
    <cellStyle name="Normal 13 2 3" xfId="4097" xr:uid="{0C135450-B935-4876-9029-B94CF59DA4EA}"/>
    <cellStyle name="Normal 13 2 3 2" xfId="9547" xr:uid="{FD6727EF-36CC-49FC-9499-AB91AD20C368}"/>
    <cellStyle name="Normal 13 2 4" xfId="7162" xr:uid="{9A4EB948-2A9D-4D49-9052-4C5B7633B5CF}"/>
    <cellStyle name="Normal 13 3" xfId="2832" xr:uid="{76F958FE-0193-4B5F-B5C4-2534EE3C134C}"/>
    <cellStyle name="Normal 139 2" xfId="300" xr:uid="{59E22B6D-C453-4D50-B33C-BCFAC39227E2}"/>
    <cellStyle name="Normal 139 2 2" xfId="391" xr:uid="{A701961B-7980-4A81-A706-B9BB658BD39A}"/>
    <cellStyle name="Normal 139 2 2 2" xfId="4210" xr:uid="{B219D0CF-6257-4147-969E-6904EE89425E}"/>
    <cellStyle name="Normal 139 2 2 2 2" xfId="9656" xr:uid="{7EBB8712-47E5-4531-93A5-FBD6F5981133}"/>
    <cellStyle name="Normal 139 2 2 3" xfId="7278" xr:uid="{E9969B57-3972-4FED-A93D-88123004C723}"/>
    <cellStyle name="Normal 139 2 3" xfId="4161" xr:uid="{36AEFF59-0FFA-45A4-8F58-9BD604EF9433}"/>
    <cellStyle name="Normal 139 2 3 2" xfId="9611" xr:uid="{AD5BD1B0-3894-4361-9B14-6AA77DAAF9EE}"/>
    <cellStyle name="Normal 139 2 4" xfId="7231" xr:uid="{8256AD8C-C3DB-4F94-98D1-34E2A95C9BBF}"/>
    <cellStyle name="Normal 14" xfId="186" xr:uid="{36482AF2-15F3-425C-A9EC-8F619817E0C1}"/>
    <cellStyle name="Normal 14 2" xfId="2833" xr:uid="{96B2FEE0-9DDC-4B78-BECC-4EDDA63E6A75}"/>
    <cellStyle name="Normal 14 3" xfId="2834" xr:uid="{B4D7C8F0-8A18-4492-9B60-D13FC75CFD26}"/>
    <cellStyle name="Normal 15" xfId="187" xr:uid="{990D6CF0-1C75-4709-82A4-92098D765FDF}"/>
    <cellStyle name="Normal 15 2" xfId="2835" xr:uid="{369276AB-6BAB-47CD-B8BD-7FF23AC01171}"/>
    <cellStyle name="Normal 15 3" xfId="2836" xr:uid="{DB459A57-EBBC-4262-BFE4-3B1704894E85}"/>
    <cellStyle name="Normal 16" xfId="188" xr:uid="{8EEA1A16-E8FF-4D30-B720-DFA3BB93A69A}"/>
    <cellStyle name="Normal 16 2" xfId="2837" xr:uid="{076C9661-20F6-4D66-B151-5ECF125503DF}"/>
    <cellStyle name="Normal 16 3" xfId="1842" xr:uid="{55B636E6-23A1-4C06-B300-618F7930AE40}"/>
    <cellStyle name="Normal 17" xfId="189" xr:uid="{370DB421-F545-4F9C-ABD8-0E4073B40A6E}"/>
    <cellStyle name="Normal 17 2" xfId="2838" xr:uid="{0C4A15ED-7BF9-40A7-8090-F170A5C2099E}"/>
    <cellStyle name="Normal 17 3" xfId="1843" xr:uid="{29EC316D-6BB1-434B-ABC0-D79954CF6432}"/>
    <cellStyle name="Normal 18" xfId="190" xr:uid="{2D5A7F81-C7A5-496E-ABE6-074C83FFF6EB}"/>
    <cellStyle name="Normal 18 2" xfId="2839" xr:uid="{9297CF6E-6F31-4D8B-9FA9-F87D0E7BEF35}"/>
    <cellStyle name="Normal 19" xfId="191" xr:uid="{16772AFB-43CB-4B94-923F-F6C2AEA32DE0}"/>
    <cellStyle name="Normal 19 2" xfId="2841" xr:uid="{98858286-F9C7-4591-9435-35DD21E167EA}"/>
    <cellStyle name="Normal 19 3" xfId="3544" xr:uid="{94266329-4A00-4651-A038-9357E7EDFCF3}"/>
    <cellStyle name="Normal 19 4" xfId="2840" xr:uid="{EFA59DA8-9A83-4E53-918D-CC4D27C6B86A}"/>
    <cellStyle name="Normal 19 5" xfId="1844" xr:uid="{5D622ED4-986C-4696-B436-565D83A56A3E}"/>
    <cellStyle name="Normal 19 6" xfId="4098" xr:uid="{3469A79A-53D1-46CB-82D9-158034909D2B}"/>
    <cellStyle name="Normal 19 6 2" xfId="9548" xr:uid="{56728958-71A0-43CE-9BC0-68C6D3C83134}"/>
    <cellStyle name="Normal 19 7" xfId="7163" xr:uid="{EA22CA93-0F60-4F4F-89C9-4159EC07795D}"/>
    <cellStyle name="Normal 2" xfId="80" xr:uid="{00000000-0005-0000-0000-000046000000}"/>
    <cellStyle name="Normal 2 10" xfId="312" xr:uid="{D7C812C6-AF39-45D1-96F8-DB3D56968D4E}"/>
    <cellStyle name="Normal 2 10 2" xfId="3460" xr:uid="{8991EBCF-6147-45AD-BEFD-9C5A59C95639}"/>
    <cellStyle name="Normal 2 11" xfId="2045" xr:uid="{FA223A3D-959D-4ACF-A920-C4DBD77F3E98}"/>
    <cellStyle name="Normal 2 11 2" xfId="3551" xr:uid="{A4A725F4-330E-481B-9FAA-A2DEA32385F2}"/>
    <cellStyle name="Normal 2 12" xfId="4046" xr:uid="{81D31CFD-68A1-4394-9529-68E09BD365DA}"/>
    <cellStyle name="Normal 2 13" xfId="2843" xr:uid="{8F267999-1C92-4B1A-B802-57B75729B181}"/>
    <cellStyle name="Normal 2 13 2" xfId="5625" xr:uid="{B1298BB1-7E88-4606-AAF8-36CC1EE8DD87}"/>
    <cellStyle name="Normal 2 13 2 2" xfId="11071" xr:uid="{BD5AF456-6764-4724-A173-8E46B9A48449}"/>
    <cellStyle name="Normal 2 13 3" xfId="8691" xr:uid="{0E27B69D-3E76-48C5-B78D-9470D7EFDE3D}"/>
    <cellStyle name="Normal 2 14" xfId="96" xr:uid="{60956775-B0FB-4708-AC69-13FA7893B176}"/>
    <cellStyle name="Normal 2 15" xfId="318" xr:uid="{DB7C11D4-D51E-4AC1-B40B-E157D20F2462}"/>
    <cellStyle name="Normal 2 16" xfId="7121" xr:uid="{D344EFE0-F1A8-49E1-9FDA-D33E4AD39B7E}"/>
    <cellStyle name="Normal 2 2" xfId="192" xr:uid="{C753A1D2-42C4-4D27-98B3-0A2980FF3871}"/>
    <cellStyle name="Normal 2 2 10" xfId="2844" xr:uid="{63F1E62A-7A8B-4A9C-B6A7-8853ECB50FA0}"/>
    <cellStyle name="Normal 2 2 11" xfId="1845" xr:uid="{6D1F02E2-AC26-4B51-94D9-CEA41DB35B23}"/>
    <cellStyle name="Normal 2 2 2" xfId="193" xr:uid="{29B582CF-241F-4C5C-8187-12273EB4B228}"/>
    <cellStyle name="Normal 2 2 2 2" xfId="194" xr:uid="{370763B9-D7CB-4A2D-8747-243E2A87D2B2}"/>
    <cellStyle name="Normal 2 2 2 2 2" xfId="3463" xr:uid="{26785DEA-1595-40C2-B5AE-400470BBF0CC}"/>
    <cellStyle name="Normal 2 2 2 2 3" xfId="2846" xr:uid="{8E53ECDA-EE09-45F6-B65C-6CC115D49AFA}"/>
    <cellStyle name="Normal 2 2 2 2 3 2" xfId="5626" xr:uid="{E4B01948-DD18-4AFD-9A32-3C50A770AB1B}"/>
    <cellStyle name="Normal 2 2 2 2 3 2 2" xfId="11072" xr:uid="{AC07AE28-5D7D-4DDD-ADC7-4C3E7CC1D64D}"/>
    <cellStyle name="Normal 2 2 2 2 3 3" xfId="8692" xr:uid="{56C1762D-54B6-4540-A577-A90A86A1A1F3}"/>
    <cellStyle name="Normal 2 2 2 2 4" xfId="1847" xr:uid="{CCE9DBED-110E-43A5-825E-3429F6880F33}"/>
    <cellStyle name="Normal 2 2 2 2 5" xfId="4100" xr:uid="{8D4598D4-5E06-4736-B534-3857859A8066}"/>
    <cellStyle name="Normal 2 2 2 2 5 2" xfId="9550" xr:uid="{5447FC0B-B5CA-4BDA-BEFF-F87A2BE61C12}"/>
    <cellStyle name="Normal 2 2 2 2 6" xfId="7165" xr:uid="{19F40586-A56F-48EE-8FC3-F46DB84CE4E5}"/>
    <cellStyle name="Normal 2 2 2 3" xfId="195" xr:uid="{4742876B-542E-4CEF-B59F-17E9B9E524E2}"/>
    <cellStyle name="Normal 2 2 2 3 2" xfId="2848" xr:uid="{2B8A0E2C-F660-4AFC-BBFB-ED59FE84C446}"/>
    <cellStyle name="Normal 2 2 2 3 3" xfId="3546" xr:uid="{DA7C1EE6-EB79-4BB9-ABF8-AE3736F9DCC7}"/>
    <cellStyle name="Normal 2 2 2 3 3 2" xfId="5967" xr:uid="{B993AD0B-0FDB-439A-9B8A-0081A717D241}"/>
    <cellStyle name="Normal 2 2 2 3 3 2 2" xfId="11409" xr:uid="{0D579B54-8FBC-4BE9-8A3B-ECA509C6F5BF}"/>
    <cellStyle name="Normal 2 2 2 3 3 3" xfId="9025" xr:uid="{0DA92FD6-31E4-4CEB-9272-94214B3EF6C0}"/>
    <cellStyle name="Normal 2 2 2 3 4" xfId="2847" xr:uid="{2F9CD667-7A32-4E66-89E9-0877C7B873C8}"/>
    <cellStyle name="Normal 2 2 2 3 5" xfId="4101" xr:uid="{3909DF7C-584E-4303-AE01-D2F49735B763}"/>
    <cellStyle name="Normal 2 2 2 3 5 2" xfId="9551" xr:uid="{CDDB4A5B-6D68-4325-9C57-45181A4EC979}"/>
    <cellStyle name="Normal 2 2 2 3 6" xfId="7166" xr:uid="{09037A3A-70BC-4450-A98C-8D215D46920C}"/>
    <cellStyle name="Normal 2 2 2 4" xfId="2849" xr:uid="{96D42D84-D73D-4FAA-95B8-8088D8AFEECF}"/>
    <cellStyle name="Normal 2 2 2 5" xfId="3462" xr:uid="{449AE59E-9922-4A6A-959A-879F3E137BCB}"/>
    <cellStyle name="Normal 2 2 2 6" xfId="2845" xr:uid="{31BE9041-CDB6-4BA6-9657-F5A69E79D0AB}"/>
    <cellStyle name="Normal 2 2 2 7" xfId="1846" xr:uid="{A158DA43-5332-4A91-9882-94A8DF29039C}"/>
    <cellStyle name="Normal 2 2 2 8" xfId="4099" xr:uid="{7C941477-539E-453D-9A45-D4D3915AE068}"/>
    <cellStyle name="Normal 2 2 2 8 2" xfId="9549" xr:uid="{C4953E4E-DD76-418A-9EFB-BE86D3234D60}"/>
    <cellStyle name="Normal 2 2 2 9" xfId="7164" xr:uid="{3603E5DF-A4BF-461B-870C-603EC2EB000C}"/>
    <cellStyle name="Normal 2 2 3" xfId="196" xr:uid="{70AB6AF0-0924-44B2-B730-5755D68E9891}"/>
    <cellStyle name="Normal 2 2 3 2" xfId="2851" xr:uid="{DD46693A-BC68-4F66-8C1C-889B14834EC7}"/>
    <cellStyle name="Normal 2 2 3 3" xfId="2852" xr:uid="{A1B1B265-B701-48F7-941B-C5BA57596297}"/>
    <cellStyle name="Normal 2 2 3 4" xfId="3464" xr:uid="{4704427D-DD06-4CE2-923A-C67C5C47F4D4}"/>
    <cellStyle name="Normal 2 2 3 4 2" xfId="5899" xr:uid="{9C16F308-D5DB-4C13-AFAB-24D025D355BD}"/>
    <cellStyle name="Normal 2 2 3 4 2 2" xfId="11341" xr:uid="{6A74A77E-51BA-47EA-A4BF-30FACFA317E5}"/>
    <cellStyle name="Normal 2 2 3 4 3" xfId="8957" xr:uid="{DB53756F-53E6-4E1F-B5B2-AC3EA683465A}"/>
    <cellStyle name="Normal 2 2 3 5" xfId="2850" xr:uid="{E23F5AEF-CE3F-4871-AF70-874409A85E4A}"/>
    <cellStyle name="Normal 2 2 3 6" xfId="1848" xr:uid="{CAD0FC29-01B5-4C16-9E86-0605113480A0}"/>
    <cellStyle name="Normal 2 2 3 6 2" xfId="5441" xr:uid="{31458AC9-0D08-41C4-8FC3-ADA45F6EE5C6}"/>
    <cellStyle name="Normal 2 2 3 6 2 2" xfId="10887" xr:uid="{A99A57C4-E411-4653-A605-6FFDE4CBF034}"/>
    <cellStyle name="Normal 2 2 3 6 3" xfId="8510" xr:uid="{090716DF-199B-4CEE-A3BE-DD82A08BA0D0}"/>
    <cellStyle name="Normal 2 2 4" xfId="1849" xr:uid="{5A5DFE73-07E4-466D-9EB3-EED480344A4C}"/>
    <cellStyle name="Normal 2 2 4 2" xfId="2854" xr:uid="{65283E80-1C0B-4395-A9BE-7258F3364B3F}"/>
    <cellStyle name="Normal 2 2 4 2 2" xfId="5627" xr:uid="{376087EB-D0FF-4F68-AF84-46731B2333D5}"/>
    <cellStyle name="Normal 2 2 4 2 2 2" xfId="11073" xr:uid="{3C097786-A335-40B4-87C2-1D0E0823F9E9}"/>
    <cellStyle name="Normal 2 2 4 2 3" xfId="8693" xr:uid="{A4DA5C79-0B5D-48A4-B0CE-8CEADD24B1EA}"/>
    <cellStyle name="Normal 2 2 4 3" xfId="3465" xr:uid="{14E913C0-FB67-49B9-9662-16F7D5BE898B}"/>
    <cellStyle name="Normal 2 2 4 4" xfId="2853" xr:uid="{CBEA820F-8B4A-4512-AFBE-AD84AB0A827D}"/>
    <cellStyle name="Normal 2 2 5" xfId="2855" xr:uid="{1C1EEDF2-3F1E-4B53-8E2E-A7EB6C06F697}"/>
    <cellStyle name="Normal 2 2 6" xfId="2856" xr:uid="{1E894A9C-CC1E-4927-89A6-7273A1BE99B1}"/>
    <cellStyle name="Normal 2 2 7" xfId="2857" xr:uid="{A77D44C8-6647-483C-9D3D-A9E94EA56F79}"/>
    <cellStyle name="Normal 2 2 8" xfId="2858" xr:uid="{27E65666-A685-45D8-8324-97961B82AF33}"/>
    <cellStyle name="Normal 2 2 9" xfId="3461" xr:uid="{01454D42-8A28-4C82-ACD2-31F19D0EF3B0}"/>
    <cellStyle name="Normal 2 3" xfId="197" xr:uid="{4A33635A-E985-4448-9FC2-9066FE8459BF}"/>
    <cellStyle name="Normal 2 3 2" xfId="1850" xr:uid="{C47F4466-7E8A-4EDA-8346-6C5C22D22CDC}"/>
    <cellStyle name="Normal 2 3 2 2" xfId="5442" xr:uid="{3E5AAE01-7E23-45A5-8D7C-6D159B035313}"/>
    <cellStyle name="Normal 2 3 2 2 2" xfId="10888" xr:uid="{37A706A8-3B43-48C2-827C-FED28BDAEAA1}"/>
    <cellStyle name="Normal 2 3 2 3" xfId="8511" xr:uid="{E2956727-55F7-4CDB-B92C-A11FBF4E5EAA}"/>
    <cellStyle name="Normal 2 3 3" xfId="1851" xr:uid="{65A27531-E5CA-422C-B091-E9BCD6F70545}"/>
    <cellStyle name="Normal 2 3 3 2" xfId="5443" xr:uid="{97A86ED8-6A6C-4A5F-9134-486E2E535117}"/>
    <cellStyle name="Normal 2 3 3 2 2" xfId="10889" xr:uid="{07E7B425-3064-47DE-BC35-64A654AF41D8}"/>
    <cellStyle name="Normal 2 3 3 3" xfId="8512" xr:uid="{8B95FEA2-3B40-4F5D-B536-6B5BC8880C7C}"/>
    <cellStyle name="Normal 2 3 4" xfId="1852" xr:uid="{1AD5C85E-0F18-4E6F-8ED0-2C63C2B5827A}"/>
    <cellStyle name="Normal 2 3 4 2" xfId="5444" xr:uid="{CED963B4-E028-4ADF-9ACF-29D49CF70B17}"/>
    <cellStyle name="Normal 2 3 4 2 2" xfId="10890" xr:uid="{A3ED094A-2686-47CF-9EE3-B205867CA360}"/>
    <cellStyle name="Normal 2 3 4 3" xfId="8513" xr:uid="{3EA71F71-F00B-4695-B25C-A9E976070A96}"/>
    <cellStyle name="Normal 2 4" xfId="198" xr:uid="{E390818E-6F86-44F3-B525-0FDF771A9CBE}"/>
    <cellStyle name="Normal 2 4 2" xfId="2860" xr:uid="{CB79E707-F11D-49AD-9110-9308564A81E9}"/>
    <cellStyle name="Normal 2 4 3" xfId="2861" xr:uid="{61BBDA94-AB24-4BA2-8060-CDB574EF910F}"/>
    <cellStyle name="Normal 2 4 3 2" xfId="5628" xr:uid="{4A99101C-89B2-4053-8B17-18890CED1E36}"/>
    <cellStyle name="Normal 2 4 3 2 2" xfId="11074" xr:uid="{17283327-2F29-409C-BE7D-331F080FAE50}"/>
    <cellStyle name="Normal 2 4 3 3" xfId="8694" xr:uid="{DB23665A-0453-414B-AED9-0ED53032DE0B}"/>
    <cellStyle name="Normal 2 4 4" xfId="2859" xr:uid="{80B1E0C1-B24B-458B-81BD-03D40E50091F}"/>
    <cellStyle name="Normal 2 4 5" xfId="4102" xr:uid="{4446F3EC-83DC-4A64-8021-D43C35D9F6B6}"/>
    <cellStyle name="Normal 2 4 5 2" xfId="9552" xr:uid="{7704A0A2-3B07-42ED-AFCD-675325A20753}"/>
    <cellStyle name="Normal 2 4 6" xfId="7167" xr:uid="{1AA04A48-CC5D-406B-9920-30909017B6F8}"/>
    <cellStyle name="Normal 2 5" xfId="199" xr:uid="{72C82FFC-88DE-4B9A-8328-2D2235947B07}"/>
    <cellStyle name="Normal 2 5 2" xfId="2863" xr:uid="{96B236C1-19F8-46B4-B0EB-5F6B67A61D95}"/>
    <cellStyle name="Normal 2 5 3" xfId="2864" xr:uid="{D5EC4D77-EBF6-4106-B7A2-73E4C78ED8B4}"/>
    <cellStyle name="Normal 2 5 4" xfId="3547" xr:uid="{00BE0E94-EFB6-4EE4-A8D2-27FB5E3677D7}"/>
    <cellStyle name="Normal 2 5 4 2" xfId="5968" xr:uid="{7EB9CF94-D79E-41C2-B716-C48D2D9E8D50}"/>
    <cellStyle name="Normal 2 5 4 2 2" xfId="11410" xr:uid="{269F9A23-A761-4C45-8AAE-F5D3F55AB196}"/>
    <cellStyle name="Normal 2 5 4 3" xfId="9026" xr:uid="{2834B4A8-5922-451F-82A2-070AED722509}"/>
    <cellStyle name="Normal 2 5 5" xfId="2862" xr:uid="{4EBD5B88-BEA3-4DEC-B9AB-897F8CAA9956}"/>
    <cellStyle name="Normal 2 5 6" xfId="4103" xr:uid="{B402CD18-0D30-4B77-9610-6D184036606D}"/>
    <cellStyle name="Normal 2 5 6 2" xfId="9553" xr:uid="{912BC4BB-28B3-4314-8C1A-30A9FD5C5B8A}"/>
    <cellStyle name="Normal 2 5 7" xfId="7168" xr:uid="{41132306-9818-44C0-9946-BB5195DDF27C}"/>
    <cellStyle name="Normal 2 6" xfId="298" xr:uid="{68012882-96B2-476B-9888-4AE75E6CF16F}"/>
    <cellStyle name="Normal 2 6 2" xfId="400" xr:uid="{B09D7718-5513-4B5D-8355-2F14C526F9A7}"/>
    <cellStyle name="Normal 2 6 2 2" xfId="2866" xr:uid="{3792FAAF-5676-4951-BB60-2608EDE00BE8}"/>
    <cellStyle name="Normal 2 6 3" xfId="2865" xr:uid="{87E52391-751C-49AA-B9B2-41A0BDC40FFF}"/>
    <cellStyle name="Normal 2 7" xfId="2867" xr:uid="{DC5DC48B-2D7D-4260-85B3-267C96A8B9BC}"/>
    <cellStyle name="Normal 2 8" xfId="2868" xr:uid="{4A34BE98-F40A-44CE-8D9B-39CEB872672F}"/>
    <cellStyle name="Normal 2 9" xfId="2842" xr:uid="{5D218CD6-039F-4801-8A2B-B73636604965}"/>
    <cellStyle name="Normal 2 9 2" xfId="5624" xr:uid="{5C32700A-F138-4130-8B82-FDD4247554F5}"/>
    <cellStyle name="Normal 2 9 2 2" xfId="11070" xr:uid="{54874726-226C-49EA-90CC-3F19DE6B5A7F}"/>
    <cellStyle name="Normal 2 9 3" xfId="8690" xr:uid="{DF9347FF-3713-4D0D-908F-16D82AE293BC}"/>
    <cellStyle name="Normal 20" xfId="200" xr:uid="{C6AAA72F-CDF6-4F77-A60F-E4B22BC6EE2C}"/>
    <cellStyle name="Normal 20 2" xfId="2870" xr:uid="{54514BED-93DC-4D62-8FA2-582ABEE05BFB}"/>
    <cellStyle name="Normal 20 3" xfId="2869" xr:uid="{82C942A2-945A-4C6C-B09E-AAC9783CB06D}"/>
    <cellStyle name="Normal 20 4" xfId="1853" xr:uid="{1A841F26-C2DD-476E-85BE-9471C6CEB908}"/>
    <cellStyle name="Normal 20 5" xfId="4104" xr:uid="{BFF09C3F-2AB8-4853-AE1E-4C5ACEB21775}"/>
    <cellStyle name="Normal 20 5 2" xfId="9554" xr:uid="{BA9973D8-2816-4278-AA0D-1A0F8A00A4A1}"/>
    <cellStyle name="Normal 20 6" xfId="7169" xr:uid="{6FE84D7F-01D1-4663-9DBF-2BB1D4F36AD3}"/>
    <cellStyle name="Normal 21" xfId="201" xr:uid="{50DBA885-4CE3-402A-90DA-D57AD19E4740}"/>
    <cellStyle name="Normal 21 2" xfId="202" xr:uid="{F411C2F6-0320-4A4A-AE1E-E1B20AEB26FB}"/>
    <cellStyle name="Normal 21 2 2" xfId="2871" xr:uid="{6D0E9487-0B13-4592-B5CF-3D9A0890981B}"/>
    <cellStyle name="Normal 21 2 3" xfId="4106" xr:uid="{B9997ED7-EC82-4250-B0C0-0F1AFB0A76CB}"/>
    <cellStyle name="Normal 21 2 3 2" xfId="9556" xr:uid="{34B72C66-489C-49A1-BF58-1AE17D223E24}"/>
    <cellStyle name="Normal 21 2 4" xfId="7171" xr:uid="{2C1B85B6-CBAC-46AD-8FC7-AE00941AACAB}"/>
    <cellStyle name="Normal 21 3" xfId="1854" xr:uid="{F9132A6D-3170-4AED-A698-492352117536}"/>
    <cellStyle name="Normal 21 4" xfId="4105" xr:uid="{D5630DB4-B33E-41A4-99D2-9EDEB8F684F1}"/>
    <cellStyle name="Normal 21 4 2" xfId="9555" xr:uid="{E492C9B5-1D8D-4C34-94B1-DACF161FB54A}"/>
    <cellStyle name="Normal 21 5" xfId="7170" xr:uid="{1C355BD5-BFBF-4552-82F3-0732E9B95790}"/>
    <cellStyle name="Normal 22" xfId="203" xr:uid="{DE207F85-B811-4B07-A086-AECAC88AA4CB}"/>
    <cellStyle name="Normal 22 2" xfId="204" xr:uid="{8E5DADA6-0498-45F4-9388-D7DE30E5C088}"/>
    <cellStyle name="Normal 22 2 2" xfId="2873" xr:uid="{CD7FAE81-06EC-41C1-8009-3E87A9D78FF6}"/>
    <cellStyle name="Normal 22 2 3" xfId="4108" xr:uid="{F915ADDD-A4F2-464B-B3B6-9CCA7925FE54}"/>
    <cellStyle name="Normal 22 2 3 2" xfId="9558" xr:uid="{BE95C8DE-E18C-4EAD-9F1C-8A957BAE16FF}"/>
    <cellStyle name="Normal 22 2 4" xfId="7173" xr:uid="{A4012A56-0769-4DA0-8444-87A0A6223BF4}"/>
    <cellStyle name="Normal 22 3" xfId="2872" xr:uid="{C204F8D7-5D7D-40F0-8703-157C57C98668}"/>
    <cellStyle name="Normal 22 4" xfId="2044" xr:uid="{D64FFF70-D3F4-4552-A2AF-D165BE727A44}"/>
    <cellStyle name="Normal 22 5" xfId="4107" xr:uid="{4AE1A914-52E0-4463-A291-4C7987157890}"/>
    <cellStyle name="Normal 22 5 2" xfId="9557" xr:uid="{EDC538C7-C931-48C1-B5C0-F84C16D8A194}"/>
    <cellStyle name="Normal 22 6" xfId="7172" xr:uid="{4958D9FC-3BEB-42B1-8EA8-616BC1375455}"/>
    <cellStyle name="Normal 23" xfId="205" xr:uid="{AD623A19-BA25-450A-96F0-12E86E164451}"/>
    <cellStyle name="Normal 23 2" xfId="2874" xr:uid="{BDED2602-0A18-4941-891B-E19011CF1729}"/>
    <cellStyle name="Normal 23 3" xfId="1855" xr:uid="{35CE36B6-1CB6-41B1-86D1-E64CBD1E7528}"/>
    <cellStyle name="Normal 23 4" xfId="4109" xr:uid="{6FDD5898-E43A-4F69-80ED-BA3586C29AB9}"/>
    <cellStyle name="Normal 23 4 2" xfId="9559" xr:uid="{69E0F9B8-7743-4015-9232-39B890DA54B0}"/>
    <cellStyle name="Normal 23 5" xfId="7174" xr:uid="{426E3CBE-CE04-4053-A9CC-4AFC3F204E75}"/>
    <cellStyle name="Normal 24" xfId="206" xr:uid="{534471B6-4569-4DC7-B718-3312FA7450B6}"/>
    <cellStyle name="Normal 24 2" xfId="1856" xr:uid="{43C50BED-0BEE-4DD4-B0A5-1663B189F116}"/>
    <cellStyle name="Normal 24 3" xfId="4110" xr:uid="{66D073D1-D913-47EC-8C55-6D900FC2B9CE}"/>
    <cellStyle name="Normal 24 3 2" xfId="9560" xr:uid="{61DACF4B-7E1D-47BC-97DB-4F264128B5C0}"/>
    <cellStyle name="Normal 24 4" xfId="7175" xr:uid="{8755777F-1127-4AB2-A859-E1966D36FC61}"/>
    <cellStyle name="Normal 25" xfId="207" xr:uid="{3C7F38DE-672F-4515-9195-31C9D41CE680}"/>
    <cellStyle name="Normal 25 2" xfId="1857" xr:uid="{D080464E-8F96-4C8A-B713-698B025ABFB3}"/>
    <cellStyle name="Normal 25 3" xfId="4111" xr:uid="{0544EA51-4303-4EF4-A7FC-7BE298CD913A}"/>
    <cellStyle name="Normal 25 3 2" xfId="9561" xr:uid="{1A8C5B9F-21E6-4195-8611-085F656BFD62}"/>
    <cellStyle name="Normal 25 4" xfId="7176" xr:uid="{E69585D1-C14A-43D1-9FFC-2A776DE4F48A}"/>
    <cellStyle name="Normal 26" xfId="208" xr:uid="{597A0422-F58C-4E93-B38F-EECFF79A3377}"/>
    <cellStyle name="Normal 27" xfId="209" xr:uid="{F2D2834F-4D85-49AC-887D-AD053FA666D7}"/>
    <cellStyle name="Normal 28" xfId="377" xr:uid="{A58A3ED4-F1AE-4D14-869F-91A2F757EC69}"/>
    <cellStyle name="Normal 28 2" xfId="2875" xr:uid="{C672CCAC-CE12-41C7-909E-414ED07EC2B4}"/>
    <cellStyle name="Normal 29" xfId="387" xr:uid="{C8FF3323-EFE7-4EF9-BE43-7367079A2A81}"/>
    <cellStyle name="Normal 29 2" xfId="2876" xr:uid="{D9B3D06C-B88C-48B5-ABC8-51A40C19051E}"/>
    <cellStyle name="Normal 3" xfId="82" xr:uid="{00000000-0005-0000-0000-000047000000}"/>
    <cellStyle name="Normal 3 10" xfId="328" xr:uid="{81D82600-3187-4B3F-839D-CA3107D47840}"/>
    <cellStyle name="Normal 3 11" xfId="321" xr:uid="{8CE3B371-0654-4C43-9D6A-02817E713E36}"/>
    <cellStyle name="Normal 3 11 2" xfId="4172" xr:uid="{236E4BE1-3623-479A-AF9B-C43DF1641DFA}"/>
    <cellStyle name="Normal 3 11 2 2" xfId="9622" xr:uid="{EDA5762C-A304-4D4E-AE44-F3DAEF347C6C}"/>
    <cellStyle name="Normal 3 11 3" xfId="7243" xr:uid="{A386AEA9-64F0-481F-AB89-42D9AB7C6C0D}"/>
    <cellStyle name="Normal 3 12" xfId="7123" xr:uid="{1CC102E1-EB04-47BC-A275-662374B8CDE9}"/>
    <cellStyle name="Normal 3 2" xfId="210" xr:uid="{AB6021EF-716F-4243-A992-06CE8B0FF44C}"/>
    <cellStyle name="Normal 3 2 2" xfId="211" xr:uid="{69EBA604-B37A-4445-927B-86A5BC281EFD}"/>
    <cellStyle name="Normal 3 2 2 2" xfId="3466" xr:uid="{70FC65B9-DBFB-4BA9-A418-165D1E8D40AC}"/>
    <cellStyle name="Normal 3 2 2 2 2" xfId="5900" xr:uid="{6C120715-60FA-4AF5-B6A1-51685E831164}"/>
    <cellStyle name="Normal 3 2 2 2 2 2" xfId="11342" xr:uid="{8C514987-B628-4EE5-8870-499676758A46}"/>
    <cellStyle name="Normal 3 2 2 2 3" xfId="8958" xr:uid="{5FD3ECB7-42A9-4A7B-8B0D-BC6CEC9AD8F6}"/>
    <cellStyle name="Normal 3 2 2 3" xfId="2877" xr:uid="{304DF613-DF0C-44A5-8E73-B5B6E13AA4F5}"/>
    <cellStyle name="Normal 3 2 2 4" xfId="4112" xr:uid="{9B53CFC5-FB34-49B7-BCF1-079FEF9DE24F}"/>
    <cellStyle name="Normal 3 2 2 4 2" xfId="9562" xr:uid="{2DA7FEED-71C2-4015-9D64-06054033FA79}"/>
    <cellStyle name="Normal 3 2 2 5" xfId="7177" xr:uid="{00D2B660-52D0-4C04-823E-A88BCBAF0B5A}"/>
    <cellStyle name="Normal 3 2 3" xfId="212" xr:uid="{2E0DFD9F-2265-4D67-AAC2-B59E786CBC0D}"/>
    <cellStyle name="Normal 3 2 3 2" xfId="2878" xr:uid="{C3CBE6C0-7A49-4E0A-80E4-323F67EB88AA}"/>
    <cellStyle name="Normal 3 2 3 3" xfId="4113" xr:uid="{0606A1E0-6F49-4C42-9C27-4F7D42A89C32}"/>
    <cellStyle name="Normal 3 2 3 3 2" xfId="9563" xr:uid="{5047625A-F739-4507-AC73-371625380586}"/>
    <cellStyle name="Normal 3 2 3 4" xfId="7178" xr:uid="{18B210C9-C6A3-496B-8168-1ADEBF66A88C}"/>
    <cellStyle name="Normal 3 2 4" xfId="213" xr:uid="{0ADF50BA-E5C4-46C4-8C0E-6F7C8F84C391}"/>
    <cellStyle name="Normal 3 2 4 2" xfId="2879" xr:uid="{600B56A3-5940-4A37-A0F5-2764C013D860}"/>
    <cellStyle name="Normal 3 2 4 2 2" xfId="5629" xr:uid="{459C295D-FF7B-44BB-8990-AE3474503B81}"/>
    <cellStyle name="Normal 3 2 4 2 2 2" xfId="11075" xr:uid="{1D4E6A76-B9C6-4E3A-9267-E364C0CFDED8}"/>
    <cellStyle name="Normal 3 2 4 2 3" xfId="8695" xr:uid="{78AA281B-534A-405C-8D38-13C3A27FDE40}"/>
    <cellStyle name="Normal 3 2 5" xfId="214" xr:uid="{A1655ACE-2B7A-4263-BBA9-A1032EE54D52}"/>
    <cellStyle name="Normal 3 2 5 2" xfId="2880" xr:uid="{0E1C0426-6918-4D58-8B88-24572C1AB528}"/>
    <cellStyle name="Normal 3 2 6" xfId="215" xr:uid="{1C7EAFEF-4819-4944-9F1A-8E68947D7593}"/>
    <cellStyle name="Normal 3 3" xfId="216" xr:uid="{7B8E9914-0CD2-47C9-8AC6-74E96AB9B874}"/>
    <cellStyle name="Normal 3 3 2" xfId="3467" xr:uid="{0F1D4D0E-5A25-4103-ADCD-C73DF13BD30B}"/>
    <cellStyle name="Normal 3 3 3" xfId="2881" xr:uid="{B985F441-BF81-4686-9F12-4E0DD6CFBF6B}"/>
    <cellStyle name="Normal 3 3 3 2" xfId="5630" xr:uid="{3A482D19-FC29-482E-8D8A-9AAFF832CD80}"/>
    <cellStyle name="Normal 3 3 3 2 2" xfId="11076" xr:uid="{8AD7C2F5-D045-422D-96E6-1F617DE53426}"/>
    <cellStyle name="Normal 3 3 3 3" xfId="8696" xr:uid="{ECF791C1-C498-468D-BC17-FCDCA6985D34}"/>
    <cellStyle name="Normal 3 3 4" xfId="1858" xr:uid="{E11D3E5D-F0EA-4B0B-8EF1-61ECAE634B50}"/>
    <cellStyle name="Normal 3 4" xfId="217" xr:uid="{4FC6DCE7-9306-4E7A-B64D-A3ECDA5C38E7}"/>
    <cellStyle name="Normal 3 4 2" xfId="2883" xr:uid="{095B9772-FC95-4210-A5A5-6C70F26C2C10}"/>
    <cellStyle name="Normal 3 4 3" xfId="2884" xr:uid="{A06E6BA8-F606-4AE6-A59A-CAEBBEC62126}"/>
    <cellStyle name="Normal 3 4 4" xfId="3468" xr:uid="{3A75DC1D-E99C-451E-8F30-4FE103DB9660}"/>
    <cellStyle name="Normal 3 4 4 2" xfId="5901" xr:uid="{6F9CE844-8FB7-41B3-9AE1-9E96D0FCC3FE}"/>
    <cellStyle name="Normal 3 4 4 2 2" xfId="11343" xr:uid="{88F23BC0-2C9D-4941-BD20-1C1C88B30B81}"/>
    <cellStyle name="Normal 3 4 4 3" xfId="8959" xr:uid="{2DA0BE65-D427-4859-A972-DA58D901F18A}"/>
    <cellStyle name="Normal 3 4 5" xfId="2882" xr:uid="{196D1EB7-1D20-4E3F-8F3A-2E349717B4D1}"/>
    <cellStyle name="Normal 3 4 6" xfId="1859" xr:uid="{7E5B7A53-E233-4FDA-8C1F-CE53389EF4D4}"/>
    <cellStyle name="Normal 3 4 6 2" xfId="5445" xr:uid="{F40FBE1C-B5A1-4522-9B39-0C96F261DDD6}"/>
    <cellStyle name="Normal 3 4 6 2 2" xfId="10891" xr:uid="{F6B13FB8-F734-4E2A-AD5F-3B245E4B2FA9}"/>
    <cellStyle name="Normal 3 4 6 3" xfId="8514" xr:uid="{36DF869C-CAF0-4A07-BC1D-17EC19F0A555}"/>
    <cellStyle name="Normal 3 5" xfId="218" xr:uid="{8BD75F2A-16FA-4E4C-AB2D-A017A6BEC2DE}"/>
    <cellStyle name="Normal 3 5 2" xfId="2885" xr:uid="{F2CCDC53-4B3F-4DAC-85C2-73B4F54A4D7F}"/>
    <cellStyle name="Normal 3 6" xfId="219" xr:uid="{2AD6810E-78B6-4A99-AC82-B9FAB03B0951}"/>
    <cellStyle name="Normal 3 6 2" xfId="2886" xr:uid="{A9A32A3A-4636-4C11-90CD-28EA30DBB226}"/>
    <cellStyle name="Normal 3 7" xfId="220" xr:uid="{6CABA0DD-0863-4D07-8385-8CDBE8C24B1C}"/>
    <cellStyle name="Normal 3 7 2" xfId="402" xr:uid="{F7872971-569B-45BB-99E7-C14EE5165957}"/>
    <cellStyle name="Normal 3 8" xfId="4045" xr:uid="{69C03A4B-0DFF-48FA-853D-493328F1F085}"/>
    <cellStyle name="Normal 3 9" xfId="97" xr:uid="{BDE271A6-FD71-47FF-B068-945DFB1E49EA}"/>
    <cellStyle name="Normal 30" xfId="388" xr:uid="{612544AB-A46F-44A2-9988-BBDC22B9CCFE}"/>
    <cellStyle name="Normal 30 2" xfId="2887" xr:uid="{A4CF08D1-9B66-465C-96B9-C7CA6D8F7EC8}"/>
    <cellStyle name="Normal 31" xfId="395" xr:uid="{D11E25AF-95B5-453B-AE36-B47DA36E6244}"/>
    <cellStyle name="Normal 32" xfId="396" xr:uid="{29E539AD-3CDB-4718-8A81-C626249906AF}"/>
    <cellStyle name="Normal 33" xfId="397" xr:uid="{E6DD59DF-A234-4EAB-9A03-65D8FF16D47D}"/>
    <cellStyle name="Normal 33 2" xfId="2888" xr:uid="{E4BB99BC-4A24-43A3-BB51-503AB0FC5F18}"/>
    <cellStyle name="Normal 34" xfId="398" xr:uid="{C650DBA6-FC5F-4A3B-A138-A28215395359}"/>
    <cellStyle name="Normal 35" xfId="399" xr:uid="{136B2594-FA8F-493A-9553-5815A4B818B2}"/>
    <cellStyle name="Normal 35 2" xfId="2889" xr:uid="{FB340573-AAEF-476D-8F67-FCFD0220FE80}"/>
    <cellStyle name="Normal 36" xfId="2890" xr:uid="{75B1819A-55B7-4B77-B39C-A3A22E06335C}"/>
    <cellStyle name="Normal 37" xfId="2891" xr:uid="{533F45CC-4726-4C89-8153-C5FECA068342}"/>
    <cellStyle name="Normal 38" xfId="2892" xr:uid="{456C39F7-5B84-4110-8D76-CA242F4244CD}"/>
    <cellStyle name="Normal 39" xfId="2893" xr:uid="{32B39018-086F-4983-AC00-79A9AE44FBF6}"/>
    <cellStyle name="Normal 4" xfId="98" xr:uid="{81A206BA-D5BB-4C56-8CA7-6F37EA9F8756}"/>
    <cellStyle name="Normal 4 10" xfId="330" xr:uid="{48005DD6-E43B-424A-BD36-B221DC53D4BC}"/>
    <cellStyle name="Normal 4 10 2" xfId="3549" xr:uid="{15B2F738-98DE-4A3E-ABDC-39E9FA4042F9}"/>
    <cellStyle name="Normal 4 11" xfId="319" xr:uid="{F4664B9D-DB22-424E-904F-3064FB854FC5}"/>
    <cellStyle name="Normal 4 11 2" xfId="2894" xr:uid="{EBE691D7-49A6-45D7-AE6C-48429158D7A2}"/>
    <cellStyle name="Normal 4 12" xfId="1860" xr:uid="{B99B3047-2BD5-456B-AD37-0475608E4E9D}"/>
    <cellStyle name="Normal 4 2" xfId="221" xr:uid="{C69D3D5E-0813-4D1D-B324-8E07A3E24BDA}"/>
    <cellStyle name="Normal 4 2 10" xfId="3553" xr:uid="{4482063B-3F50-4D63-AD43-94F4D107B799}"/>
    <cellStyle name="Normal 4 2 2" xfId="1862" xr:uid="{490C178F-503A-4CE4-8A87-AE72F777B3A0}"/>
    <cellStyle name="Normal 4 2 2 2" xfId="3471" xr:uid="{EB47FE2C-E894-46D0-8BE5-3F7ED3925676}"/>
    <cellStyle name="Normal 4 2 2 2 2" xfId="5902" xr:uid="{AD4020EB-7929-4403-93B5-A43EAB393746}"/>
    <cellStyle name="Normal 4 2 2 2 2 2" xfId="11344" xr:uid="{042366B5-F554-46F5-AC01-C2B677CDA99D}"/>
    <cellStyle name="Normal 4 2 2 2 3" xfId="8960" xr:uid="{1F70C68F-B95F-48D7-AC9D-BB606DF0FB12}"/>
    <cellStyle name="Normal 4 2 2 3" xfId="2896" xr:uid="{5C1A65A0-9D7D-4D87-B0F1-38573DD42334}"/>
    <cellStyle name="Normal 4 2 2 4" xfId="5446" xr:uid="{97BE083C-7016-44FC-A740-FF7F4B9D6960}"/>
    <cellStyle name="Normal 4 2 2 4 2" xfId="10892" xr:uid="{39A5ED5F-26EE-40AB-BF93-E9D6C636D0E4}"/>
    <cellStyle name="Normal 4 2 2 5" xfId="8515" xr:uid="{0B3D1583-3CF0-489A-88B7-F7FAB87345EC}"/>
    <cellStyle name="Normal 4 2 3" xfId="2897" xr:uid="{D93CC1B9-31D4-40C2-B80B-F124EEDFA59A}"/>
    <cellStyle name="Normal 4 2 3 2" xfId="2898" xr:uid="{C9E14DA3-9318-4FBA-8790-4191E01E5D97}"/>
    <cellStyle name="Normal 4 2 3 2 2" xfId="2899" xr:uid="{6871A9AB-483D-4A5F-BA38-C68A28C46DED}"/>
    <cellStyle name="Normal 4 2 3_2014 CLEAResult Invoices" xfId="2900" xr:uid="{1F2F415C-C6CB-46DC-B729-6BBE365209AD}"/>
    <cellStyle name="Normal 4 2 4" xfId="2901" xr:uid="{11C500EB-62F0-42C1-9A1C-005F25C7AED8}"/>
    <cellStyle name="Normal 4 2 5" xfId="2902" xr:uid="{7D7108E6-5EFF-4043-92F8-4684C0769D3D}"/>
    <cellStyle name="Normal 4 2 6" xfId="3470" xr:uid="{393FD378-05D2-4F40-BB1F-03FF91AC7CEC}"/>
    <cellStyle name="Normal 4 2 7" xfId="3550" xr:uid="{C4FEB77C-0493-48C8-A422-526FA025A18F}"/>
    <cellStyle name="Normal 4 2 8" xfId="2895" xr:uid="{66679BBB-C77F-4FB4-B242-888BA464659A}"/>
    <cellStyle name="Normal 4 2 9" xfId="1861" xr:uid="{81D7FFD0-93BB-4A7A-87A0-5D1DA3EE7A6B}"/>
    <cellStyle name="Normal 4 3" xfId="306" xr:uid="{0B30B349-CDB4-4271-9997-83042C22E925}"/>
    <cellStyle name="Normal 4 3 2" xfId="2904" xr:uid="{16F08E84-5EEA-4E76-BF43-FAB18543CAD8}"/>
    <cellStyle name="Normal 4 3 3" xfId="2905" xr:uid="{18960E91-D0FA-4897-8359-35129FB2E7C0}"/>
    <cellStyle name="Normal 4 3 4" xfId="3472" xr:uid="{4243AE2F-7153-4E2B-B6B8-F86382AEFE5E}"/>
    <cellStyle name="Normal 4 3 4 2" xfId="5903" xr:uid="{B220EEFA-B05A-4768-B2BA-184D15EC41DD}"/>
    <cellStyle name="Normal 4 3 4 2 2" xfId="11345" xr:uid="{1CAFE07D-E3DB-4579-979A-62B9E2D48564}"/>
    <cellStyle name="Normal 4 3 4 3" xfId="8961" xr:uid="{890BBEF8-FCD9-431E-B8F6-26A405DA3C87}"/>
    <cellStyle name="Normal 4 3 5" xfId="2903" xr:uid="{A6D3EEA8-7278-46CA-90C0-AE4332BF9058}"/>
    <cellStyle name="Normal 4 3 6" xfId="1863" xr:uid="{FF39358E-C721-4BBB-B3DA-5804F29EF710}"/>
    <cellStyle name="Normal 4 3 6 2" xfId="5447" xr:uid="{9AB9D204-EFCF-4F57-AC40-9C598AF4103D}"/>
    <cellStyle name="Normal 4 3 6 2 2" xfId="10893" xr:uid="{23C149A2-9B3B-4983-B24F-C80F2439E59E}"/>
    <cellStyle name="Normal 4 3 6 3" xfId="8516" xr:uid="{22A3FFC3-30FF-4939-9156-70801EFB0B4E}"/>
    <cellStyle name="Normal 4 4" xfId="1864" xr:uid="{35559CE8-30E3-4D85-84BE-CDF5FC5FF3B6}"/>
    <cellStyle name="Normal 4 4 2" xfId="2907" xr:uid="{FB3AE9C7-864A-44BC-B1F8-9F40541AC050}"/>
    <cellStyle name="Normal 4 4 2 2" xfId="2908" xr:uid="{31B8BE22-58BA-4C22-8360-2C07E59F5CE3}"/>
    <cellStyle name="Normal 4 4 3" xfId="2909" xr:uid="{7E376D40-B50E-48C8-B3B1-810154A19381}"/>
    <cellStyle name="Normal 4 4 4" xfId="2910" xr:uid="{DCAAB1C5-FB0F-4254-B310-CA95A701C5D7}"/>
    <cellStyle name="Normal 4 4 5" xfId="3473" xr:uid="{E5DB27F2-C594-4CE9-ACB2-C9B790AD713E}"/>
    <cellStyle name="Normal 4 4 5 2" xfId="5904" xr:uid="{0ADC0A3E-0C9A-4200-B99B-888B83C76EDF}"/>
    <cellStyle name="Normal 4 4 5 2 2" xfId="11346" xr:uid="{4D7EEE92-152D-4CCB-8806-1E8182572190}"/>
    <cellStyle name="Normal 4 4 5 3" xfId="8962" xr:uid="{1280847B-B336-4CC0-ACD8-7A774323D884}"/>
    <cellStyle name="Normal 4 4 6" xfId="2906" xr:uid="{E2C7CB83-B21F-4295-8FF8-083C485DC889}"/>
    <cellStyle name="Normal 4 4 7" xfId="5448" xr:uid="{4231B2E9-D291-4768-827D-DF2AE52F4B07}"/>
    <cellStyle name="Normal 4 4 7 2" xfId="10894" xr:uid="{92740648-37F1-42AE-864F-341EE81D3854}"/>
    <cellStyle name="Normal 4 4 8" xfId="8517" xr:uid="{150D0125-C108-411B-9853-E86EB29F46DA}"/>
    <cellStyle name="Normal 4 4_2014 CLEAResult Invoices" xfId="2911" xr:uid="{81D1D588-2535-4449-8FB5-5CDA0A6EB4C1}"/>
    <cellStyle name="Normal 4 5" xfId="1865" xr:uid="{9C81DC54-3D7C-4327-8DD3-FC74F91E0527}"/>
    <cellStyle name="Normal 4 5 2" xfId="3474" xr:uid="{0E665484-34F7-49CE-A2F4-4F93E1C545C3}"/>
    <cellStyle name="Normal 4 5 2 2" xfId="5905" xr:uid="{B7BE2259-9C03-4647-8112-476E315EEDF3}"/>
    <cellStyle name="Normal 4 5 2 2 2" xfId="11347" xr:uid="{87E5CB7D-B328-4A04-B26F-83FBB8F87CB0}"/>
    <cellStyle name="Normal 4 5 2 3" xfId="8963" xr:uid="{D254FEAC-2479-4BA2-87A3-3DF48B9EB80F}"/>
    <cellStyle name="Normal 4 5 3" xfId="2912" xr:uid="{17DC4B2D-C6FA-45D5-9145-E63B5F4623CD}"/>
    <cellStyle name="Normal 4 5 4" xfId="5449" xr:uid="{DD283B03-6FE2-4829-BFF4-B54D31661CC4}"/>
    <cellStyle name="Normal 4 5 4 2" xfId="10895" xr:uid="{B65AC156-0E62-4C02-8917-F600851A003B}"/>
    <cellStyle name="Normal 4 5 5" xfId="8518" xr:uid="{4DA133CA-4FE5-4739-8B42-2CB2A569AC31}"/>
    <cellStyle name="Normal 4 6" xfId="1866" xr:uid="{69B91B1E-BAD2-469B-A000-B415162FBD20}"/>
    <cellStyle name="Normal 4 6 2" xfId="3475" xr:uid="{D3463E24-5FA2-4F26-B009-EA79F76E0BD0}"/>
    <cellStyle name="Normal 4 6 2 2" xfId="5906" xr:uid="{F75C8D5E-5C4C-4FB4-BA52-35CF4186863B}"/>
    <cellStyle name="Normal 4 6 2 2 2" xfId="11348" xr:uid="{92663887-FD93-4EF8-B25A-AEA50B477E74}"/>
    <cellStyle name="Normal 4 6 2 3" xfId="8964" xr:uid="{70CE075E-145C-444E-911B-8B291AE8ECC7}"/>
    <cellStyle name="Normal 4 6 3" xfId="2913" xr:uid="{F240D6B4-850E-4615-971E-0261997EC518}"/>
    <cellStyle name="Normal 4 6 4" xfId="5450" xr:uid="{8430AFE6-6A52-46FD-9071-364CA201EF1D}"/>
    <cellStyle name="Normal 4 6 4 2" xfId="10896" xr:uid="{95B69409-BCED-42C1-A060-D6AB65777EA1}"/>
    <cellStyle name="Normal 4 6 5" xfId="8519" xr:uid="{E696244E-CECC-4AA7-8DD0-83A15A7177E6}"/>
    <cellStyle name="Normal 4 7" xfId="1867" xr:uid="{E793F5CE-1586-41E7-ABF7-7F66E7994F16}"/>
    <cellStyle name="Normal 4 7 2" xfId="3476" xr:uid="{26B12EA8-6472-4A2A-84FA-0748072928F7}"/>
    <cellStyle name="Normal 4 7 2 2" xfId="5907" xr:uid="{A65D3266-0CCB-4486-BDA3-981E94347AF1}"/>
    <cellStyle name="Normal 4 7 2 2 2" xfId="11349" xr:uid="{D7E382EE-174A-477C-A14F-1A33F7F4339D}"/>
    <cellStyle name="Normal 4 7 2 3" xfId="8965" xr:uid="{E859C9E8-E4BC-4475-891A-A37D83999194}"/>
    <cellStyle name="Normal 4 7 3" xfId="2914" xr:uid="{41B8998C-BE7B-4409-961D-6C709129537C}"/>
    <cellStyle name="Normal 4 7 4" xfId="5451" xr:uid="{0DA8264D-E942-4F91-A0AD-26BFCA93CA09}"/>
    <cellStyle name="Normal 4 7 4 2" xfId="10897" xr:uid="{A9CD56FE-DC1B-4426-BF5F-65C8BF1E9F59}"/>
    <cellStyle name="Normal 4 7 5" xfId="8520" xr:uid="{209A8114-06A6-46B6-A4F1-5BEFF5AE4EFD}"/>
    <cellStyle name="Normal 4 8" xfId="1868" xr:uid="{E51D2DC1-75FD-414A-9515-E18D6D96A076}"/>
    <cellStyle name="Normal 4 8 2" xfId="5452" xr:uid="{41691576-4DCE-4671-B340-4A30C74B608F}"/>
    <cellStyle name="Normal 4 8 2 2" xfId="10898" xr:uid="{295001C0-CF5F-443A-9556-A932E0A006C8}"/>
    <cellStyle name="Normal 4 8 3" xfId="8521" xr:uid="{47BEF220-E389-4A33-A874-3682A1FC0698}"/>
    <cellStyle name="Normal 4 9" xfId="3469" xr:uid="{0CDE162B-ED0F-4AC1-A0D8-22A68EC54BF9}"/>
    <cellStyle name="Normal 40" xfId="2915" xr:uid="{83CC32FA-6145-400D-9958-2AA911DFAB01}"/>
    <cellStyle name="Normal 41" xfId="2916" xr:uid="{62003BF8-31E4-46F3-953A-9FBD7BF2DDDF}"/>
    <cellStyle name="Normal 42" xfId="2917" xr:uid="{B13EC152-B203-4A95-9083-8B4CB32347BE}"/>
    <cellStyle name="Normal 43" xfId="2918" xr:uid="{1C9A934D-FF4B-48F9-A81A-80D22492016C}"/>
    <cellStyle name="Normal 44" xfId="2919" xr:uid="{C0BFD0D4-9087-4BEB-9270-700B1ABE0DCA}"/>
    <cellStyle name="Normal 45" xfId="2920" xr:uid="{15D7C559-4F56-41D5-8A7A-4C0FBAD7711C}"/>
    <cellStyle name="Normal 46" xfId="2921" xr:uid="{09AD67B0-7D25-4B8A-A341-8EB239074E2A}"/>
    <cellStyle name="Normal 47" xfId="2922" xr:uid="{E4E13C45-2709-404A-8A0E-2783FE9C078F}"/>
    <cellStyle name="Normal 48" xfId="2923" xr:uid="{AD66D404-42B0-479F-9522-2CD30C1B3B93}"/>
    <cellStyle name="Normal 49" xfId="2924" xr:uid="{4F11821C-911A-4A3B-B565-B08D99C61D8D}"/>
    <cellStyle name="Normal 5" xfId="103" xr:uid="{698B467A-BAF4-4014-86F2-1F55D451CFEB}"/>
    <cellStyle name="Normal 5 10" xfId="2926" xr:uid="{E5793EC7-9271-4BE7-9439-3B0E3E1A8504}"/>
    <cellStyle name="Normal 5 10 2" xfId="5635" xr:uid="{68DB46CD-A33B-4107-93EC-2E5DCEC9E759}"/>
    <cellStyle name="Normal 5 10 2 2" xfId="11081" xr:uid="{FC4E33B8-25D6-4E6F-B2AA-3ADC1C6FDF2A}"/>
    <cellStyle name="Normal 5 10 3" xfId="8700" xr:uid="{46C699E9-0AEA-4B80-858A-25C69F84E413}"/>
    <cellStyle name="Normal 5 11" xfId="3477" xr:uid="{88AAFE33-5223-4BC0-98B6-8325F48E5950}"/>
    <cellStyle name="Normal 5 12" xfId="2925" xr:uid="{8A02A536-3197-42D6-8333-AB17DF87BE2C}"/>
    <cellStyle name="Normal 5 13" xfId="1869" xr:uid="{9B67D96B-4D6F-44D9-83FC-4992AB5083D7}"/>
    <cellStyle name="Normal 5 14" xfId="3557" xr:uid="{65D4E36C-6B72-4CA5-BC00-8CC84215B94A}"/>
    <cellStyle name="Normal 5 2" xfId="222" xr:uid="{C9FCD96E-30AB-473D-B3EC-05EBAD1ECDCB}"/>
    <cellStyle name="Normal 5 2 2" xfId="223" xr:uid="{2E533FD8-5BAD-42A4-B364-D1679A4D1209}"/>
    <cellStyle name="Normal 5 2 2 2" xfId="2928" xr:uid="{D1C06152-13A2-4BAF-86C2-794CC8F66D85}"/>
    <cellStyle name="Normal 5 2 2 3" xfId="4114" xr:uid="{1D838EAC-C0EF-4C5F-9C05-A63B96712226}"/>
    <cellStyle name="Normal 5 2 2 3 2" xfId="9564" xr:uid="{6C4F87C8-3169-4893-A601-58DF3AC2D63B}"/>
    <cellStyle name="Normal 5 2 2 4" xfId="7181" xr:uid="{CF0A099B-3627-450D-A947-FB1CCD840BD5}"/>
    <cellStyle name="Normal 5 2 3" xfId="2929" xr:uid="{C78FE51D-67E6-4260-A77A-4AD7842BC310}"/>
    <cellStyle name="Normal 5 2 3 2" xfId="5636" xr:uid="{A833F479-A4BF-4583-9022-BC40A4CB6208}"/>
    <cellStyle name="Normal 5 2 3 2 2" xfId="11082" xr:uid="{66C738BF-BF53-4B69-93D5-F4B3B5E9E2EB}"/>
    <cellStyle name="Normal 5 2 3 3" xfId="8701" xr:uid="{D63A545E-4065-49AE-96EB-614C80114D22}"/>
    <cellStyle name="Normal 5 2 4" xfId="2927" xr:uid="{AFBDD4DC-7114-4B8E-B9BA-470B51900AAA}"/>
    <cellStyle name="Normal 5 3" xfId="224" xr:uid="{8D5C0510-FA9D-414D-A3EB-32B4C9C5D325}"/>
    <cellStyle name="Normal 5 3 2" xfId="225" xr:uid="{1C34D8B3-F582-47BC-B0E0-86169F5BEB4E}"/>
    <cellStyle name="Normal 5 3 2 2" xfId="2932" xr:uid="{5C514F17-8216-4006-90CB-A62C3C8D0624}"/>
    <cellStyle name="Normal 5 3 2 2 2" xfId="2933" xr:uid="{54D2A5E0-1630-4936-B224-B37FB008EAD2}"/>
    <cellStyle name="Normal 5 3 2 3" xfId="2934" xr:uid="{992F53BE-A831-409F-8604-9FE2B4AF7347}"/>
    <cellStyle name="Normal 5 3 2 4" xfId="2931" xr:uid="{745851F7-949A-49C5-B253-83C2A3098EA8}"/>
    <cellStyle name="Normal 5 3 2 5" xfId="4116" xr:uid="{22BF633A-E633-4314-99C1-C81BE8AE222B}"/>
    <cellStyle name="Normal 5 3 2 5 2" xfId="9566" xr:uid="{9CE43E5B-3F98-40C3-9463-6AF2BA3C1180}"/>
    <cellStyle name="Normal 5 3 2 6" xfId="7183" xr:uid="{E998CF6C-CB55-4D8C-AAD6-AFA1C2BCE09F}"/>
    <cellStyle name="Normal 5 3 3" xfId="2935" xr:uid="{A1ADD652-23D6-48C3-BC3C-62A25F8DD64F}"/>
    <cellStyle name="Normal 5 3 4" xfId="2936" xr:uid="{07A804C6-2450-4811-8CDC-2D5BFEC183DE}"/>
    <cellStyle name="Normal 5 3 5" xfId="3478" xr:uid="{3B4DF65D-A57A-40BA-AC83-3A3410E90725}"/>
    <cellStyle name="Normal 5 3 5 2" xfId="5908" xr:uid="{5E452F36-B6F2-4045-B74F-ABCECCAF584E}"/>
    <cellStyle name="Normal 5 3 5 2 2" xfId="11350" xr:uid="{21DE3DB3-C274-4865-A135-F186FB3670C4}"/>
    <cellStyle name="Normal 5 3 5 3" xfId="8966" xr:uid="{8F88A36A-1594-4B89-8C17-3C50B5D64537}"/>
    <cellStyle name="Normal 5 3 6" xfId="2930" xr:uid="{950EECB5-D0FA-4591-BFF0-CC0796B26A1E}"/>
    <cellStyle name="Normal 5 3 7" xfId="4115" xr:uid="{B0AA47AF-78B3-4B1A-AC26-1F91D4908853}"/>
    <cellStyle name="Normal 5 3 7 2" xfId="9565" xr:uid="{ACA868BB-3DEB-4D97-8CA3-7CEEC7190DBD}"/>
    <cellStyle name="Normal 5 3 8" xfId="7182" xr:uid="{E8EAEB71-B9E5-432C-A197-3384B59A334D}"/>
    <cellStyle name="Normal 5 3_2014 CLEAResult Invoices" xfId="2937" xr:uid="{9341893F-1F8D-4931-AE7B-5406CECE4E3F}"/>
    <cellStyle name="Normal 5 4" xfId="1870" xr:uid="{722AFAFD-AD9B-486E-A6A4-3006839D0953}"/>
    <cellStyle name="Normal 5 4 2" xfId="2938" xr:uid="{3597F2D2-DD35-4036-9550-4890C829E1C2}"/>
    <cellStyle name="Normal 5 4 3" xfId="5453" xr:uid="{962F0CF1-FD85-41FC-A5E7-98262281363D}"/>
    <cellStyle name="Normal 5 4 3 2" xfId="10899" xr:uid="{361D598B-3F46-4A15-B809-2FCBA85DBCC7}"/>
    <cellStyle name="Normal 5 4 4" xfId="8522" xr:uid="{4F2191AC-D58A-4B95-B71C-1DD501720234}"/>
    <cellStyle name="Normal 5 5" xfId="1871" xr:uid="{A0397638-61F6-4460-84F1-FC892BE32C37}"/>
    <cellStyle name="Normal 5 5 2" xfId="2939" xr:uid="{B4A6DDB9-5D92-46CF-85B9-FCF045833E23}"/>
    <cellStyle name="Normal 5 5 3" xfId="5454" xr:uid="{3DDE3C3B-1492-48A3-93D1-7B9EB2DEF5B2}"/>
    <cellStyle name="Normal 5 5 3 2" xfId="10900" xr:uid="{8DDF3281-8F48-41C7-845E-5A9A1A7AAF15}"/>
    <cellStyle name="Normal 5 5 4" xfId="8523" xr:uid="{75EA6820-4A98-4B06-9C0F-EE6B35569EB8}"/>
    <cellStyle name="Normal 5 6" xfId="1872" xr:uid="{AF79B480-1D3C-4253-879D-728033EB6233}"/>
    <cellStyle name="Normal 5 6 2" xfId="2940" xr:uid="{48538B84-1263-4706-B584-9AD1F38D69F1}"/>
    <cellStyle name="Normal 5 6 3" xfId="5455" xr:uid="{D0968B82-1607-4DEF-A951-B6BB7C20A3E7}"/>
    <cellStyle name="Normal 5 6 3 2" xfId="10901" xr:uid="{5F8193EA-B49E-4EB2-AD23-66E3F8B4CDD7}"/>
    <cellStyle name="Normal 5 6 4" xfId="8524" xr:uid="{4802E616-634D-4BA7-B84B-EF63F61EADC8}"/>
    <cellStyle name="Normal 5 7" xfId="1873" xr:uid="{07B513DF-980A-46EC-BCA2-93AF7B2F2F28}"/>
    <cellStyle name="Normal 5 7 2" xfId="5456" xr:uid="{22BE89D8-8425-4DA6-B432-1C850A43C2B0}"/>
    <cellStyle name="Normal 5 7 2 2" xfId="10902" xr:uid="{3A7ABB8B-0BC6-4D27-BAA6-6D6B5DEF9DED}"/>
    <cellStyle name="Normal 5 7 3" xfId="8525" xr:uid="{91FC4FBD-468D-49CF-94FF-A13679D3DF25}"/>
    <cellStyle name="Normal 5 8" xfId="1874" xr:uid="{D4AB67CE-387F-4F97-95AC-5B6AF9B79C57}"/>
    <cellStyle name="Normal 5 8 2" xfId="5457" xr:uid="{B74A0C73-971B-4A93-B2EC-A7EB27FA0FB5}"/>
    <cellStyle name="Normal 5 8 2 2" xfId="10903" xr:uid="{FD558EEB-8097-4E9B-87D2-3E595FCC5ECE}"/>
    <cellStyle name="Normal 5 8 3" xfId="8526" xr:uid="{066DECF4-8CCA-488D-B57D-4AEA0FCD3877}"/>
    <cellStyle name="Normal 5 9" xfId="1875" xr:uid="{82765E43-4640-4B54-A79B-77A2DFCEC510}"/>
    <cellStyle name="Normal 5 9 2" xfId="5458" xr:uid="{353D04B9-D92A-494E-99BA-E85646EDEE97}"/>
    <cellStyle name="Normal 5 9 2 2" xfId="10904" xr:uid="{098DA59F-B260-46CF-A096-277DE51E2994}"/>
    <cellStyle name="Normal 5 9 3" xfId="8527" xr:uid="{9B871C74-1FC6-492B-85EC-6ECBFB6D5976}"/>
    <cellStyle name="Normal 50" xfId="2941" xr:uid="{D7C7E5DF-1CD4-40D0-A02C-C63EDB826AA1}"/>
    <cellStyle name="Normal 51" xfId="2942" xr:uid="{3D97B1E0-4F40-4591-A037-209B1CAC006B}"/>
    <cellStyle name="Normal 52" xfId="2943" xr:uid="{92E2B89B-2B9B-4DEC-A834-DB297596EDAA}"/>
    <cellStyle name="Normal 53" xfId="2944" xr:uid="{8612562A-C0CA-46E2-9F83-FE4213088339}"/>
    <cellStyle name="Normal 54" xfId="2945" xr:uid="{EE5C79CA-3485-46E2-AD1F-23CA5B66B2FD}"/>
    <cellStyle name="Normal 55" xfId="305" xr:uid="{E7201394-BDC7-4D5E-BF62-AB8CB08E8AC0}"/>
    <cellStyle name="Normal 55 2" xfId="2946" xr:uid="{B63FDA52-4812-4BBF-83D0-E68C26FDA4CD}"/>
    <cellStyle name="Normal 55 3" xfId="4164" xr:uid="{0C64DB02-3F50-47BE-A7C3-D0E61591DFB1}"/>
    <cellStyle name="Normal 55 3 2" xfId="9614" xr:uid="{8E3C1A5D-C6AB-4BEE-81A0-991E4D6E648D}"/>
    <cellStyle name="Normal 55 4" xfId="7234" xr:uid="{E71371E4-405D-4585-AC39-08102DFDD7BF}"/>
    <cellStyle name="Normal 56" xfId="2947" xr:uid="{4EF5E0F2-3AC3-489F-9A0A-72EA60F038F8}"/>
    <cellStyle name="Normal 57" xfId="2948" xr:uid="{D7B66396-8E97-4307-999B-43883313B763}"/>
    <cellStyle name="Normal 58" xfId="2949" xr:uid="{9D6441D8-73FE-416A-8CBA-3533F1237DA8}"/>
    <cellStyle name="Normal 58 2" xfId="5640" xr:uid="{17C017F3-4104-4D59-84DC-76EA70CACE4A}"/>
    <cellStyle name="Normal 58 2 2" xfId="11086" xr:uid="{99CA4C96-199F-4A0B-BD0D-F6907906F409}"/>
    <cellStyle name="Normal 58 3" xfId="8705" xr:uid="{7CE5224D-DADB-4C63-B86B-C06BCD53CE4C}"/>
    <cellStyle name="Normal 59" xfId="2950" xr:uid="{236DC570-C993-4885-9B2C-C2150204C053}"/>
    <cellStyle name="Normal 59 2" xfId="5641" xr:uid="{C4425289-FBB0-4046-A795-18AF7B55F25B}"/>
    <cellStyle name="Normal 59 2 2" xfId="11087" xr:uid="{68232B48-9804-4C09-9816-CF01BE57C458}"/>
    <cellStyle name="Normal 59 3" xfId="8706" xr:uid="{2942C554-9E17-4EBD-BCDD-DF69FE500362}"/>
    <cellStyle name="Normal 6" xfId="226" xr:uid="{2B11B9C4-6483-4F70-A722-17773E9A5D39}"/>
    <cellStyle name="Normal 6 10" xfId="1876" xr:uid="{97C8C131-3FC5-4B32-A833-D8C749761C47}"/>
    <cellStyle name="Normal 6 2" xfId="227" xr:uid="{87E0AB11-0037-4A39-B509-323490807F65}"/>
    <cellStyle name="Normal 6 2 2" xfId="2952" xr:uid="{BB69646D-A8D2-4610-90AD-6503534C09A0}"/>
    <cellStyle name="Normal 6 2 2 2" xfId="2953" xr:uid="{1CBE546A-9444-46C6-B22F-532479777A02}"/>
    <cellStyle name="Normal 6 2 3" xfId="3479" xr:uid="{38514AB7-5141-48F0-84AB-367186809FDB}"/>
    <cellStyle name="Normal 6 2 3 2" xfId="5909" xr:uid="{A9E69CAB-42A5-4BD3-A87D-143EB80064A9}"/>
    <cellStyle name="Normal 6 2 3 2 2" xfId="11351" xr:uid="{2EAB1D14-9077-4AE8-9F60-67DAB34F6C48}"/>
    <cellStyle name="Normal 6 2 3 3" xfId="8967" xr:uid="{E8231170-7D1B-4CCC-90ED-FC9C69B1216A}"/>
    <cellStyle name="Normal 6 2 4" xfId="2951" xr:uid="{E3ECE21C-3CC1-4226-814D-C9D66F2B097E}"/>
    <cellStyle name="Normal 6 2 5" xfId="4117" xr:uid="{607AED92-DE03-4ED0-83F3-D87A34942E47}"/>
    <cellStyle name="Normal 6 2 5 2" xfId="9567" xr:uid="{AAE201A4-1502-4A16-B774-7C68D7CE764E}"/>
    <cellStyle name="Normal 6 2 6" xfId="7184" xr:uid="{7EAA5CF5-1243-4A0A-BB78-009D23316488}"/>
    <cellStyle name="Normal 6 3" xfId="1877" xr:uid="{6E57DCCE-A725-401E-A7C4-6EC53F0410D7}"/>
    <cellStyle name="Normal 6 3 2" xfId="3480" xr:uid="{2A83A3F9-12C1-4D22-8100-AC03F52BBE1B}"/>
    <cellStyle name="Normal 6 3 2 2" xfId="5910" xr:uid="{8F44BBB1-C4F1-49F3-92C4-B204CD5F5D8D}"/>
    <cellStyle name="Normal 6 3 2 2 2" xfId="11352" xr:uid="{AD0F933D-CE63-45E9-AACA-E62DB8D541B9}"/>
    <cellStyle name="Normal 6 3 2 3" xfId="8968" xr:uid="{3507C1A2-C3C1-4AFD-8E02-A5A5A31D864F}"/>
    <cellStyle name="Normal 6 3 3" xfId="2954" xr:uid="{6DEED763-61E0-401A-BCD3-8C54C7F2992D}"/>
    <cellStyle name="Normal 6 3 4" xfId="5459" xr:uid="{83D70579-A2E4-4350-AF61-AC8DE3A9E697}"/>
    <cellStyle name="Normal 6 3 4 2" xfId="10905" xr:uid="{7DB65827-E2D0-4F05-B6FD-011C598C93F2}"/>
    <cellStyle name="Normal 6 3 5" xfId="8528" xr:uid="{9C6EA32B-39D6-4F0D-B41B-0C9FA5BF9BBE}"/>
    <cellStyle name="Normal 6 4" xfId="1878" xr:uid="{EABE486C-0D3D-40E2-8207-A644591A03A0}"/>
    <cellStyle name="Normal 6 4 2" xfId="3481" xr:uid="{E2E14B46-41B1-47A8-A10F-3D9BF6FCBBFE}"/>
    <cellStyle name="Normal 6 4 2 2" xfId="5911" xr:uid="{ED9A9FD0-1C4B-4C5E-9A18-B15F3A831DF2}"/>
    <cellStyle name="Normal 6 4 2 2 2" xfId="11353" xr:uid="{F4E7B188-9205-4091-9251-A841A6D85894}"/>
    <cellStyle name="Normal 6 4 2 3" xfId="8969" xr:uid="{7CE505F8-AFA3-4B56-93BA-F08DB8B88B90}"/>
    <cellStyle name="Normal 6 4 3" xfId="2955" xr:uid="{6D84DED5-9BE3-4483-B10A-8B29FE805DDE}"/>
    <cellStyle name="Normal 6 4 4" xfId="5460" xr:uid="{F3BF7A6B-FE7E-49A1-9155-8E9C4FFC8B96}"/>
    <cellStyle name="Normal 6 4 4 2" xfId="10906" xr:uid="{2E9C4300-BBE7-4079-93B2-21BB34103BB9}"/>
    <cellStyle name="Normal 6 4 5" xfId="8529" xr:uid="{7DCC2CB6-358C-4301-BAEB-B1D4FDCF4C3E}"/>
    <cellStyle name="Normal 6 5" xfId="1879" xr:uid="{D099D1A4-669B-44FB-9452-0C22FBA0E6B9}"/>
    <cellStyle name="Normal 6 5 2" xfId="3482" xr:uid="{7B811C60-8A9D-4613-8759-F1F4C2D5BA8C}"/>
    <cellStyle name="Normal 6 5 2 2" xfId="5912" xr:uid="{10D5BA49-27DF-4DFA-9E72-3E77F49D069A}"/>
    <cellStyle name="Normal 6 5 2 2 2" xfId="11354" xr:uid="{D3EB276F-2BA6-4F4A-97DD-B4577F8E3BA6}"/>
    <cellStyle name="Normal 6 5 2 3" xfId="8970" xr:uid="{1D399563-68BE-460B-8B5E-326CF5DF3FBA}"/>
    <cellStyle name="Normal 6 5 3" xfId="2956" xr:uid="{4AFE03DE-A45F-49EF-8F39-578510C750AB}"/>
    <cellStyle name="Normal 6 5 4" xfId="5461" xr:uid="{895C4416-B71B-44C6-93B2-E9C567E42980}"/>
    <cellStyle name="Normal 6 5 4 2" xfId="10907" xr:uid="{B4727AB5-2410-47D4-A6F5-C78556ADF840}"/>
    <cellStyle name="Normal 6 5 5" xfId="8530" xr:uid="{9F5B272C-3DD8-4738-8D96-99E1304F3B46}"/>
    <cellStyle name="Normal 6 6" xfId="1880" xr:uid="{C16399A3-233F-421D-84B4-C723CB07298B}"/>
    <cellStyle name="Normal 6 6 2" xfId="3483" xr:uid="{F0860236-1F4F-4246-B2FF-CF6FB5917F5E}"/>
    <cellStyle name="Normal 6 6 2 2" xfId="5913" xr:uid="{56542039-24D0-4F23-80F6-01F7DCD861ED}"/>
    <cellStyle name="Normal 6 6 2 2 2" xfId="11355" xr:uid="{0ADE1380-8381-4668-8A9F-954B81EBC549}"/>
    <cellStyle name="Normal 6 6 2 3" xfId="8971" xr:uid="{39D70E19-637D-4091-9D23-1775F798F727}"/>
    <cellStyle name="Normal 6 6 3" xfId="2957" xr:uid="{7931C4C8-6BAA-452B-A00E-40C9F2255AC2}"/>
    <cellStyle name="Normal 6 6 4" xfId="5462" xr:uid="{2C2CA713-287A-4EBC-875E-67ECF8CB263C}"/>
    <cellStyle name="Normal 6 6 4 2" xfId="10908" xr:uid="{CBC58495-E1F6-42BE-8680-73FEC81678B2}"/>
    <cellStyle name="Normal 6 6 5" xfId="8531" xr:uid="{644CCE88-478A-465F-9A8D-69F9B47630B1}"/>
    <cellStyle name="Normal 6 7" xfId="1881" xr:uid="{E59FC134-BE8C-47E8-99B2-0189AD86352C}"/>
    <cellStyle name="Normal 6 7 2" xfId="5463" xr:uid="{985ED741-1C43-43F9-8BAE-906A911906B9}"/>
    <cellStyle name="Normal 6 7 2 2" xfId="10909" xr:uid="{4E3F6EDD-7FF8-455E-AB02-8E241342A3FA}"/>
    <cellStyle name="Normal 6 7 3" xfId="8532" xr:uid="{2E457E5A-0736-4AB6-943C-3BEC50B7E49B}"/>
    <cellStyle name="Normal 6 8" xfId="1882" xr:uid="{29E81C15-8DD0-4EA7-AB39-B40B1BDD6F93}"/>
    <cellStyle name="Normal 6 8 2" xfId="5464" xr:uid="{760A5495-9B4F-448A-9AB6-DF835F738DE1}"/>
    <cellStyle name="Normal 6 8 2 2" xfId="10910" xr:uid="{4B060992-26B3-4F3B-960F-689E1876ADB5}"/>
    <cellStyle name="Normal 6 8 3" xfId="8533" xr:uid="{8C442231-217B-4249-B4EC-42989AE96432}"/>
    <cellStyle name="Normal 6 9" xfId="1883" xr:uid="{830BE650-EEB6-46A6-94B9-30660103B1A3}"/>
    <cellStyle name="Normal 6_2014 CLEAResult Invoices" xfId="2958" xr:uid="{64E557B7-5CD8-4A91-BB85-15595F0A751F}"/>
    <cellStyle name="Normal 60" xfId="316" xr:uid="{E9C0004C-70BF-45EC-A95F-C47F67C421BD}"/>
    <cellStyle name="Normal 60 2" xfId="334" xr:uid="{26B81129-6A0A-4337-B0AC-4AA059A610D6}"/>
    <cellStyle name="Normal 60 2 2" xfId="4176" xr:uid="{2AD36632-7729-403D-9FDD-633C6FB8B501}"/>
    <cellStyle name="Normal 60 2 2 2" xfId="9626" xr:uid="{CEB84E66-7A95-479A-B7F4-E6D66F1B7B34}"/>
    <cellStyle name="Normal 60 2 3" xfId="7248" xr:uid="{1F674826-1652-4F6F-BCF2-0E7CA6E5E9EE}"/>
    <cellStyle name="Normal 60 3" xfId="2959" xr:uid="{4B4FA52F-310F-4B9F-807A-A54EFE74784D}"/>
    <cellStyle name="Normal 60 4" xfId="4169" xr:uid="{45E87BD5-57A0-4F72-A5B0-D4952272CEF4}"/>
    <cellStyle name="Normal 60 4 2" xfId="9619" xr:uid="{DD72337F-55B7-4C9D-9D5E-B923B33BCB28}"/>
    <cellStyle name="Normal 60 5" xfId="7239" xr:uid="{5CC30AE5-273F-4A2C-B234-986176D1596B}"/>
    <cellStyle name="Normal 61" xfId="322" xr:uid="{6628DDD5-7CBC-4D9C-B27A-CEE3D5BAFC8D}"/>
    <cellStyle name="Normal 61 2" xfId="2960" xr:uid="{92CB0348-5B00-41F8-9D50-838FDFD308BE}"/>
    <cellStyle name="Normal 62" xfId="315" xr:uid="{1530D70A-6515-4CF9-BD44-FCACCD93C1E7}"/>
    <cellStyle name="Normal 62 2" xfId="2961" xr:uid="{871908B2-73D3-4C47-8FAA-FE507E46A35E}"/>
    <cellStyle name="Normal 62 3" xfId="4168" xr:uid="{130DB19D-38ED-4FCF-A1BA-BD80169BC1CE}"/>
    <cellStyle name="Normal 62 3 2" xfId="9618" xr:uid="{478998C0-82CC-4152-95CB-D5272AF2F7AF}"/>
    <cellStyle name="Normal 62 4" xfId="7238" xr:uid="{3EF7ED7B-CD6C-4EAA-A883-0647D522916B}"/>
    <cellStyle name="Normal 63" xfId="2962" xr:uid="{0BFEB995-9DC9-4C1E-854B-5D4D0CC393B9}"/>
    <cellStyle name="Normal 64" xfId="2963" xr:uid="{45139878-9571-4A73-9F8F-1A3DB4761DEF}"/>
    <cellStyle name="Normal 65" xfId="2964" xr:uid="{AE082472-69CD-4147-B742-D6098ABEA2E1}"/>
    <cellStyle name="Normal 66" xfId="2965" xr:uid="{55E43233-56FC-4BE7-8E40-74568DEB5761}"/>
    <cellStyle name="Normal 67" xfId="2966" xr:uid="{73A33F9D-387B-474B-B989-4496DA1D7CB3}"/>
    <cellStyle name="Normal 68" xfId="2967" xr:uid="{CBCA8ED6-1CA0-44B8-AD73-0207D2C04FFA}"/>
    <cellStyle name="Normal 69" xfId="2968" xr:uid="{78B99C29-48EC-41CE-BBCB-BAD752B028B8}"/>
    <cellStyle name="Normal 7" xfId="228" xr:uid="{3C6ADEE6-3E2E-4414-89BD-835BF97CECFD}"/>
    <cellStyle name="Normal 7 2" xfId="2970" xr:uid="{CD8E4477-873F-408D-80CB-A7A2E52868C4}"/>
    <cellStyle name="Normal 7 3" xfId="2971" xr:uid="{04CB3C01-9EB3-40C8-849A-F677FF703E95}"/>
    <cellStyle name="Normal 7 3 2" xfId="2972" xr:uid="{FAEB2658-71EA-464E-9899-0DEB8AF9A3EC}"/>
    <cellStyle name="Normal 7 4" xfId="2973" xr:uid="{19E5CA42-0023-4AEA-97BD-BF3812003A0A}"/>
    <cellStyle name="Normal 7 5" xfId="2974" xr:uid="{F804A3F5-C1D5-42C7-AD19-503C56488014}"/>
    <cellStyle name="Normal 7 6" xfId="2975" xr:uid="{473D8F30-9F68-4424-AD0E-BB66D14943A5}"/>
    <cellStyle name="Normal 7 6 2" xfId="5647" xr:uid="{03048F25-E25B-491B-8722-2DCA2CC688ED}"/>
    <cellStyle name="Normal 7 6 2 2" xfId="11089" xr:uid="{7F8BAECF-E4EE-4E8E-8A72-1738F2F8F65C}"/>
    <cellStyle name="Normal 7 6 3" xfId="8708" xr:uid="{E5C9685E-AF97-4BC3-867A-0FAC5F6882C8}"/>
    <cellStyle name="Normal 7 7" xfId="2969" xr:uid="{6A1FEDF6-8D02-4510-BE88-1FA1854A96A0}"/>
    <cellStyle name="Normal 7 8" xfId="329" xr:uid="{DA07F595-8403-4FA3-9C37-E8773C7F0057}"/>
    <cellStyle name="Normal 7 8 2" xfId="3554" xr:uid="{06596AFA-EA74-4EA6-A0FB-03A8BA11A7B1}"/>
    <cellStyle name="Normal 7 9" xfId="1884" xr:uid="{06F8F988-6F48-4ED6-B909-1DE43C5C8A39}"/>
    <cellStyle name="Normal 70" xfId="2976" xr:uid="{3A27BA2C-77E5-43AB-AE00-6844B75B8FB4}"/>
    <cellStyle name="Normal 71" xfId="2977" xr:uid="{52EBCCE6-C91B-4F3F-B6CA-D4837264EFFF}"/>
    <cellStyle name="Normal 72" xfId="2978" xr:uid="{66986ED8-08A5-4235-8959-2F9697BAE807}"/>
    <cellStyle name="Normal 73" xfId="2979" xr:uid="{BDEEC5EE-E454-4510-9622-49733A369818}"/>
    <cellStyle name="Normal 74" xfId="2980" xr:uid="{649269EE-91AC-49A3-96ED-850A46A37A97}"/>
    <cellStyle name="Normal 75" xfId="2981" xr:uid="{490C2113-4536-494E-A955-3C1B604DD054}"/>
    <cellStyle name="Normal 76" xfId="2982" xr:uid="{F219AC15-1319-4014-BD48-73D197FFC960}"/>
    <cellStyle name="Normal 77" xfId="2983" xr:uid="{6AF96C4F-5F9D-4A75-8A4C-B8B98F99D4CD}"/>
    <cellStyle name="Normal 78" xfId="2984" xr:uid="{DD9C513A-E22F-4C95-BB02-DA8947006D0A}"/>
    <cellStyle name="Normal 79" xfId="2985" xr:uid="{129514BD-3039-41C8-8278-7217E96B9BB9}"/>
    <cellStyle name="Normal 8" xfId="229" xr:uid="{12D12A1E-013B-4016-8BE4-90469AE0235F}"/>
    <cellStyle name="Normal 8 2" xfId="2986" xr:uid="{76CE8606-7822-4A9B-8C2D-120CB7B03AA1}"/>
    <cellStyle name="Normal 8 2 2" xfId="2987" xr:uid="{3EEAFA5E-4396-4812-A17E-70C6E916F9BB}"/>
    <cellStyle name="Normal 8 3" xfId="2988" xr:uid="{6FC8FA57-1F3B-4047-872E-FB30DB16F546}"/>
    <cellStyle name="Normal 8 4" xfId="2989" xr:uid="{D0B43A33-4685-4253-83F3-8DA60EF88BDF}"/>
    <cellStyle name="Normal 8 5" xfId="2990" xr:uid="{AABD7BA3-C865-4E58-92C3-320C91DB8298}"/>
    <cellStyle name="Normal 8 6" xfId="2991" xr:uid="{B21A5969-E12C-48BA-BED0-61265715D976}"/>
    <cellStyle name="Normal 8 6 2" xfId="5648" xr:uid="{1A9A55AF-3E13-417A-9D54-4EE4E6F14B39}"/>
    <cellStyle name="Normal 8 6 2 2" xfId="11090" xr:uid="{1FBCF6BB-3A69-4A3E-B280-28B8241BC83A}"/>
    <cellStyle name="Normal 8 6 3" xfId="8722" xr:uid="{7553A94B-6D8B-4095-B783-7EB2945A43C5}"/>
    <cellStyle name="Normal 8 7" xfId="1885" xr:uid="{7D45D4AF-D0A8-490A-A72A-39857314D336}"/>
    <cellStyle name="Normal 80" xfId="2992" xr:uid="{E945B83F-C78B-465C-B622-FE977B1722F2}"/>
    <cellStyle name="Normal 80 2" xfId="5649" xr:uid="{4D1EC973-DA19-4FC5-8733-964C491F2810}"/>
    <cellStyle name="Normal 80 2 2" xfId="11091" xr:uid="{27427A6F-F1B6-43FF-8303-93DF73113465}"/>
    <cellStyle name="Normal 80 3" xfId="8723" xr:uid="{2E92DBF7-698B-48EF-A3A8-1CB0ECC720A8}"/>
    <cellStyle name="Normal 81" xfId="2993" xr:uid="{1B25C3A4-AB17-4F27-8E68-601440DE32CB}"/>
    <cellStyle name="Normal 81 2" xfId="5650" xr:uid="{61E0FBFA-56DC-4D0F-86F9-EF100EB748BD}"/>
    <cellStyle name="Normal 81 2 2" xfId="11092" xr:uid="{EDA79233-0E9C-4E66-B0E8-78FE6489D59C}"/>
    <cellStyle name="Normal 81 3" xfId="8724" xr:uid="{D0EAE5A7-B129-4EDF-B679-7AC43802DC3C}"/>
    <cellStyle name="Normal 82" xfId="2054" xr:uid="{D82CFE6B-0FD4-4F1F-9F7A-3BD41942B7C1}"/>
    <cellStyle name="Normal 82 2" xfId="5592" xr:uid="{0199130E-A476-41B8-A917-AB7B780E0588}"/>
    <cellStyle name="Normal 82 2 2" xfId="11038" xr:uid="{BD77D18C-5E2C-494B-8C31-EDC99DE615A3}"/>
    <cellStyle name="Normal 82 3" xfId="8658" xr:uid="{0404C5FE-BD13-44F2-926D-086BAAA5E7BF}"/>
    <cellStyle name="Normal 83" xfId="2046" xr:uid="{47A46B53-5D9A-464F-9E45-EB902D15F138}"/>
    <cellStyle name="Normal 83 2" xfId="3552" xr:uid="{2FAA2FC0-A104-4454-A825-856C89773174}"/>
    <cellStyle name="Normal 84" xfId="4031" xr:uid="{E9229803-7F1E-4800-B577-EC50F868A86D}"/>
    <cellStyle name="Normal 85" xfId="4032" xr:uid="{88713CF0-1F63-44CD-8C3A-C953C9F4D692}"/>
    <cellStyle name="Normal 86" xfId="4033" xr:uid="{31B22C57-CF72-474C-87D5-5AF57C73F38F}"/>
    <cellStyle name="Normal 87" xfId="4036" xr:uid="{95B061F1-FAB8-492B-8054-2F07C07F11C5}"/>
    <cellStyle name="Normal 88" xfId="4035" xr:uid="{29289F87-0B8C-4495-BFF0-91599795B56F}"/>
    <cellStyle name="Normal 89" xfId="4037" xr:uid="{CDFA1C01-5AAE-4680-92F0-1C7943560ED9}"/>
    <cellStyle name="Normal 9" xfId="230" xr:uid="{906F7BA6-DAB6-4DC7-A643-D24AF9119554}"/>
    <cellStyle name="Normal 9 2" xfId="1886" xr:uid="{99B24207-2A01-4468-AD28-B1CF69B739A2}"/>
    <cellStyle name="Normal 9 2 2" xfId="2994" xr:uid="{CB1F097B-F298-4630-9B71-17DCF814E455}"/>
    <cellStyle name="Normal 9 2 3" xfId="2995" xr:uid="{D1989737-CA95-4EA7-9C20-0B1A5E84984D}"/>
    <cellStyle name="Normal 9 2 3 2" xfId="5651" xr:uid="{1F67DA73-B2F4-4ED5-84A5-BC43281919BF}"/>
    <cellStyle name="Normal 9 2 3 2 2" xfId="11093" xr:uid="{2D281059-ED35-4FD2-8F14-4BE2040E9268}"/>
    <cellStyle name="Normal 9 2 3 3" xfId="8726" xr:uid="{ED5B0186-A159-4906-9550-075D9D48DED7}"/>
    <cellStyle name="Normal 9 3" xfId="2996" xr:uid="{C3C45F2A-625B-43A5-968E-6EE33CDF485B}"/>
    <cellStyle name="Normal 9 4" xfId="2997" xr:uid="{D2E70637-9A59-4EC4-8EB3-EB8E15CEEB3C}"/>
    <cellStyle name="Normal 90" xfId="4034" xr:uid="{EA6AC1DA-5363-43BB-A3BE-F33B9F55F7B8}"/>
    <cellStyle name="Normal 91" xfId="4038" xr:uid="{9C031FC7-AC69-4EB7-A71E-9DB8E93ECE9B}"/>
    <cellStyle name="Normal 92" xfId="4041" xr:uid="{0F80B069-E7E0-4AE3-A48A-3405F8A103DA}"/>
    <cellStyle name="Normal 93" xfId="4042" xr:uid="{14F09C46-3251-4ACE-9FC0-E1D68EF98622}"/>
    <cellStyle name="Normal 94" xfId="4043" xr:uid="{8638BC47-411B-4707-81E1-764D5CCD10BD}"/>
    <cellStyle name="Normal 95" xfId="4044" xr:uid="{734FFB06-D89B-495C-B317-092AA2286081}"/>
    <cellStyle name="Normal 96" xfId="4047" xr:uid="{EE81C886-CAEC-46EF-AB18-52CA31025F3B}"/>
    <cellStyle name="Normal 97" xfId="4049" xr:uid="{586E2872-F473-4866-BF49-F8872512CC45}"/>
    <cellStyle name="Normal 98" xfId="4048" xr:uid="{76C957C3-ACDE-43D8-AF5B-3F82265EBE62}"/>
    <cellStyle name="Normal 99" xfId="4050" xr:uid="{A04C4FA2-39E4-4EAF-8015-B4CB1257B45A}"/>
    <cellStyle name="Note" xfId="65" builtinId="10" customBuiltin="1"/>
    <cellStyle name="Note 10" xfId="4057" xr:uid="{04EB56A6-0540-402E-A68E-9CD7C06B2812}"/>
    <cellStyle name="Note 11" xfId="350" xr:uid="{5CF76E65-E611-4B04-B15E-6B15144FD0FA}"/>
    <cellStyle name="Note 11 2" xfId="7250" xr:uid="{BDC9A59F-6C81-4AC7-95D7-7102CFA8FBD9}"/>
    <cellStyle name="Note 12" xfId="4181" xr:uid="{D5F5BF28-6636-4EDE-82D7-9CEB49AAE51F}"/>
    <cellStyle name="Note 12 2" xfId="9628" xr:uid="{505A8200-B560-49F4-BC50-A498C679938C}"/>
    <cellStyle name="Note 13" xfId="7115" xr:uid="{E9FFC577-51D9-4FA2-838B-5D34BED3103E}"/>
    <cellStyle name="Note 14" xfId="7229" xr:uid="{A153F470-C415-477A-B2E8-8AB54621C81E}"/>
    <cellStyle name="Note 2" xfId="66" xr:uid="{00000000-0005-0000-0000-000049000000}"/>
    <cellStyle name="Note 2 10" xfId="231" xr:uid="{DD3BAAAC-D5A4-439B-A797-6CB5227DCD33}"/>
    <cellStyle name="Note 2 10 2" xfId="7187" xr:uid="{FC37128B-7A9D-409E-A22B-AD34D219A5F3}"/>
    <cellStyle name="Note 2 11" xfId="4118" xr:uid="{4BE48DC4-0FCF-4D29-959E-428CF8526D37}"/>
    <cellStyle name="Note 2 11 2" xfId="9568" xr:uid="{D8CB9F62-E8E5-4089-B36E-465DF7178884}"/>
    <cellStyle name="Note 2 12" xfId="7116" xr:uid="{55A3C6CA-67A2-4447-8523-9173E0F4FC0E}"/>
    <cellStyle name="Note 2 13" xfId="8891" xr:uid="{67CBB66B-EBEC-4AFC-B2E4-C771BCCD0539}"/>
    <cellStyle name="Note 2 2" xfId="1887" xr:uid="{96A6650A-B08F-487B-926A-0F57901DEDEF}"/>
    <cellStyle name="Note 2 2 10" xfId="5467" xr:uid="{34812ED1-78C4-48B0-A829-67269BB4677A}"/>
    <cellStyle name="Note 2 2 10 2" xfId="10913" xr:uid="{0A56EFB0-EFBA-4549-9023-690334651B89}"/>
    <cellStyle name="Note 2 2 11" xfId="8537" xr:uid="{D801B7C6-EBA7-4A22-B9D2-AEFF4170DD71}"/>
    <cellStyle name="Note 2 2 2" xfId="1888" xr:uid="{AEDC2928-18F3-4CA4-BA6F-ED2BE85D964B}"/>
    <cellStyle name="Note 2 2 2 2" xfId="1889" xr:uid="{E999E6F8-FD5E-447D-BA92-38B2AF18322D}"/>
    <cellStyle name="Note 2 2 2 2 2" xfId="1890" xr:uid="{FB4F195C-6994-46AA-857A-5BEADAD596ED}"/>
    <cellStyle name="Note 2 2 2 2 2 2" xfId="5470" xr:uid="{CCF1B199-6A40-443E-88F5-1F3D5BE1F9A8}"/>
    <cellStyle name="Note 2 2 2 2 2 2 2" xfId="10916" xr:uid="{4F7321A3-2A7F-49A3-A413-BCB9B2F2C805}"/>
    <cellStyle name="Note 2 2 2 2 2 3" xfId="8540" xr:uid="{5E307DB5-968B-4316-B44D-44EA2B16CFC9}"/>
    <cellStyle name="Note 2 2 2 2 3" xfId="3486" xr:uid="{00D12E91-6756-43F8-8AF9-DBDC33219017}"/>
    <cellStyle name="Note 2 2 2 2 3 2" xfId="5916" xr:uid="{99F6A8ED-FFF3-4BCA-9548-E205EA5590BE}"/>
    <cellStyle name="Note 2 2 2 2 3 2 2" xfId="11358" xr:uid="{1DC937B6-F4F1-408E-B3B5-83A1DD850DE4}"/>
    <cellStyle name="Note 2 2 2 2 3 3" xfId="8974" xr:uid="{FB266D0C-AA06-4DE4-9278-F96E16C2CBD7}"/>
    <cellStyle name="Note 2 2 2 2 4" xfId="3001" xr:uid="{4DDB4E3B-BD6D-43F2-A98A-88528BBDDDD5}"/>
    <cellStyle name="Note 2 2 2 2 5" xfId="5469" xr:uid="{A58A49FC-DA34-4D26-805C-C067EA686DFA}"/>
    <cellStyle name="Note 2 2 2 2 5 2" xfId="10915" xr:uid="{A3B4EC7B-5BBE-4292-AFBA-94D438B29E9E}"/>
    <cellStyle name="Note 2 2 2 2 6" xfId="8539" xr:uid="{80AD17B1-2650-4FC4-ACE2-DDF91BF71C00}"/>
    <cellStyle name="Note 2 2 2 3" xfId="1891" xr:uid="{5CB7228B-F108-41B7-8F84-5BD18C8EC4A7}"/>
    <cellStyle name="Note 2 2 2 3 2" xfId="3487" xr:uid="{CFEABB3D-EA51-4569-B29B-57AE7C0B91D2}"/>
    <cellStyle name="Note 2 2 2 3 2 2" xfId="5917" xr:uid="{BF86D3C6-7E67-4ABD-BCC4-21A7800D5DC9}"/>
    <cellStyle name="Note 2 2 2 3 2 2 2" xfId="11359" xr:uid="{69CA359E-B153-453E-84CE-A8FA8F0615A8}"/>
    <cellStyle name="Note 2 2 2 3 2 3" xfId="8975" xr:uid="{4DB025D9-BE18-4C46-837C-4361842AA149}"/>
    <cellStyle name="Note 2 2 2 3 3" xfId="3002" xr:uid="{4AF517EA-0B0A-47E2-BC20-B8D08F8D8D2B}"/>
    <cellStyle name="Note 2 2 2 3 4" xfId="5471" xr:uid="{0E341963-7844-4920-AEBF-D5DF6EBD85A3}"/>
    <cellStyle name="Note 2 2 2 3 4 2" xfId="10917" xr:uid="{A64C72F0-9E11-4DF8-8FAA-3F7D5FED3B05}"/>
    <cellStyle name="Note 2 2 2 3 5" xfId="8541" xr:uid="{96D63E13-9E48-4889-A754-371272DFBFF4}"/>
    <cellStyle name="Note 2 2 2 4" xfId="3003" xr:uid="{0C649BE2-A5BF-4118-AF12-B50BFB7EAC7C}"/>
    <cellStyle name="Note 2 2 2 5" xfId="3485" xr:uid="{254271BE-7442-414B-9D96-3FF007FF4D29}"/>
    <cellStyle name="Note 2 2 2 5 2" xfId="5915" xr:uid="{92EC1DD1-F0A0-4C0C-A4E2-7540DE5F842A}"/>
    <cellStyle name="Note 2 2 2 5 2 2" xfId="11357" xr:uid="{A6D5EF97-48F9-49ED-A29F-6D4B32220C67}"/>
    <cellStyle name="Note 2 2 2 5 3" xfId="8973" xr:uid="{BD41555F-6FA0-44ED-90CD-AB93701D175E}"/>
    <cellStyle name="Note 2 2 2 6" xfId="3000" xr:uid="{7CFC7505-880E-4AC5-98E7-971B8E42F9C9}"/>
    <cellStyle name="Note 2 2 2 6 2" xfId="5654" xr:uid="{90743D00-E822-4CD9-820A-E34A2F105A3A}"/>
    <cellStyle name="Note 2 2 2 6 2 2" xfId="11096" xr:uid="{D0FAC7DE-0008-49A0-AD28-481EC9985355}"/>
    <cellStyle name="Note 2 2 2 6 2 3" xfId="13302" xr:uid="{110AF4C8-FB0F-4855-BD58-57366D5E2C81}"/>
    <cellStyle name="Note 2 2 2 6 3" xfId="6475" xr:uid="{3265168B-F81B-4F63-9288-C9A1D3D7634F}"/>
    <cellStyle name="Note 2 2 2 6 3 2" xfId="11917" xr:uid="{509362B6-1843-45FB-9AC6-D27E9CFEABB3}"/>
    <cellStyle name="Note 2 2 2 6 3 3" xfId="13985" xr:uid="{9EFF8885-9004-4C2C-9DFB-F3BD79E4068A}"/>
    <cellStyle name="Note 2 2 2 6 4" xfId="8730" xr:uid="{4E3538D0-0494-470E-BA52-6AA67C086318}"/>
    <cellStyle name="Note 2 2 2 6 5" xfId="12588" xr:uid="{92ACDD8B-9351-49A3-B693-9DFD3831E1A1}"/>
    <cellStyle name="Note 2 2 2 7" xfId="5468" xr:uid="{3BEE349A-EB33-4212-8267-272BF06807C6}"/>
    <cellStyle name="Note 2 2 2 7 2" xfId="10914" xr:uid="{B95ECB2F-F01D-4237-9CBB-9B9814FB05F9}"/>
    <cellStyle name="Note 2 2 2 8" xfId="8538" xr:uid="{54E92916-D3F7-41CB-938C-0B24613E9CF0}"/>
    <cellStyle name="Note 2 2 3" xfId="1892" xr:uid="{EBCF1F99-E246-415E-AD43-2F7E6A376EB0}"/>
    <cellStyle name="Note 2 2 3 2" xfId="1893" xr:uid="{EB5C31CB-34A1-4066-9B96-34C560946BA9}"/>
    <cellStyle name="Note 2 2 3 2 2" xfId="5473" xr:uid="{657EA090-C7B6-478C-A592-CAEAC6BC4366}"/>
    <cellStyle name="Note 2 2 3 2 2 2" xfId="10919" xr:uid="{BF100592-BDCB-4BCA-97A2-C377378FD3F1}"/>
    <cellStyle name="Note 2 2 3 2 3" xfId="8543" xr:uid="{FBECC292-D2DC-43BF-BC1F-DC4F0D7B1097}"/>
    <cellStyle name="Note 2 2 3 3" xfId="3488" xr:uid="{24542B4B-ED73-40E8-92CF-8B2DD6B3FFB7}"/>
    <cellStyle name="Note 2 2 3 3 2" xfId="5918" xr:uid="{C42CFDC9-7EF8-4122-AF31-E3F44AE016BA}"/>
    <cellStyle name="Note 2 2 3 3 2 2" xfId="11360" xr:uid="{9B8F001B-BC3B-44E0-8347-8EAB87837AC2}"/>
    <cellStyle name="Note 2 2 3 3 3" xfId="8976" xr:uid="{8426A5CF-E4A2-48EF-8AF0-A76BA9D6DA8A}"/>
    <cellStyle name="Note 2 2 3 4" xfId="3004" xr:uid="{11F27797-7E91-4574-B151-B0E42DD7493E}"/>
    <cellStyle name="Note 2 2 3 4 2" xfId="5655" xr:uid="{B075561E-651E-4EAD-919B-59D13D9F5C42}"/>
    <cellStyle name="Note 2 2 3 4 2 2" xfId="11097" xr:uid="{53099C8D-4AA6-4945-AE04-2BC7DCB20C5A}"/>
    <cellStyle name="Note 2 2 3 4 2 3" xfId="13303" xr:uid="{82EF7E28-505B-4533-BF36-5B032621F0DA}"/>
    <cellStyle name="Note 2 2 3 4 3" xfId="6476" xr:uid="{403CBD57-7A30-4D25-A178-D307EFE31F85}"/>
    <cellStyle name="Note 2 2 3 4 3 2" xfId="11918" xr:uid="{3A0067DE-38C8-4684-B2FE-81BA984F8C5B}"/>
    <cellStyle name="Note 2 2 3 4 3 3" xfId="13986" xr:uid="{3E7373C6-26C6-4A66-AAF7-E57D8AAECD40}"/>
    <cellStyle name="Note 2 2 3 4 4" xfId="8731" xr:uid="{B3B9E3DA-B5B8-4029-9BCD-14A898832949}"/>
    <cellStyle name="Note 2 2 3 4 5" xfId="12589" xr:uid="{68D8FE3A-730C-47CF-81FF-5E4A8964738B}"/>
    <cellStyle name="Note 2 2 3 5" xfId="5472" xr:uid="{1A562F3C-023C-41A4-A86E-FD60AC302346}"/>
    <cellStyle name="Note 2 2 3 5 2" xfId="10918" xr:uid="{13004300-F3D9-4FFA-89C0-EC9813725D6B}"/>
    <cellStyle name="Note 2 2 3 6" xfId="8542" xr:uid="{B7FC44A6-90D1-4C43-BA49-7A4A5D287919}"/>
    <cellStyle name="Note 2 2 4" xfId="1894" xr:uid="{DA40DD7E-0248-489C-BBC6-AD4D4DD5D0C7}"/>
    <cellStyle name="Note 2 2 4 2" xfId="3489" xr:uid="{01938733-C65C-4840-BB0B-F1EA7E6FB197}"/>
    <cellStyle name="Note 2 2 4 2 2" xfId="5919" xr:uid="{75FF6503-8EDC-4290-BC21-FDCCF9B0CFED}"/>
    <cellStyle name="Note 2 2 4 2 2 2" xfId="11361" xr:uid="{F1BDEA33-B606-42BE-A3C1-5A98384489F9}"/>
    <cellStyle name="Note 2 2 4 2 3" xfId="8977" xr:uid="{1F2E0BCE-5AF1-44CD-9165-DE59CC6D7149}"/>
    <cellStyle name="Note 2 2 4 3" xfId="3005" xr:uid="{CCA2725D-DA72-40A3-83A7-190EA0081F95}"/>
    <cellStyle name="Note 2 2 4 4" xfId="5474" xr:uid="{F4418009-F420-42A8-B4A8-6E882FF1CF23}"/>
    <cellStyle name="Note 2 2 4 4 2" xfId="10920" xr:uid="{2B3936F9-E947-409E-9D2B-78C0D9E8B1A0}"/>
    <cellStyle name="Note 2 2 4 5" xfId="8544" xr:uid="{5ACB69D0-C4F1-4696-B980-ACD5BF8E11DF}"/>
    <cellStyle name="Note 2 2 5" xfId="1895" xr:uid="{AD354D04-F648-4A85-BBED-856587990BBD}"/>
    <cellStyle name="Note 2 2 5 2" xfId="3490" xr:uid="{612DBB6E-3992-44D2-A99C-678B35AC63EE}"/>
    <cellStyle name="Note 2 2 5 2 2" xfId="5920" xr:uid="{6B59D6F7-2C35-4EDD-B72D-56E037A2A8B9}"/>
    <cellStyle name="Note 2 2 5 2 2 2" xfId="11362" xr:uid="{2F7D6EE5-1D66-4C53-8517-C657B7ACED82}"/>
    <cellStyle name="Note 2 2 5 2 2 3" xfId="13489" xr:uid="{8D8DB5A6-B96E-4966-AF9D-29AE50087EA9}"/>
    <cellStyle name="Note 2 2 5 2 3" xfId="6646" xr:uid="{880243EF-02D2-4CCC-A595-E828238CE2FD}"/>
    <cellStyle name="Note 2 2 5 2 3 2" xfId="12088" xr:uid="{CFBEB53E-413B-41B6-9F5D-DA493366438B}"/>
    <cellStyle name="Note 2 2 5 2 3 3" xfId="14151" xr:uid="{3BE9FC8E-5027-4459-BABF-44BA5731D198}"/>
    <cellStyle name="Note 2 2 5 2 4" xfId="8978" xr:uid="{1A964683-0F2B-4908-8A39-274B2F8949BC}"/>
    <cellStyle name="Note 2 2 5 2 5" xfId="12754" xr:uid="{08CFFD8E-C0F4-4BF8-9277-BF0654EEDC71}"/>
    <cellStyle name="Note 2 2 5 3" xfId="3006" xr:uid="{C38DFAF2-7ACF-47BF-9A2F-F61C43CFE023}"/>
    <cellStyle name="Note 2 2 5 4" xfId="5475" xr:uid="{B2A05A52-3BF2-4861-8E89-E27A39836060}"/>
    <cellStyle name="Note 2 2 5 4 2" xfId="10921" xr:uid="{9273A52C-0E59-470B-9AE0-077612B65990}"/>
    <cellStyle name="Note 2 2 5 4 3" xfId="13259" xr:uid="{8E30D1B1-F96A-4827-B370-547231573833}"/>
    <cellStyle name="Note 2 2 5 5" xfId="6444" xr:uid="{E92D7291-AF4F-42AE-AE63-285E5182C72F}"/>
    <cellStyle name="Note 2 2 5 5 2" xfId="11886" xr:uid="{FF94B997-9877-42E3-B0BA-337D0278C8E1}"/>
    <cellStyle name="Note 2 2 5 5 3" xfId="13954" xr:uid="{AC94AD23-0F4E-40F3-B055-7D40193A6778}"/>
    <cellStyle name="Note 2 2 5 6" xfId="8545" xr:uid="{58484F5F-B842-4150-B2F1-13B38FFBACF2}"/>
    <cellStyle name="Note 2 2 5 7" xfId="12557" xr:uid="{2947EDB4-DD69-4F15-A171-8B870F82B275}"/>
    <cellStyle name="Note 2 2 6" xfId="3007" xr:uid="{9567BDF4-4D3C-451D-A365-BDFBE9351754}"/>
    <cellStyle name="Note 2 2 6 2" xfId="5656" xr:uid="{2192BC57-9420-4345-ABE6-06A26E1E6D78}"/>
    <cellStyle name="Note 2 2 6 2 2" xfId="11098" xr:uid="{4C77EA0C-E549-454B-974E-4F4D2776EE2A}"/>
    <cellStyle name="Note 2 2 6 2 3" xfId="13304" xr:uid="{FC2EA23D-0498-4CB6-834C-C1983BA2A03A}"/>
    <cellStyle name="Note 2 2 6 3" xfId="6477" xr:uid="{A8162DED-1BA6-4E85-9986-E4C79607DDB1}"/>
    <cellStyle name="Note 2 2 6 3 2" xfId="11919" xr:uid="{90E9CF62-7FF1-4DFA-92FB-682B4873CB85}"/>
    <cellStyle name="Note 2 2 6 3 3" xfId="13987" xr:uid="{6E03D617-8C6F-462F-A3D9-3C9F0F3428AD}"/>
    <cellStyle name="Note 2 2 6 4" xfId="8732" xr:uid="{EB319254-F455-48CF-AA8F-BF392EBE2E76}"/>
    <cellStyle name="Note 2 2 6 5" xfId="12590" xr:uid="{46D7EE22-F20B-4D08-95F1-C33FCF3C7586}"/>
    <cellStyle name="Note 2 2 7" xfId="3008" xr:uid="{5A32DCE7-A43E-48D9-9F57-B91A88540960}"/>
    <cellStyle name="Note 2 2 7 2" xfId="5657" xr:uid="{A74A48D1-EEE0-47F0-BE34-3BED587F8ACD}"/>
    <cellStyle name="Note 2 2 7 2 2" xfId="11099" xr:uid="{02F8948E-B48F-41B3-A663-FBA1D70E51C5}"/>
    <cellStyle name="Note 2 2 7 2 3" xfId="13305" xr:uid="{A9792C87-28EC-425A-8ABF-52B826C10A5D}"/>
    <cellStyle name="Note 2 2 7 3" xfId="6478" xr:uid="{7240B897-42F5-4A59-9310-D9A553FE2910}"/>
    <cellStyle name="Note 2 2 7 3 2" xfId="11920" xr:uid="{50F500DA-1414-4312-8C92-998CA7D30DBC}"/>
    <cellStyle name="Note 2 2 7 3 3" xfId="13988" xr:uid="{14D56AD5-A260-4AD4-BD3B-AC1D6588961D}"/>
    <cellStyle name="Note 2 2 7 4" xfId="8733" xr:uid="{25CD5134-B8E8-4426-BD55-0EC0ED99468F}"/>
    <cellStyle name="Note 2 2 7 5" xfId="12591" xr:uid="{79B996FC-420D-4A82-A245-DC01BA8D6464}"/>
    <cellStyle name="Note 2 2 8" xfId="3484" xr:uid="{064FE680-C301-4313-80CA-D052B0C7AFFC}"/>
    <cellStyle name="Note 2 2 8 2" xfId="5914" xr:uid="{8E7B1F4D-493A-46FE-AF21-69E1E0B52F40}"/>
    <cellStyle name="Note 2 2 8 2 2" xfId="11356" xr:uid="{F9313F09-5698-4CA3-BED6-819E594683A9}"/>
    <cellStyle name="Note 2 2 8 3" xfId="8972" xr:uid="{CD01EA93-56E6-4316-9184-681291057B25}"/>
    <cellStyle name="Note 2 2 9" xfId="2999" xr:uid="{22DE5ED0-B8D2-4EB8-89BA-91AF96D72E79}"/>
    <cellStyle name="Note 2 2 9 2" xfId="5653" xr:uid="{5EA95951-EADE-4AB8-A19A-F212195CA714}"/>
    <cellStyle name="Note 2 2 9 2 2" xfId="11095" xr:uid="{F8F5D771-6E49-4984-B35F-079A763DDDB8}"/>
    <cellStyle name="Note 2 2 9 2 3" xfId="13301" xr:uid="{E7CD05AC-C1E3-46F9-9DDC-74F6D9929ECC}"/>
    <cellStyle name="Note 2 2 9 3" xfId="6474" xr:uid="{92EEBB95-DBEC-4FAF-90FE-8FC3F0AF9BDB}"/>
    <cellStyle name="Note 2 2 9 3 2" xfId="11916" xr:uid="{516BC926-E9FC-4191-AFFD-9FF7860D79B1}"/>
    <cellStyle name="Note 2 2 9 3 3" xfId="13984" xr:uid="{B3707222-0ECC-4FAF-A1D2-20DB7C407D54}"/>
    <cellStyle name="Note 2 2 9 4" xfId="8729" xr:uid="{68DC1BD4-A0A7-4207-AEB1-D3F7AB5A4F5E}"/>
    <cellStyle name="Note 2 2 9 5" xfId="12587" xr:uid="{294F4F4A-6036-408F-A398-49D25A70A0A7}"/>
    <cellStyle name="Note 2 2_2014 CLEAResult Invoices" xfId="3009" xr:uid="{2EBAAA23-F03D-4ED2-B53F-C1D36EC80A50}"/>
    <cellStyle name="Note 2 3" xfId="1896" xr:uid="{7B8467E7-ABDA-44FA-BA2C-D56A3F6EE02A}"/>
    <cellStyle name="Note 2 3 2" xfId="1897" xr:uid="{71902970-4E6C-4F2C-A1F8-9D5701150877}"/>
    <cellStyle name="Note 2 3 2 2" xfId="1898" xr:uid="{0E9043BD-7473-4C83-92CB-23FC8E1CFBCB}"/>
    <cellStyle name="Note 2 3 2 2 2" xfId="1899" xr:uid="{8A4238E9-7E91-480E-821C-1905F68F3D02}"/>
    <cellStyle name="Note 2 3 2 2 2 2" xfId="5479" xr:uid="{8459A49C-9420-43A0-B955-92C0B51DE0F1}"/>
    <cellStyle name="Note 2 3 2 2 2 2 2" xfId="10925" xr:uid="{529B614A-BCAF-4FAC-A551-B2B2330CBBC4}"/>
    <cellStyle name="Note 2 3 2 2 2 3" xfId="8549" xr:uid="{A4CBDD0F-253E-4671-891A-638325B76304}"/>
    <cellStyle name="Note 2 3 2 2 3" xfId="3492" xr:uid="{C246E25D-2960-4FE2-A3A5-D7B2BFCE6C01}"/>
    <cellStyle name="Note 2 3 2 2 3 2" xfId="5922" xr:uid="{0ED10EDD-8A70-4316-89F8-99961B9D4CA1}"/>
    <cellStyle name="Note 2 3 2 2 3 2 2" xfId="11364" xr:uid="{E25575D6-25B1-4181-922E-A2A313328851}"/>
    <cellStyle name="Note 2 3 2 2 3 3" xfId="8980" xr:uid="{3F7671E6-0353-4BAB-9A6E-3942A2CF0B94}"/>
    <cellStyle name="Note 2 3 2 2 4" xfId="3011" xr:uid="{E85D660A-6367-4D43-8890-05B32B8A12A3}"/>
    <cellStyle name="Note 2 3 2 2 5" xfId="5478" xr:uid="{DA162E6C-94F6-4915-874A-C76F7D34016C}"/>
    <cellStyle name="Note 2 3 2 2 5 2" xfId="10924" xr:uid="{44700B1B-770E-4D1D-BEDE-05046039158D}"/>
    <cellStyle name="Note 2 3 2 2 6" xfId="8548" xr:uid="{D021BF2B-36DE-415F-8087-6FACD804420C}"/>
    <cellStyle name="Note 2 3 2 3" xfId="1900" xr:uid="{E40F646F-6197-4956-BDC6-17302A1D9901}"/>
    <cellStyle name="Note 2 3 2 3 2" xfId="5480" xr:uid="{E5AE8D56-3E06-4AD6-A8D9-D90867AD8B16}"/>
    <cellStyle name="Note 2 3 2 3 2 2" xfId="10926" xr:uid="{D5B166B9-2F00-46ED-80A3-6A75E20F56C0}"/>
    <cellStyle name="Note 2 3 2 3 3" xfId="8550" xr:uid="{AFBED9CE-95BE-4FAD-A204-9C330B066E1E}"/>
    <cellStyle name="Note 2 3 2 4" xfId="3491" xr:uid="{DC6DAE66-EDF9-4AC8-8E29-FDEC8BCE85BB}"/>
    <cellStyle name="Note 2 3 2 4 2" xfId="5921" xr:uid="{D7E70B5A-443A-4F4A-A668-A7FFC4DB0872}"/>
    <cellStyle name="Note 2 3 2 4 2 2" xfId="11363" xr:uid="{CAE48DDE-6591-4555-8095-C15048C167D8}"/>
    <cellStyle name="Note 2 3 2 4 3" xfId="8979" xr:uid="{241F1E04-618E-42FD-B50B-BF63F44442AC}"/>
    <cellStyle name="Note 2 3 2 5" xfId="3010" xr:uid="{590D594B-89BF-4E48-B9AD-3B55696445CE}"/>
    <cellStyle name="Note 2 3 2 6" xfId="5477" xr:uid="{802608E7-1A8B-4B30-9A4E-F55D98848F48}"/>
    <cellStyle name="Note 2 3 2 6 2" xfId="10923" xr:uid="{C1355139-8C8C-4942-955B-EFB63EDCC4CE}"/>
    <cellStyle name="Note 2 3 2 7" xfId="8547" xr:uid="{E4A97B7E-D402-4DDC-A4D1-18EA57082E7E}"/>
    <cellStyle name="Note 2 3 3" xfId="1901" xr:uid="{D887D375-D499-4079-A6E6-A1910A74BFF2}"/>
    <cellStyle name="Note 2 3 3 2" xfId="1902" xr:uid="{82556457-FCA4-4E9A-8F94-2CB996157CDE}"/>
    <cellStyle name="Note 2 3 3 2 2" xfId="5482" xr:uid="{D6D78C61-F3E4-4201-B658-7A08102224B2}"/>
    <cellStyle name="Note 2 3 3 2 2 2" xfId="10928" xr:uid="{F15AA136-5543-4AF3-874C-6B7DB8386232}"/>
    <cellStyle name="Note 2 3 3 2 3" xfId="8552" xr:uid="{28BDD3FF-7644-46EE-B938-D5815679B8CF}"/>
    <cellStyle name="Note 2 3 3 3" xfId="3493" xr:uid="{7847FE58-50D0-43A2-A67D-18E861930AA1}"/>
    <cellStyle name="Note 2 3 3 3 2" xfId="5923" xr:uid="{66E0C7F3-C0C1-4D29-85D7-602FF7B8FA31}"/>
    <cellStyle name="Note 2 3 3 3 2 2" xfId="11365" xr:uid="{C1DBDDC4-8567-4990-8A95-FCAE912C2E12}"/>
    <cellStyle name="Note 2 3 3 3 3" xfId="8981" xr:uid="{7A3BB9B8-B3A6-46C1-B8C9-0849BADF9E0B}"/>
    <cellStyle name="Note 2 3 3 4" xfId="3012" xr:uid="{D914DA37-A400-41C7-A41C-66251D0C27A0}"/>
    <cellStyle name="Note 2 3 3 4 2" xfId="5658" xr:uid="{8293C1DC-5C56-456D-A0B5-145B21DF2859}"/>
    <cellStyle name="Note 2 3 3 4 2 2" xfId="11100" xr:uid="{A39CA78F-1AFF-472E-810D-0CD6A4BF3547}"/>
    <cellStyle name="Note 2 3 3 4 2 3" xfId="13306" xr:uid="{2FA83BEF-62E6-4A7B-95BC-CD1170CE6911}"/>
    <cellStyle name="Note 2 3 3 4 3" xfId="6479" xr:uid="{4F81A75E-51B1-4B5E-96A9-3A2DA4E373FB}"/>
    <cellStyle name="Note 2 3 3 4 3 2" xfId="11921" xr:uid="{373C2158-9750-4641-8876-E8292ABBAED3}"/>
    <cellStyle name="Note 2 3 3 4 3 3" xfId="13989" xr:uid="{6E73DB2C-6FB9-4CF9-B8E3-1F107D1A675D}"/>
    <cellStyle name="Note 2 3 3 4 4" xfId="8734" xr:uid="{63CBDE73-FCBC-42F8-A8F7-F09C7BC0A953}"/>
    <cellStyle name="Note 2 3 3 4 5" xfId="12592" xr:uid="{A81F2624-89E7-4A37-B5E7-BAD446B88538}"/>
    <cellStyle name="Note 2 3 3 5" xfId="5481" xr:uid="{15832C67-BCA1-4BC6-A4A3-6E9F1EBBEF15}"/>
    <cellStyle name="Note 2 3 3 5 2" xfId="10927" xr:uid="{415F0E0A-7FAA-4CDA-838C-1F692B9AA59B}"/>
    <cellStyle name="Note 2 3 3 6" xfId="8551" xr:uid="{430A9ABB-09CB-4757-B05D-7B8BE4EAA9F0}"/>
    <cellStyle name="Note 2 3 4" xfId="1903" xr:uid="{5139E4F6-DF3A-4A20-A8E2-813821965DEA}"/>
    <cellStyle name="Note 2 3 4 2" xfId="5483" xr:uid="{8845ED21-4E67-49C4-92CF-1972B85279F7}"/>
    <cellStyle name="Note 2 3 4 2 2" xfId="10929" xr:uid="{77F3C54D-1C94-42C0-84C8-8F5D5D396899}"/>
    <cellStyle name="Note 2 3 4 3" xfId="8553" xr:uid="{B8EB77E3-FBE3-4030-81A9-8C1CD800E984}"/>
    <cellStyle name="Note 2 3 5" xfId="5476" xr:uid="{B66FB4CC-7508-427B-B72C-59C4D5C91534}"/>
    <cellStyle name="Note 2 3 5 2" xfId="10922" xr:uid="{887F61BD-0D34-496F-8E46-F540BBA63EF5}"/>
    <cellStyle name="Note 2 3 6" xfId="8546" xr:uid="{0FC68D5F-A599-4EA7-8DCF-BE071C6EB7B8}"/>
    <cellStyle name="Note 2 4" xfId="1904" xr:uid="{17A54A15-5D82-442A-BADD-8E47703953F3}"/>
    <cellStyle name="Note 2 4 2" xfId="1905" xr:uid="{D5A4A975-51B6-48EC-B45F-3F335E59C5E1}"/>
    <cellStyle name="Note 2 4 2 2" xfId="1906" xr:uid="{F5DAFD86-9018-4D0B-BDAC-587FABD47B8D}"/>
    <cellStyle name="Note 2 4 2 2 2" xfId="5486" xr:uid="{7C74A65B-D5DD-4E58-8C55-A5534A739614}"/>
    <cellStyle name="Note 2 4 2 2 2 2" xfId="10932" xr:uid="{7EB2C0D2-7AB4-4799-BFC0-AA109992D2F6}"/>
    <cellStyle name="Note 2 4 2 2 3" xfId="8556" xr:uid="{95ECC4A3-1991-41FE-9557-6557D5CE2982}"/>
    <cellStyle name="Note 2 4 2 3" xfId="3495" xr:uid="{D4A2B096-C444-444D-BB6D-18EA9FC93ADB}"/>
    <cellStyle name="Note 2 4 2 3 2" xfId="5925" xr:uid="{AC242EE3-C8A7-46C9-95E8-DA52CDA1C3C7}"/>
    <cellStyle name="Note 2 4 2 3 2 2" xfId="11367" xr:uid="{934E7DD4-3565-4B67-A659-0FC2E4CEEA6C}"/>
    <cellStyle name="Note 2 4 2 3 3" xfId="8983" xr:uid="{D3DD54C5-A6E3-45EA-935B-093DCD73459A}"/>
    <cellStyle name="Note 2 4 2 4" xfId="3014" xr:uid="{D1805DCF-4C68-4020-B4E5-1EC85878A130}"/>
    <cellStyle name="Note 2 4 2 5" xfId="5485" xr:uid="{A2B5FF61-D46E-4DC3-BA0C-EBDC48C93F80}"/>
    <cellStyle name="Note 2 4 2 5 2" xfId="10931" xr:uid="{A625FCBB-472E-4334-959A-F20D0A10A00B}"/>
    <cellStyle name="Note 2 4 2 6" xfId="8555" xr:uid="{53BB40A1-BD34-4456-ABBE-7104377411F3}"/>
    <cellStyle name="Note 2 4 3" xfId="1907" xr:uid="{5F234A57-44B9-4AA2-9430-DC589836EAF9}"/>
    <cellStyle name="Note 2 4 3 2" xfId="3496" xr:uid="{DF2A6ECA-A390-4D34-9B39-5A31B9095EB3}"/>
    <cellStyle name="Note 2 4 3 2 2" xfId="5926" xr:uid="{AF99E378-1B80-4A00-9D30-1A76E11A6442}"/>
    <cellStyle name="Note 2 4 3 2 2 2" xfId="11368" xr:uid="{00F2D8B2-C7EE-47C9-8907-1ADC5F1E9065}"/>
    <cellStyle name="Note 2 4 3 2 3" xfId="8984" xr:uid="{A981771D-618F-4FA5-947B-E7CAE6910224}"/>
    <cellStyle name="Note 2 4 3 3" xfId="3015" xr:uid="{0FD0D011-EC64-4ADA-995C-794AB998895D}"/>
    <cellStyle name="Note 2 4 3 4" xfId="5487" xr:uid="{8012C006-BD8B-434D-A418-12EDBA6CCCA8}"/>
    <cellStyle name="Note 2 4 3 4 2" xfId="10933" xr:uid="{7509FE11-9643-4622-BB0F-CC27BA5F6464}"/>
    <cellStyle name="Note 2 4 3 5" xfId="8557" xr:uid="{814F79B4-C36D-467F-A606-FC8CFB046022}"/>
    <cellStyle name="Note 2 4 4" xfId="3016" xr:uid="{4AACBF95-3C00-4956-AF85-076D55504859}"/>
    <cellStyle name="Note 2 4 5" xfId="3494" xr:uid="{4083216B-CA27-4475-9D3E-39C3EC75E691}"/>
    <cellStyle name="Note 2 4 5 2" xfId="5924" xr:uid="{7AAE9D70-ED86-4B14-A7B2-DE8B1AFC1676}"/>
    <cellStyle name="Note 2 4 5 2 2" xfId="11366" xr:uid="{A7129B57-ECFD-47D7-AACC-A0715761D818}"/>
    <cellStyle name="Note 2 4 5 3" xfId="8982" xr:uid="{7BD1CD3D-79EC-4F90-B9D5-BBAAE1219CDE}"/>
    <cellStyle name="Note 2 4 6" xfId="3013" xr:uid="{BC9C7A96-AF13-4384-9353-BE3D83478D16}"/>
    <cellStyle name="Note 2 4 6 2" xfId="5659" xr:uid="{2B4CD2B8-E759-497F-98BF-D75C3488B02B}"/>
    <cellStyle name="Note 2 4 6 2 2" xfId="11101" xr:uid="{6BBA7D51-AC2A-4DD3-BD01-29B1010DFC92}"/>
    <cellStyle name="Note 2 4 6 2 3" xfId="13307" xr:uid="{3EC2E661-BE9F-4C14-8DE1-4EE6CA67741A}"/>
    <cellStyle name="Note 2 4 6 3" xfId="6480" xr:uid="{9467F1E1-CF9C-4722-8EE5-816919361F1D}"/>
    <cellStyle name="Note 2 4 6 3 2" xfId="11922" xr:uid="{408F5B16-AB5E-45F6-8590-48E6DFC348EE}"/>
    <cellStyle name="Note 2 4 6 3 3" xfId="13990" xr:uid="{17A433CB-0D20-47ED-B643-9F28F70E9E2F}"/>
    <cellStyle name="Note 2 4 6 4" xfId="8735" xr:uid="{2404EBA0-7282-4B23-841D-39C285F43306}"/>
    <cellStyle name="Note 2 4 6 5" xfId="12593" xr:uid="{967F17A1-0634-4D3D-95EF-364B25B9820A}"/>
    <cellStyle name="Note 2 4 7" xfId="5484" xr:uid="{2D81C4D2-7E9D-43E2-B434-16969FD4981D}"/>
    <cellStyle name="Note 2 4 7 2" xfId="10930" xr:uid="{6B6D8FD8-F8F2-4359-AEBA-977C9C3065D5}"/>
    <cellStyle name="Note 2 4 8" xfId="8554" xr:uid="{B0F96186-B483-4171-BE01-80B9DF45E65D}"/>
    <cellStyle name="Note 2 5" xfId="1908" xr:uid="{405F5786-A202-4F10-9A5A-6C33628D2483}"/>
    <cellStyle name="Note 2 5 2" xfId="1909" xr:uid="{00955340-853F-4A2B-A974-C78BC74D62B3}"/>
    <cellStyle name="Note 2 5 2 2" xfId="3498" xr:uid="{8F840A97-78D6-4778-A7B6-E019CAB3B290}"/>
    <cellStyle name="Note 2 5 2 2 2" xfId="5928" xr:uid="{B6C91981-D60D-4820-BEC9-A88208B91D4A}"/>
    <cellStyle name="Note 2 5 2 2 2 2" xfId="11370" xr:uid="{869D888A-8FA8-4165-A597-3515BA3E8B80}"/>
    <cellStyle name="Note 2 5 2 2 3" xfId="8986" xr:uid="{FB44431E-B436-4E34-BFAF-5BCA2C2A71C5}"/>
    <cellStyle name="Note 2 5 2 3" xfId="3018" xr:uid="{BA309DFB-5C0B-4CD0-A26B-19A5ED20A716}"/>
    <cellStyle name="Note 2 5 2 3 2" xfId="5663" xr:uid="{1F343BCB-EE6D-429F-B87E-25C6F36EE3F6}"/>
    <cellStyle name="Note 2 5 2 3 2 2" xfId="11105" xr:uid="{0F7A0CFF-80F9-4C50-9822-7B13736A67E6}"/>
    <cellStyle name="Note 2 5 2 3 2 3" xfId="13311" xr:uid="{52F23A9E-57D1-4F40-BD35-571747613B5E}"/>
    <cellStyle name="Note 2 5 2 3 3" xfId="6482" xr:uid="{AC1FDBF8-8964-46E1-89E1-41D70690E1DE}"/>
    <cellStyle name="Note 2 5 2 3 3 2" xfId="11924" xr:uid="{368D699D-F1E6-4856-81FB-BDE81A74CA36}"/>
    <cellStyle name="Note 2 5 2 3 3 3" xfId="13992" xr:uid="{C1F7BA44-9B00-4DE3-83B5-90CB8FA16208}"/>
    <cellStyle name="Note 2 5 2 3 4" xfId="8737" xr:uid="{C4B368B1-572F-48D7-A1F4-1B2DEF0385D3}"/>
    <cellStyle name="Note 2 5 2 3 5" xfId="12595" xr:uid="{2EA78D2F-8273-4BC3-9088-B9E650808AAB}"/>
    <cellStyle name="Note 2 5 2 4" xfId="5489" xr:uid="{CD290B47-365B-49C5-A7DA-890FC57DE3C1}"/>
    <cellStyle name="Note 2 5 2 4 2" xfId="10935" xr:uid="{A8AB083D-3429-425D-84AD-8DE12DEDFE2E}"/>
    <cellStyle name="Note 2 5 2 5" xfId="8559" xr:uid="{4E6862D7-EE11-401B-861D-86F9A28572B4}"/>
    <cellStyle name="Note 2 5 3" xfId="3497" xr:uid="{9A09B524-509C-420A-80A1-455AE08D3D10}"/>
    <cellStyle name="Note 2 5 3 2" xfId="5927" xr:uid="{16A9CFD5-5C7D-4CF3-A5D8-6B472B6BC912}"/>
    <cellStyle name="Note 2 5 3 2 2" xfId="11369" xr:uid="{7A16FB55-A1CB-487C-9E1D-4E9BB82E6473}"/>
    <cellStyle name="Note 2 5 3 3" xfId="8985" xr:uid="{EBFE6B36-202A-4ADD-9E8D-99DE43AB1CBF}"/>
    <cellStyle name="Note 2 5 4" xfId="3017" xr:uid="{2C44C30E-83FF-4612-AF55-6923880D2E14}"/>
    <cellStyle name="Note 2 5 4 2" xfId="5662" xr:uid="{71FC9B7B-1F4B-4AC9-B0F9-9E1DBE4F2F74}"/>
    <cellStyle name="Note 2 5 4 2 2" xfId="11104" xr:uid="{3EED6781-4D58-4DA5-A1EC-D1691C922451}"/>
    <cellStyle name="Note 2 5 4 2 3" xfId="13310" xr:uid="{35A8166A-0E4A-4287-B452-5438E486F6B5}"/>
    <cellStyle name="Note 2 5 4 3" xfId="6481" xr:uid="{9D72A0AD-8CA3-49F1-8CBF-2BF65F0B829F}"/>
    <cellStyle name="Note 2 5 4 3 2" xfId="11923" xr:uid="{8E2B3210-C098-4537-AF0F-E910AED8FAB2}"/>
    <cellStyle name="Note 2 5 4 3 3" xfId="13991" xr:uid="{A4EB40BC-E4D8-4F1A-83C5-F30A378F9F0A}"/>
    <cellStyle name="Note 2 5 4 4" xfId="8736" xr:uid="{373C1FDC-E42D-4437-A27F-75B7F9D4D7E5}"/>
    <cellStyle name="Note 2 5 4 5" xfId="12594" xr:uid="{985B6B19-61B9-48D5-AA27-ADD698736369}"/>
    <cellStyle name="Note 2 5 5" xfId="5488" xr:uid="{424C265A-9EC5-4C60-A6AE-2D5A0A0BE100}"/>
    <cellStyle name="Note 2 5 5 2" xfId="10934" xr:uid="{33FF44CE-22BD-460A-A031-BC4459B300ED}"/>
    <cellStyle name="Note 2 5 6" xfId="8558" xr:uid="{EEBDBF56-7BB5-440F-82D3-CCFA600DA327}"/>
    <cellStyle name="Note 2 6" xfId="1910" xr:uid="{ADB36E2B-CD00-44F3-92B2-1D8DF3A01F78}"/>
    <cellStyle name="Note 2 6 2" xfId="3499" xr:uid="{F1FEA0C1-C59C-4126-B078-C3777071CC8E}"/>
    <cellStyle name="Note 2 6 2 2" xfId="5929" xr:uid="{69FB0469-3D78-4677-B192-F3743432398E}"/>
    <cellStyle name="Note 2 6 2 2 2" xfId="11371" xr:uid="{689B06B9-5A45-443C-810B-9543D7AD25F2}"/>
    <cellStyle name="Note 2 6 2 3" xfId="8987" xr:uid="{5341DBDD-46A6-43F2-99AE-0113F979B8F7}"/>
    <cellStyle name="Note 2 6 3" xfId="3019" xr:uid="{6071E29C-55A9-4482-842C-8CDFF9E84603}"/>
    <cellStyle name="Note 2 6 3 2" xfId="5664" xr:uid="{22B600EA-82BC-458B-918C-F7CA62A35878}"/>
    <cellStyle name="Note 2 6 3 2 2" xfId="11106" xr:uid="{5D85FEAE-A795-4E5E-9E47-41929372FCCE}"/>
    <cellStyle name="Note 2 6 3 2 3" xfId="13312" xr:uid="{DF34F87B-BCDB-4A33-BFB6-2637C53752C6}"/>
    <cellStyle name="Note 2 6 3 3" xfId="6483" xr:uid="{41F49118-C509-435F-83A4-9BAEA04AC4F5}"/>
    <cellStyle name="Note 2 6 3 3 2" xfId="11925" xr:uid="{3B8F6A7D-247B-4389-8BE9-11D780AE1BBF}"/>
    <cellStyle name="Note 2 6 3 3 3" xfId="13993" xr:uid="{1AC72F51-44F1-4245-98A2-B0BB76B1DF71}"/>
    <cellStyle name="Note 2 6 3 4" xfId="8738" xr:uid="{B556C493-F787-4E47-B0B6-329E299B275B}"/>
    <cellStyle name="Note 2 6 3 5" xfId="12596" xr:uid="{B903C14F-C51E-49AF-83B5-90587D72DFEF}"/>
    <cellStyle name="Note 2 6 4" xfId="5490" xr:uid="{A75489E1-59BB-4D38-A2CA-E1EABB333C26}"/>
    <cellStyle name="Note 2 6 4 2" xfId="10936" xr:uid="{8307A7DA-476B-4933-B0A7-AA3CE1CBDDC9}"/>
    <cellStyle name="Note 2 6 5" xfId="8560" xr:uid="{CD741475-E409-4E98-94C7-50C175BFBB1F}"/>
    <cellStyle name="Note 2 7" xfId="1911" xr:uid="{81BD9ABA-30E9-423F-B4FE-14670D0EF44A}"/>
    <cellStyle name="Note 2 7 2" xfId="3500" xr:uid="{49784BB9-5951-470E-A733-323E163ADF8F}"/>
    <cellStyle name="Note 2 7 2 2" xfId="5930" xr:uid="{8CB8BA8D-A75F-4C72-96A6-FA5CEC2FA35F}"/>
    <cellStyle name="Note 2 7 2 2 2" xfId="11372" xr:uid="{F192059A-AEA8-4745-A3EE-058AA8439600}"/>
    <cellStyle name="Note 2 7 2 2 3" xfId="13490" xr:uid="{0B09652F-4D3B-44FF-84D7-053EEE23C71D}"/>
    <cellStyle name="Note 2 7 2 3" xfId="6647" xr:uid="{4A9F2D10-CE24-4B7F-A10E-5EEDFC3E3A55}"/>
    <cellStyle name="Note 2 7 2 3 2" xfId="12089" xr:uid="{F9021167-813E-458A-B2DD-5BC176355765}"/>
    <cellStyle name="Note 2 7 2 3 3" xfId="14152" xr:uid="{EC624B63-5D72-4E13-B4E9-04B819379093}"/>
    <cellStyle name="Note 2 7 2 4" xfId="8988" xr:uid="{9F8294E9-9BA7-4EEE-9821-533AD9424496}"/>
    <cellStyle name="Note 2 7 2 5" xfId="12755" xr:uid="{3E902EFC-3271-4D67-A7A2-20F25855C8D7}"/>
    <cellStyle name="Note 2 7 3" xfId="3020" xr:uid="{21D4D5F6-A64F-44A3-8A54-EFB1AEBF6614}"/>
    <cellStyle name="Note 2 7 3 2" xfId="5665" xr:uid="{614183E3-1A83-4677-8021-C2238B93548C}"/>
    <cellStyle name="Note 2 7 3 2 2" xfId="11107" xr:uid="{2103360F-CE93-4E6A-B1B1-F7FEB3CB0F3A}"/>
    <cellStyle name="Note 2 7 3 2 3" xfId="13313" xr:uid="{A1B2428A-3FED-4F30-B274-23900D38D53A}"/>
    <cellStyle name="Note 2 7 3 3" xfId="6484" xr:uid="{EF4AC693-485C-4188-828E-3AAF5DEEDA53}"/>
    <cellStyle name="Note 2 7 3 3 2" xfId="11926" xr:uid="{C2DE0EFA-7FC7-41FA-A63D-4605DE720356}"/>
    <cellStyle name="Note 2 7 3 3 3" xfId="13994" xr:uid="{BF8B89D9-DC21-42B6-ABA1-F18C90F4972E}"/>
    <cellStyle name="Note 2 7 3 4" xfId="8739" xr:uid="{138E721B-456F-4E21-BEA6-25A2481EBC39}"/>
    <cellStyle name="Note 2 7 3 5" xfId="12597" xr:uid="{AE65DCC1-69C3-4703-A7EB-70A8E654B862}"/>
    <cellStyle name="Note 2 7 4" xfId="5491" xr:uid="{184CC15C-338F-448D-B8A6-02801AFD4C9C}"/>
    <cellStyle name="Note 2 7 4 2" xfId="10937" xr:uid="{7E0ABF67-BDF0-4508-B67F-75B51E543B2E}"/>
    <cellStyle name="Note 2 7 4 3" xfId="13260" xr:uid="{4732CEAD-18DA-4022-A22B-45A3D064E542}"/>
    <cellStyle name="Note 2 7 5" xfId="6445" xr:uid="{30FBC5FF-D152-4C43-9D44-E3BADDF5F9B9}"/>
    <cellStyle name="Note 2 7 5 2" xfId="11887" xr:uid="{406A7E22-D34D-44FD-93EC-26FEB5DD1AAF}"/>
    <cellStyle name="Note 2 7 5 3" xfId="13955" xr:uid="{706C3FB8-626E-42A7-BFFE-3EC23D12B7F6}"/>
    <cellStyle name="Note 2 7 6" xfId="8561" xr:uid="{A7556B08-A7D9-4F6D-B84E-B1CE7A41D12F}"/>
    <cellStyle name="Note 2 7 7" xfId="12558" xr:uid="{3801DAE5-9DF8-453E-8D0F-5F9BD31AB75B}"/>
    <cellStyle name="Note 2 8" xfId="3021" xr:uid="{EEB9E84D-05BC-41E5-B1C6-F07BF3E8F0F4}"/>
    <cellStyle name="Note 2 8 2" xfId="5666" xr:uid="{55773FF6-7332-41CB-B0A2-F3B8C0E87507}"/>
    <cellStyle name="Note 2 8 2 2" xfId="11108" xr:uid="{B64CE77A-E95E-443F-8F22-7E2FFA8C9382}"/>
    <cellStyle name="Note 2 8 2 3" xfId="13314" xr:uid="{1D729360-83C1-4F0F-9FD4-ED02C82FA4CA}"/>
    <cellStyle name="Note 2 8 3" xfId="6485" xr:uid="{49A22D25-53F3-4C56-B05F-878139FD9F00}"/>
    <cellStyle name="Note 2 8 3 2" xfId="11927" xr:uid="{C9BCDEE3-D8CD-4B0A-AE03-A1D5220044A2}"/>
    <cellStyle name="Note 2 8 3 3" xfId="13995" xr:uid="{135C760B-BAB9-469B-96AE-CA1C7C7D2F11}"/>
    <cellStyle name="Note 2 8 4" xfId="8740" xr:uid="{114F3F79-5EA7-4DAC-BC0B-01C39D7F1168}"/>
    <cellStyle name="Note 2 8 5" xfId="12598" xr:uid="{335633FC-F982-4560-B6E0-A592A5E8EE68}"/>
    <cellStyle name="Note 2 9" xfId="2998" xr:uid="{62E00A8A-1C12-45C0-B69D-94DB707B6766}"/>
    <cellStyle name="Note 2 9 2" xfId="5652" xr:uid="{B93914CA-C403-41DD-9193-5AA5C2B3E98D}"/>
    <cellStyle name="Note 2 9 2 2" xfId="11094" xr:uid="{C8B9B088-ADED-4C5C-8741-E41D8921E2DE}"/>
    <cellStyle name="Note 2 9 2 3" xfId="13300" xr:uid="{35C75B1D-EF15-49C0-9F42-457E0691F157}"/>
    <cellStyle name="Note 2 9 3" xfId="6473" xr:uid="{CADBBA07-7CBB-4411-8579-91185E4E7EF2}"/>
    <cellStyle name="Note 2 9 3 2" xfId="11915" xr:uid="{8F21D142-E460-4F1C-9524-BD1FABF29592}"/>
    <cellStyle name="Note 2 9 3 3" xfId="13983" xr:uid="{9FAF721E-BE09-49A7-B2D2-A9CFD91A73F1}"/>
    <cellStyle name="Note 2 9 4" xfId="8728" xr:uid="{311C6403-0F74-4611-959F-B9A5F56F0BEE}"/>
    <cellStyle name="Note 2 9 5" xfId="12586" xr:uid="{19286737-9DDF-42B6-B4F7-5D3ADD6A6CDC}"/>
    <cellStyle name="Note 2_2014 CLEAResult Invoices" xfId="3022" xr:uid="{787B4424-6E90-4B99-8257-865E548A0D2A}"/>
    <cellStyle name="Note 3" xfId="1912" xr:uid="{8DFA1D7C-77F1-4245-9D89-78CEBDDA6FDC}"/>
    <cellStyle name="Note 3 10" xfId="3023" xr:uid="{FE7628AC-C0EE-480C-BD61-5DCEB35B1EEB}"/>
    <cellStyle name="Note 3 10 2" xfId="5667" xr:uid="{199EBA79-24DB-48FE-80BA-87DDEA0A1384}"/>
    <cellStyle name="Note 3 10 2 2" xfId="11109" xr:uid="{8201833E-ABB1-4244-9C13-D1A63A74ADD5}"/>
    <cellStyle name="Note 3 10 2 3" xfId="13315" xr:uid="{0B1684C1-5C98-4FE3-81FA-FC81A3F437EA}"/>
    <cellStyle name="Note 3 10 3" xfId="6486" xr:uid="{F60FDCAA-D04D-478F-90AA-216200B6CD8B}"/>
    <cellStyle name="Note 3 10 3 2" xfId="11928" xr:uid="{DEA3B701-39C8-4890-84DA-0B99EA1706BB}"/>
    <cellStyle name="Note 3 10 3 3" xfId="13996" xr:uid="{65B14144-111D-4099-B3E8-6DE1BA32B19F}"/>
    <cellStyle name="Note 3 10 4" xfId="8741" xr:uid="{74DFDC78-44C2-4327-A94B-B7F95E7C0DC2}"/>
    <cellStyle name="Note 3 10 5" xfId="12599" xr:uid="{E097A79A-7F7F-4273-8167-23D9C6E25D43}"/>
    <cellStyle name="Note 3 11" xfId="5492" xr:uid="{E4AF89EF-88E2-40BE-A1CB-1D4FCB15AA21}"/>
    <cellStyle name="Note 3 11 2" xfId="10938" xr:uid="{1D2A610D-67AC-483D-AEE6-8F6A15B5D8F6}"/>
    <cellStyle name="Note 3 12" xfId="8562" xr:uid="{F7215F20-F4D9-4AF5-94C5-5B9B15EF4B75}"/>
    <cellStyle name="Note 3 2" xfId="1913" xr:uid="{87C00855-0F5D-4C4D-B633-BA738C63B9AF}"/>
    <cellStyle name="Note 3 2 2" xfId="1914" xr:uid="{966C7D48-3D22-4C11-959B-073C9EB7CB8C}"/>
    <cellStyle name="Note 3 2 2 2" xfId="1915" xr:uid="{0BFF918C-A5CD-46DD-91E8-36A42C890F3E}"/>
    <cellStyle name="Note 3 2 2 2 2" xfId="1916" xr:uid="{09ADABDD-A161-43B3-A51C-26F48ECE0CF4}"/>
    <cellStyle name="Note 3 2 2 2 2 2" xfId="5496" xr:uid="{FB7F4CCC-D561-42CB-BDA1-CB9709FD5C3F}"/>
    <cellStyle name="Note 3 2 2 2 2 2 2" xfId="10942" xr:uid="{02CE108D-5173-41D0-9A84-290793C74F35}"/>
    <cellStyle name="Note 3 2 2 2 2 3" xfId="8566" xr:uid="{DF0949A4-0977-415C-8CF2-D8401B7144E4}"/>
    <cellStyle name="Note 3 2 2 2 3" xfId="3504" xr:uid="{8981F9E1-5FB2-441D-B4BF-C8141E1DF7DD}"/>
    <cellStyle name="Note 3 2 2 2 3 2" xfId="5934" xr:uid="{E9F4B862-692A-4228-95E9-30A9A4874E66}"/>
    <cellStyle name="Note 3 2 2 2 3 2 2" xfId="11376" xr:uid="{9DFA2816-FCF1-45D0-A109-B3A19417A2DD}"/>
    <cellStyle name="Note 3 2 2 2 3 3" xfId="8992" xr:uid="{A575DD8C-FA8B-4530-9678-A14D42659374}"/>
    <cellStyle name="Note 3 2 2 2 4" xfId="3026" xr:uid="{24240143-0356-42AC-B1C2-DBE37ED29698}"/>
    <cellStyle name="Note 3 2 2 2 5" xfId="5495" xr:uid="{6D7EEBE2-8E5A-4BAD-9060-722C19B2DF41}"/>
    <cellStyle name="Note 3 2 2 2 5 2" xfId="10941" xr:uid="{960B201D-209B-4DD1-90FF-5157382498F5}"/>
    <cellStyle name="Note 3 2 2 2 6" xfId="8565" xr:uid="{54A47606-E995-4047-856B-B33C87A1CA9C}"/>
    <cellStyle name="Note 3 2 2 3" xfId="1917" xr:uid="{5F940146-3D31-4FAC-A3F8-B40CDD443BDA}"/>
    <cellStyle name="Note 3 2 2 3 2" xfId="3505" xr:uid="{BCB4253D-EDED-4891-BE83-53BD8754FFAB}"/>
    <cellStyle name="Note 3 2 2 3 2 2" xfId="5935" xr:uid="{747AF0B9-8960-471E-8EC5-0B1CE91945AE}"/>
    <cellStyle name="Note 3 2 2 3 2 2 2" xfId="11377" xr:uid="{AE93970B-75E5-4EEF-9EE7-2F9823D2635D}"/>
    <cellStyle name="Note 3 2 2 3 2 3" xfId="8993" xr:uid="{6AC190CE-F7DA-413D-A349-550519CCFEDB}"/>
    <cellStyle name="Note 3 2 2 3 3" xfId="3027" xr:uid="{0B9225E2-BF67-4CCF-98F7-C6D70E594BE7}"/>
    <cellStyle name="Note 3 2 2 3 4" xfId="5497" xr:uid="{C0CBA9B8-72EF-46A3-A749-B30D4556445A}"/>
    <cellStyle name="Note 3 2 2 3 4 2" xfId="10943" xr:uid="{585125E5-FD47-4F76-8469-7928B95BF70A}"/>
    <cellStyle name="Note 3 2 2 3 5" xfId="8567" xr:uid="{5BC2960F-9E2A-4398-836E-D314ED21BA6F}"/>
    <cellStyle name="Note 3 2 2 4" xfId="3028" xr:uid="{190E1048-ADCB-4CA1-B3AA-7AB44E7DCCF7}"/>
    <cellStyle name="Note 3 2 2 5" xfId="3503" xr:uid="{F4A3A503-22C7-4BF1-B78B-71CFFD6EE5FE}"/>
    <cellStyle name="Note 3 2 2 5 2" xfId="5933" xr:uid="{978221A0-97B6-401F-A4BA-8489508C2E12}"/>
    <cellStyle name="Note 3 2 2 5 2 2" xfId="11375" xr:uid="{771DEDC4-3AE4-496B-83B6-40ED4FC17D80}"/>
    <cellStyle name="Note 3 2 2 5 3" xfId="8991" xr:uid="{5E6AFD13-E66E-45E9-9B31-C460B6121941}"/>
    <cellStyle name="Note 3 2 2 6" xfId="3025" xr:uid="{46C72869-3BE0-420C-BC5F-AAF92F40330E}"/>
    <cellStyle name="Note 3 2 2 6 2" xfId="5669" xr:uid="{885B0BA4-34A7-480A-A960-3A22179623B0}"/>
    <cellStyle name="Note 3 2 2 6 2 2" xfId="11111" xr:uid="{B76A76F6-7247-4BF3-A758-D5AF5C3B75B8}"/>
    <cellStyle name="Note 3 2 2 6 2 3" xfId="13317" xr:uid="{A3D649BC-5CC4-4101-B546-950904110222}"/>
    <cellStyle name="Note 3 2 2 6 3" xfId="6488" xr:uid="{317ABB42-E93C-4F81-A798-7C48FAC46AC0}"/>
    <cellStyle name="Note 3 2 2 6 3 2" xfId="11930" xr:uid="{EF2B660B-460B-416F-B37A-12EFEF3D48BE}"/>
    <cellStyle name="Note 3 2 2 6 3 3" xfId="13998" xr:uid="{54132AA8-F978-4CCF-9A30-0F93849E1A7D}"/>
    <cellStyle name="Note 3 2 2 6 4" xfId="8743" xr:uid="{0BAB4090-880A-4B59-AF41-E619110778B3}"/>
    <cellStyle name="Note 3 2 2 6 5" xfId="12601" xr:uid="{F5093FA3-97B4-4DF9-A41A-4B3C21ED965A}"/>
    <cellStyle name="Note 3 2 2 7" xfId="5494" xr:uid="{18C7B59D-09B3-4DCD-82E5-5FBFE6F2A90E}"/>
    <cellStyle name="Note 3 2 2 7 2" xfId="10940" xr:uid="{E3DD04CF-409B-4260-ABDB-6E1D272BE198}"/>
    <cellStyle name="Note 3 2 2 8" xfId="8564" xr:uid="{0E28D4F5-3A2C-4941-9FD8-2678F6E67CA2}"/>
    <cellStyle name="Note 3 2 3" xfId="1918" xr:uid="{92595CBB-DAD7-4093-A873-9F5CBCDE90E7}"/>
    <cellStyle name="Note 3 2 3 2" xfId="1919" xr:uid="{AAC76D3B-1D5F-4D56-A82F-35C02B989DD1}"/>
    <cellStyle name="Note 3 2 3 2 2" xfId="5499" xr:uid="{6CD9889E-F54C-4C32-90B1-B0F40FE613BC}"/>
    <cellStyle name="Note 3 2 3 2 2 2" xfId="10945" xr:uid="{4A89337B-7427-4177-863B-9217932AEFDA}"/>
    <cellStyle name="Note 3 2 3 2 3" xfId="8569" xr:uid="{9F1B341D-2456-4AF3-B189-FE7A20201D19}"/>
    <cellStyle name="Note 3 2 3 3" xfId="3506" xr:uid="{67BE8AEC-2C15-4A1D-A874-48BC7DCE1E1B}"/>
    <cellStyle name="Note 3 2 3 3 2" xfId="5936" xr:uid="{E9C9D141-D132-4C7B-9F7E-5C25E9B070ED}"/>
    <cellStyle name="Note 3 2 3 3 2 2" xfId="11378" xr:uid="{2E313F27-EE1D-49E6-8487-52598EAE5530}"/>
    <cellStyle name="Note 3 2 3 3 3" xfId="8994" xr:uid="{CCEE5F03-09F5-437E-83C6-07BEDD3DF911}"/>
    <cellStyle name="Note 3 2 3 4" xfId="3029" xr:uid="{519F01B3-E339-4D41-8802-39CA1CFCF870}"/>
    <cellStyle name="Note 3 2 3 4 2" xfId="5673" xr:uid="{ABC38B05-5D6E-44AE-B829-91C9F3A3589A}"/>
    <cellStyle name="Note 3 2 3 4 2 2" xfId="11115" xr:uid="{499C6D17-93F3-4365-BF77-EA6102463F81}"/>
    <cellStyle name="Note 3 2 3 4 2 3" xfId="13321" xr:uid="{2317C6F2-EB93-4D88-A678-A8D65466B2DC}"/>
    <cellStyle name="Note 3 2 3 4 3" xfId="6489" xr:uid="{83EDF3AF-7FCA-473E-8CE2-FC11CEA18A04}"/>
    <cellStyle name="Note 3 2 3 4 3 2" xfId="11931" xr:uid="{7DFC7886-8D4F-4C4D-A6E6-18D5C57CC427}"/>
    <cellStyle name="Note 3 2 3 4 3 3" xfId="13999" xr:uid="{EAADC8E8-6950-4B88-9910-6AFA9A4989B6}"/>
    <cellStyle name="Note 3 2 3 4 4" xfId="8744" xr:uid="{C38F1CDC-76E9-467F-822D-459822DE8E9E}"/>
    <cellStyle name="Note 3 2 3 4 5" xfId="12602" xr:uid="{83E36346-F27A-4228-86A0-E449EFD3F246}"/>
    <cellStyle name="Note 3 2 3 5" xfId="5498" xr:uid="{84827320-A9E4-4938-8C8D-99A323C438C4}"/>
    <cellStyle name="Note 3 2 3 5 2" xfId="10944" xr:uid="{69D4C7C1-7329-43C7-A07D-25CD6CB7BD17}"/>
    <cellStyle name="Note 3 2 3 6" xfId="8568" xr:uid="{083FCACE-EE15-42FF-B601-F11C18C1DF51}"/>
    <cellStyle name="Note 3 2 4" xfId="1920" xr:uid="{02810F34-44DD-48E8-A776-9182C59DDE1D}"/>
    <cellStyle name="Note 3 2 4 2" xfId="3507" xr:uid="{4E5AB28A-5D61-4E3C-BF5E-9CE7EDC215A3}"/>
    <cellStyle name="Note 3 2 4 2 2" xfId="5937" xr:uid="{0C1F90F8-49A2-40FC-838A-2DDDF62BD84C}"/>
    <cellStyle name="Note 3 2 4 2 2 2" xfId="11379" xr:uid="{BE9432A1-1302-42AC-B5F3-D0D7B2408A02}"/>
    <cellStyle name="Note 3 2 4 2 3" xfId="8995" xr:uid="{0BEFFE30-41C4-49D7-8FA4-8CCC0850C586}"/>
    <cellStyle name="Note 3 2 4 3" xfId="3030" xr:uid="{32F907DF-DF93-4A74-A102-CA8D80C1CA8C}"/>
    <cellStyle name="Note 3 2 4 4" xfId="5500" xr:uid="{A04E9E13-9403-4B99-83FC-3ADB899840EA}"/>
    <cellStyle name="Note 3 2 4 4 2" xfId="10946" xr:uid="{5379D864-4035-436B-B667-7A8A9BA1FE0B}"/>
    <cellStyle name="Note 3 2 4 5" xfId="8570" xr:uid="{6FC3ECDB-29B1-49C9-8088-416259B0E002}"/>
    <cellStyle name="Note 3 2 5" xfId="3031" xr:uid="{5958D2C9-C7F0-4A62-A348-4155283BFA75}"/>
    <cellStyle name="Note 3 2 6" xfId="3502" xr:uid="{150F8B08-A1C1-4F17-B5C2-5248C916084A}"/>
    <cellStyle name="Note 3 2 6 2" xfId="5932" xr:uid="{2DAA1169-38BE-403E-883C-20FE3784F3AF}"/>
    <cellStyle name="Note 3 2 6 2 2" xfId="11374" xr:uid="{48578E7B-67FA-445D-8867-3D7DFD4C1D25}"/>
    <cellStyle name="Note 3 2 6 3" xfId="8990" xr:uid="{5AD658F0-6D8F-4DA8-B826-530B4B327C3F}"/>
    <cellStyle name="Note 3 2 7" xfId="3024" xr:uid="{43524E96-6E95-434B-A64D-87D54E4F90E7}"/>
    <cellStyle name="Note 3 2 7 2" xfId="5668" xr:uid="{7E0495EF-5E95-4EA5-8382-DAA4FDA2746D}"/>
    <cellStyle name="Note 3 2 7 2 2" xfId="11110" xr:uid="{843960EA-212E-4BBE-B0A9-A1B0221CB61B}"/>
    <cellStyle name="Note 3 2 7 2 3" xfId="13316" xr:uid="{E31DE67F-C3FE-46EE-8989-A7B79C2A03DB}"/>
    <cellStyle name="Note 3 2 7 3" xfId="6487" xr:uid="{A64C57EC-8936-4E75-999A-4CEBCE91E67D}"/>
    <cellStyle name="Note 3 2 7 3 2" xfId="11929" xr:uid="{93119A00-F744-4FB2-BA45-ABE4EF4C7465}"/>
    <cellStyle name="Note 3 2 7 3 3" xfId="13997" xr:uid="{F33A6E58-529E-47ED-83E8-3A4EB766B554}"/>
    <cellStyle name="Note 3 2 7 4" xfId="8742" xr:uid="{3A9348F9-4487-4050-9766-D6CF3FBE7C5E}"/>
    <cellStyle name="Note 3 2 7 5" xfId="12600" xr:uid="{5E6BAE84-8F60-4CD2-867A-F9C19622E21A}"/>
    <cellStyle name="Note 3 2 8" xfId="5493" xr:uid="{E7A4820A-A115-47AB-9BE8-FF900AE6A712}"/>
    <cellStyle name="Note 3 2 8 2" xfId="10939" xr:uid="{B7AB4FEC-4400-4486-9F70-162B5A7B1BA1}"/>
    <cellStyle name="Note 3 2 9" xfId="8563" xr:uid="{CBF6CE23-88B4-4EF7-9716-9823B34F8C37}"/>
    <cellStyle name="Note 3 2_2014 CLEAResult Invoices" xfId="3032" xr:uid="{E5BACA3D-5EDB-47AC-A3CA-49318446BF71}"/>
    <cellStyle name="Note 3 3" xfId="1921" xr:uid="{A174B9B6-94DD-4BBE-8B92-F689C2A26D08}"/>
    <cellStyle name="Note 3 3 2" xfId="1922" xr:uid="{88BB1090-C646-4CDB-982A-E5E0FB9ABAC8}"/>
    <cellStyle name="Note 3 3 2 2" xfId="1923" xr:uid="{F90963EA-4373-42F2-ABC9-EF5A6D564E15}"/>
    <cellStyle name="Note 3 3 2 2 2" xfId="1924" xr:uid="{A120FF7D-F3D7-4631-B951-18F2EBC633B5}"/>
    <cellStyle name="Note 3 3 2 2 2 2" xfId="5504" xr:uid="{B9B0BAA7-448F-4C84-B481-453F87741545}"/>
    <cellStyle name="Note 3 3 2 2 2 2 2" xfId="10950" xr:uid="{278A6500-04E3-4357-A42A-57EFB364F26A}"/>
    <cellStyle name="Note 3 3 2 2 2 3" xfId="8574" xr:uid="{FA9F11F5-3968-421A-8538-253130AC3D6D}"/>
    <cellStyle name="Note 3 3 2 2 3" xfId="3510" xr:uid="{F5BFB5C5-8639-4D9C-8914-67BBD1109D9E}"/>
    <cellStyle name="Note 3 3 2 2 3 2" xfId="5940" xr:uid="{B8B2410B-0805-4975-9B88-343DB7088816}"/>
    <cellStyle name="Note 3 3 2 2 3 2 2" xfId="11382" xr:uid="{D9F3141D-D3CD-430E-8688-7308181164B6}"/>
    <cellStyle name="Note 3 3 2 2 3 3" xfId="8998" xr:uid="{E5E14812-7F15-4CA1-9B23-AE3A1DF6DAE0}"/>
    <cellStyle name="Note 3 3 2 2 4" xfId="3035" xr:uid="{3522193F-66BC-4E9A-9947-8AA24CA51561}"/>
    <cellStyle name="Note 3 3 2 2 4 2" xfId="5678" xr:uid="{1F9CC89E-AC0E-4DDC-8D77-9ACDA777CCB0}"/>
    <cellStyle name="Note 3 3 2 2 4 2 2" xfId="11120" xr:uid="{A7F4A1F0-7666-4FE3-9CAC-159DCF88D1B4}"/>
    <cellStyle name="Note 3 3 2 2 4 2 3" xfId="13326" xr:uid="{3F07A2AD-3452-4B6F-8CF0-48053C0B1A41}"/>
    <cellStyle name="Note 3 3 2 2 4 3" xfId="6492" xr:uid="{8F3BCE00-5721-4CF3-B478-CF5DCD48CDC6}"/>
    <cellStyle name="Note 3 3 2 2 4 3 2" xfId="11934" xr:uid="{FEB96290-C6A2-497E-B949-3E29888A0434}"/>
    <cellStyle name="Note 3 3 2 2 4 3 3" xfId="14002" xr:uid="{C30B4043-97E8-4059-9711-34AF7D774F43}"/>
    <cellStyle name="Note 3 3 2 2 4 4" xfId="8747" xr:uid="{EFE3B502-9CE2-4F91-AC04-0FB02AA478DE}"/>
    <cellStyle name="Note 3 3 2 2 4 5" xfId="12605" xr:uid="{7E876E65-25A7-4835-8001-D34A365B2B35}"/>
    <cellStyle name="Note 3 3 2 2 5" xfId="5503" xr:uid="{003201E1-0F27-4DA5-BB3F-26E9DD58E6C5}"/>
    <cellStyle name="Note 3 3 2 2 5 2" xfId="10949" xr:uid="{8E5EDD86-E9E0-47B4-A223-240EE75A7CFA}"/>
    <cellStyle name="Note 3 3 2 2 6" xfId="8573" xr:uid="{9BB324DD-076D-45A0-924F-7FF055548323}"/>
    <cellStyle name="Note 3 3 2 3" xfId="1925" xr:uid="{3D217D00-8B4B-451A-884B-1A858C99F3A8}"/>
    <cellStyle name="Note 3 3 2 3 2" xfId="5505" xr:uid="{CD5C8269-1C2C-4953-9B7F-ED660B09E642}"/>
    <cellStyle name="Note 3 3 2 3 2 2" xfId="10951" xr:uid="{041A953F-B1FF-4AFC-BB1E-EB867B926D6E}"/>
    <cellStyle name="Note 3 3 2 3 3" xfId="8575" xr:uid="{911BFB32-B1C7-430D-B358-946B431CE028}"/>
    <cellStyle name="Note 3 3 2 4" xfId="3509" xr:uid="{E86B3213-8328-4217-9162-4E45F4E80FFD}"/>
    <cellStyle name="Note 3 3 2 4 2" xfId="5939" xr:uid="{FD60C942-1000-4F7D-8582-C30CD5F03E71}"/>
    <cellStyle name="Note 3 3 2 4 2 2" xfId="11381" xr:uid="{0309698F-F4AE-4AA9-B41E-545ABE3954D0}"/>
    <cellStyle name="Note 3 3 2 4 3" xfId="8997" xr:uid="{7740771A-73A8-4979-9C2C-9984C82834D8}"/>
    <cellStyle name="Note 3 3 2 5" xfId="3034" xr:uid="{C2CA3CB6-5E97-4BBE-A66B-F0A0FB5399D5}"/>
    <cellStyle name="Note 3 3 2 5 2" xfId="5677" xr:uid="{921B89BB-1850-4AD1-81A3-F39024F2B4A4}"/>
    <cellStyle name="Note 3 3 2 5 2 2" xfId="11119" xr:uid="{82DC38FC-F861-44BA-B9A4-D46446398FA9}"/>
    <cellStyle name="Note 3 3 2 5 2 3" xfId="13325" xr:uid="{36C3EA06-BBE1-4C3D-9B6F-36A7606A7E2D}"/>
    <cellStyle name="Note 3 3 2 5 3" xfId="6491" xr:uid="{4E9E025A-73A4-47C1-9FDF-AD3E9B307881}"/>
    <cellStyle name="Note 3 3 2 5 3 2" xfId="11933" xr:uid="{6489F215-CB15-4FCA-BE81-C11565FD1F6E}"/>
    <cellStyle name="Note 3 3 2 5 3 3" xfId="14001" xr:uid="{B4D49E03-151A-402E-9255-312534328024}"/>
    <cellStyle name="Note 3 3 2 5 4" xfId="8746" xr:uid="{0C55B954-5A67-42D3-976C-DEFD1279FE89}"/>
    <cellStyle name="Note 3 3 2 5 5" xfId="12604" xr:uid="{428DFA55-00E1-405B-99DD-6068904BD62C}"/>
    <cellStyle name="Note 3 3 2 6" xfId="5502" xr:uid="{DB4D39FF-2DFD-41DE-9AA9-02688C9B718D}"/>
    <cellStyle name="Note 3 3 2 6 2" xfId="10948" xr:uid="{E9EDE4A4-09E8-488B-BADF-F45A8175D854}"/>
    <cellStyle name="Note 3 3 2 7" xfId="8572" xr:uid="{CE816A4D-A3C3-4674-AD20-B34972BBABB2}"/>
    <cellStyle name="Note 3 3 3" xfId="1926" xr:uid="{E645F5F9-9203-4C2C-BC0A-133CEB39D846}"/>
    <cellStyle name="Note 3 3 3 2" xfId="1927" xr:uid="{9D293FA8-1435-4304-9F5C-9F3D5FEFBE7F}"/>
    <cellStyle name="Note 3 3 3 2 2" xfId="5507" xr:uid="{D49C4DE8-8474-473D-8796-26A63E012A81}"/>
    <cellStyle name="Note 3 3 3 2 2 2" xfId="10953" xr:uid="{52406762-2495-49A2-BF25-B01883E408C3}"/>
    <cellStyle name="Note 3 3 3 2 3" xfId="8577" xr:uid="{35CCAAEA-96F5-4786-9DF2-9DCDB756E15B}"/>
    <cellStyle name="Note 3 3 3 3" xfId="3511" xr:uid="{1B03EC72-395B-43FF-986D-C2DB3259DFF4}"/>
    <cellStyle name="Note 3 3 3 3 2" xfId="5941" xr:uid="{06F248FD-7320-4357-A859-0FC334637A75}"/>
    <cellStyle name="Note 3 3 3 3 2 2" xfId="11383" xr:uid="{1EE8B1AB-A7A4-465E-B473-B5730CA828ED}"/>
    <cellStyle name="Note 3 3 3 3 3" xfId="8999" xr:uid="{D6C1C3E0-72CE-43F2-9D5F-466808EDD239}"/>
    <cellStyle name="Note 3 3 3 4" xfId="3036" xr:uid="{B1F211F8-859B-4D33-A61B-FD4FFD21D90D}"/>
    <cellStyle name="Note 3 3 3 4 2" xfId="5679" xr:uid="{083AF49D-9891-4843-BFE1-46D118A5AC8A}"/>
    <cellStyle name="Note 3 3 3 4 2 2" xfId="11121" xr:uid="{DF772502-56B6-457F-8A73-684798A2482C}"/>
    <cellStyle name="Note 3 3 3 4 2 3" xfId="13327" xr:uid="{A1470383-F0C5-404F-A7F1-794916D344FB}"/>
    <cellStyle name="Note 3 3 3 4 3" xfId="6493" xr:uid="{DFD1CF3A-458C-42B5-A15F-C09C211C8304}"/>
    <cellStyle name="Note 3 3 3 4 3 2" xfId="11935" xr:uid="{B27C2187-03A9-4FB1-8691-B61FA03C66BB}"/>
    <cellStyle name="Note 3 3 3 4 3 3" xfId="14003" xr:uid="{4B297985-B53E-4203-90CC-A456869BF0E3}"/>
    <cellStyle name="Note 3 3 3 4 4" xfId="8748" xr:uid="{6A7D4FB4-796E-47AE-9028-8F32E53EFEFC}"/>
    <cellStyle name="Note 3 3 3 4 5" xfId="12606" xr:uid="{FD53ADC9-D554-4DE4-9DD0-5B24831F7AB4}"/>
    <cellStyle name="Note 3 3 3 5" xfId="5506" xr:uid="{C6596BB0-8CB5-44EB-8990-6E7B602299FB}"/>
    <cellStyle name="Note 3 3 3 5 2" xfId="10952" xr:uid="{AA757CB5-F032-4988-B4DF-C5F9DAD6C5E8}"/>
    <cellStyle name="Note 3 3 3 6" xfId="8576" xr:uid="{FC94BEA1-6A86-4E37-97BE-3D90C69623C6}"/>
    <cellStyle name="Note 3 3 4" xfId="1928" xr:uid="{195D2C93-02DF-4643-A38B-1B5CE4B9DF73}"/>
    <cellStyle name="Note 3 3 4 2" xfId="3512" xr:uid="{2C296F87-D2E2-4103-96D5-F1F26A854974}"/>
    <cellStyle name="Note 3 3 4 2 2" xfId="5942" xr:uid="{1BDF055D-4848-4D5E-84C7-295D87D50B2F}"/>
    <cellStyle name="Note 3 3 4 2 2 2" xfId="11384" xr:uid="{1E6BE51E-F4C1-4C49-BF03-DD11F382C7D2}"/>
    <cellStyle name="Note 3 3 4 2 3" xfId="9000" xr:uid="{D6F94904-55CB-4DB8-B785-D77F6995D581}"/>
    <cellStyle name="Note 3 3 4 3" xfId="3037" xr:uid="{88C15D73-3C6A-4DAC-BDC8-51534F0F6FCF}"/>
    <cellStyle name="Note 3 3 4 3 2" xfId="5680" xr:uid="{61B81CEB-AF7F-42F2-A3F6-059DCC826E17}"/>
    <cellStyle name="Note 3 3 4 3 2 2" xfId="11122" xr:uid="{421A3E32-E5DE-49D8-9733-327C5F9D5E1F}"/>
    <cellStyle name="Note 3 3 4 3 2 3" xfId="13328" xr:uid="{27FAB6C2-BB32-4AFF-84F7-20BA8E06F10A}"/>
    <cellStyle name="Note 3 3 4 3 3" xfId="6494" xr:uid="{90AC63AE-2598-48A1-90CB-3A8F765BA6E6}"/>
    <cellStyle name="Note 3 3 4 3 3 2" xfId="11936" xr:uid="{0E87D64B-5820-4D22-86FD-4DBAB40BD452}"/>
    <cellStyle name="Note 3 3 4 3 3 3" xfId="14004" xr:uid="{949C94DE-B1A9-453F-9201-F8F1277A26B5}"/>
    <cellStyle name="Note 3 3 4 3 4" xfId="8749" xr:uid="{648F06B3-B216-449D-B5E4-287247F2318C}"/>
    <cellStyle name="Note 3 3 4 3 5" xfId="12607" xr:uid="{363146C6-A935-4153-AE21-03054F35091E}"/>
    <cellStyle name="Note 3 3 4 4" xfId="5508" xr:uid="{FD10EAE2-2474-41E7-B451-CC8DCF49ED8A}"/>
    <cellStyle name="Note 3 3 4 4 2" xfId="10954" xr:uid="{D5A51B54-1804-46F2-882E-259CE050CFAC}"/>
    <cellStyle name="Note 3 3 4 5" xfId="8578" xr:uid="{58E1F286-76FF-4EBF-82F6-AB3F660E0F5D}"/>
    <cellStyle name="Note 3 3 5" xfId="3508" xr:uid="{B6763A38-91B7-4DA5-B282-AADB0CBDA857}"/>
    <cellStyle name="Note 3 3 5 2" xfId="5938" xr:uid="{3620061E-4A05-4B80-BEF5-3A31785CC7D8}"/>
    <cellStyle name="Note 3 3 5 2 2" xfId="11380" xr:uid="{31A1C9D1-C7AB-4819-867F-5D7B85268AF9}"/>
    <cellStyle name="Note 3 3 5 3" xfId="8996" xr:uid="{74C38142-8BE8-487E-9D42-DA343A79AFF2}"/>
    <cellStyle name="Note 3 3 6" xfId="3033" xr:uid="{8A54AD0B-EB7E-4DF0-B2FD-A8499B9122AA}"/>
    <cellStyle name="Note 3 3 6 2" xfId="5676" xr:uid="{D566B47B-EFA3-44E9-B5B7-96357B824C6F}"/>
    <cellStyle name="Note 3 3 6 2 2" xfId="11118" xr:uid="{E9EB905C-6408-456D-823F-3627EC39926A}"/>
    <cellStyle name="Note 3 3 6 2 3" xfId="13324" xr:uid="{C019DE97-2EBE-44ED-98F0-5C4B3B723131}"/>
    <cellStyle name="Note 3 3 6 3" xfId="6490" xr:uid="{D4EC848F-D81D-4184-B468-A2505DDBB3E1}"/>
    <cellStyle name="Note 3 3 6 3 2" xfId="11932" xr:uid="{3B8F6448-A78D-4708-AA4B-3F3F95AC23FB}"/>
    <cellStyle name="Note 3 3 6 3 3" xfId="14000" xr:uid="{6BFFAD22-0887-4C8B-93FB-2B923C406FD9}"/>
    <cellStyle name="Note 3 3 6 4" xfId="8745" xr:uid="{C1FB15B1-0421-4A3A-9FDC-AEF1F789F1CE}"/>
    <cellStyle name="Note 3 3 6 5" xfId="12603" xr:uid="{A6C73BED-2DCB-4063-90E0-CE95156CDF72}"/>
    <cellStyle name="Note 3 3 7" xfId="5501" xr:uid="{DC8E778E-2160-48E3-BC88-440F8E7C0801}"/>
    <cellStyle name="Note 3 3 7 2" xfId="10947" xr:uid="{C06D1EB4-293E-4BBA-8427-41F206544D37}"/>
    <cellStyle name="Note 3 3 8" xfId="8571" xr:uid="{75584838-6601-48EE-8FC5-290CFBDEF728}"/>
    <cellStyle name="Note 3 3_2014 CLEAResult Invoices" xfId="3038" xr:uid="{836CB381-ADD7-4504-BBC2-676894690972}"/>
    <cellStyle name="Note 3 4" xfId="1929" xr:uid="{6865A9E3-2283-4CFD-AC7E-DF052DE03B9B}"/>
    <cellStyle name="Note 3 4 2" xfId="1930" xr:uid="{1CB1E6AD-3CBF-4667-92A9-87B533D9CF03}"/>
    <cellStyle name="Note 3 4 2 2" xfId="1931" xr:uid="{E230DEAF-8135-43A8-90F3-197E425F359A}"/>
    <cellStyle name="Note 3 4 2 2 2" xfId="5511" xr:uid="{501B42D3-5893-4861-9F89-B6250F31AEFC}"/>
    <cellStyle name="Note 3 4 2 2 2 2" xfId="10957" xr:uid="{7748703B-822E-444D-A3B5-66A3F7C86B39}"/>
    <cellStyle name="Note 3 4 2 2 3" xfId="8581" xr:uid="{9D155EE3-37E1-4194-B3F4-8DA7358BCDCA}"/>
    <cellStyle name="Note 3 4 2 3" xfId="3514" xr:uid="{763A03B2-D848-48C6-BF06-A939398AD016}"/>
    <cellStyle name="Note 3 4 2 3 2" xfId="5944" xr:uid="{509FB437-2D59-4A37-9101-25098195B3D3}"/>
    <cellStyle name="Note 3 4 2 3 2 2" xfId="11386" xr:uid="{AF5F7BE0-A168-4648-B087-52ED0BC613F2}"/>
    <cellStyle name="Note 3 4 2 3 3" xfId="9002" xr:uid="{47080440-8DA0-4CE7-9F04-8B8D9FB18BB2}"/>
    <cellStyle name="Note 3 4 2 4" xfId="3040" xr:uid="{F2ABF60A-0E3C-49CD-A141-C988C703490F}"/>
    <cellStyle name="Note 3 4 2 4 2" xfId="5682" xr:uid="{D2E8C840-0F33-446A-8946-FE204089955A}"/>
    <cellStyle name="Note 3 4 2 4 2 2" xfId="11124" xr:uid="{A53728F3-FE4D-45A6-A658-46D33A7C2160}"/>
    <cellStyle name="Note 3 4 2 4 2 3" xfId="13330" xr:uid="{E5193E55-C9DA-4F49-BE7E-453E0567C7F7}"/>
    <cellStyle name="Note 3 4 2 4 3" xfId="6496" xr:uid="{615C0311-11E2-44CC-9459-58220639F619}"/>
    <cellStyle name="Note 3 4 2 4 3 2" xfId="11938" xr:uid="{EB102695-0D01-4FCB-BB7A-D46747B290A3}"/>
    <cellStyle name="Note 3 4 2 4 3 3" xfId="14006" xr:uid="{1456A29C-6F0C-4BD8-8841-A0227AAB2513}"/>
    <cellStyle name="Note 3 4 2 4 4" xfId="8751" xr:uid="{EEC9E3DF-9DE8-4EC1-87BE-4310AA66AF1E}"/>
    <cellStyle name="Note 3 4 2 4 5" xfId="12609" xr:uid="{3173E6F9-0D96-4EF6-9185-BB719E6926AF}"/>
    <cellStyle name="Note 3 4 2 5" xfId="5510" xr:uid="{B1D5A6BF-7EBA-4305-998F-8376A4A8CD57}"/>
    <cellStyle name="Note 3 4 2 5 2" xfId="10956" xr:uid="{110289F4-3FC7-433C-B0E1-22456C7A39A6}"/>
    <cellStyle name="Note 3 4 2 6" xfId="8580" xr:uid="{2ABE08B2-0113-4787-9EB7-712769ADFA48}"/>
    <cellStyle name="Note 3 4 3" xfId="1932" xr:uid="{486B49F8-85E4-4CFF-88BE-7DBC4A658258}"/>
    <cellStyle name="Note 3 4 3 2" xfId="3515" xr:uid="{1636272C-8F4A-4706-B62E-ED9BBF097925}"/>
    <cellStyle name="Note 3 4 3 2 2" xfId="5945" xr:uid="{69521FCF-D1D3-447B-ADBD-C84D710A6BA4}"/>
    <cellStyle name="Note 3 4 3 2 2 2" xfId="11387" xr:uid="{0383A23A-B086-4FBD-9355-6D79D9F19AE0}"/>
    <cellStyle name="Note 3 4 3 2 3" xfId="9003" xr:uid="{41284947-14C8-4C26-A0D6-F72DE08AB158}"/>
    <cellStyle name="Note 3 4 3 3" xfId="3041" xr:uid="{8E30D80F-9DAA-481B-B022-972994A2644B}"/>
    <cellStyle name="Note 3 4 3 3 2" xfId="5683" xr:uid="{A63EFF88-14B3-48B1-862A-BE07B4AC6067}"/>
    <cellStyle name="Note 3 4 3 3 2 2" xfId="11125" xr:uid="{842C570E-B06F-4FE6-A1E9-5668CD851561}"/>
    <cellStyle name="Note 3 4 3 3 2 3" xfId="13331" xr:uid="{583F5E0F-06AA-4B64-8DA2-9BD03538FFA2}"/>
    <cellStyle name="Note 3 4 3 3 3" xfId="6497" xr:uid="{F3A63FA6-E7CD-459A-B4CB-F24ECCE6C894}"/>
    <cellStyle name="Note 3 4 3 3 3 2" xfId="11939" xr:uid="{8F58EBFB-CDC0-4FEA-BC3E-0B355FD8F196}"/>
    <cellStyle name="Note 3 4 3 3 3 3" xfId="14007" xr:uid="{CF5109E9-B5D1-4505-B572-A407B3D91343}"/>
    <cellStyle name="Note 3 4 3 3 4" xfId="8752" xr:uid="{6753A64D-6290-40F7-B81C-5BF0B4B9600D}"/>
    <cellStyle name="Note 3 4 3 3 5" xfId="12610" xr:uid="{42B5D528-ED43-4FE8-BA48-9432D3E619FD}"/>
    <cellStyle name="Note 3 4 3 4" xfId="5512" xr:uid="{0AB90FB9-CDB1-4566-9C41-FD93FBDF5731}"/>
    <cellStyle name="Note 3 4 3 4 2" xfId="10958" xr:uid="{F62EAFE1-27CF-420D-B317-9107095BDAC7}"/>
    <cellStyle name="Note 3 4 3 5" xfId="8582" xr:uid="{437DDF07-7DCC-4A76-8D99-33DFA92337C7}"/>
    <cellStyle name="Note 3 4 4" xfId="3513" xr:uid="{9D443A0A-2300-42B1-B5E3-5B65448CA519}"/>
    <cellStyle name="Note 3 4 4 2" xfId="5943" xr:uid="{21E1A79E-6E57-4120-8C88-8AAB7EA35C74}"/>
    <cellStyle name="Note 3 4 4 2 2" xfId="11385" xr:uid="{E57F5938-4458-42E6-825A-00E3BE25B789}"/>
    <cellStyle name="Note 3 4 4 3" xfId="9001" xr:uid="{6DE51E44-9C01-48A4-9AEF-6150AE52678E}"/>
    <cellStyle name="Note 3 4 5" xfId="3039" xr:uid="{79B7B08E-5534-403B-B313-36071874898E}"/>
    <cellStyle name="Note 3 4 5 2" xfId="5681" xr:uid="{A8C7D4F1-A163-4E8D-83C4-9599D8C4EA61}"/>
    <cellStyle name="Note 3 4 5 2 2" xfId="11123" xr:uid="{7864A912-A9B1-40F8-AB2A-0BE072A857E7}"/>
    <cellStyle name="Note 3 4 5 2 3" xfId="13329" xr:uid="{34C0E362-9E83-49C1-8BAC-6D3E3C44084F}"/>
    <cellStyle name="Note 3 4 5 3" xfId="6495" xr:uid="{8E6B73AC-DD04-44DC-BBAE-AB72469F55FC}"/>
    <cellStyle name="Note 3 4 5 3 2" xfId="11937" xr:uid="{F4194334-6CBB-4AEA-B735-E9951C10D363}"/>
    <cellStyle name="Note 3 4 5 3 3" xfId="14005" xr:uid="{C121F771-A3C6-4C65-A5C9-6FD73BA2B231}"/>
    <cellStyle name="Note 3 4 5 4" xfId="8750" xr:uid="{07A3FD8C-1FC0-4C00-81ED-CE0924B2C163}"/>
    <cellStyle name="Note 3 4 5 5" xfId="12608" xr:uid="{BE295B1E-3C84-4D32-A6A4-9EC1DF9DE6A0}"/>
    <cellStyle name="Note 3 4 6" xfId="5509" xr:uid="{569FA01B-F3A5-489C-9E7C-8ED4FAFCF8EA}"/>
    <cellStyle name="Note 3 4 6 2" xfId="10955" xr:uid="{E73D4AA5-60DC-4FDD-A25E-4DB2B5AA8F9B}"/>
    <cellStyle name="Note 3 4 7" xfId="8579" xr:uid="{2756C5CD-9567-45F5-B24C-DA6EAE36055D}"/>
    <cellStyle name="Note 3 5" xfId="1933" xr:uid="{110019F5-E1F3-45FF-A340-B0194556EE4C}"/>
    <cellStyle name="Note 3 5 2" xfId="1934" xr:uid="{48C9F457-D311-4DAC-A64E-5BB9E2055772}"/>
    <cellStyle name="Note 3 5 2 2" xfId="5514" xr:uid="{C46FEC39-5D93-4833-A5BF-55F266886030}"/>
    <cellStyle name="Note 3 5 2 2 2" xfId="10960" xr:uid="{9456889A-43F3-42FA-B091-1CC92D185333}"/>
    <cellStyle name="Note 3 5 2 3" xfId="8584" xr:uid="{4C56ABD1-6913-4723-AE5D-64DE71ABF81D}"/>
    <cellStyle name="Note 3 5 3" xfId="3516" xr:uid="{E2274955-1FE0-4FA7-ACEE-9E7CCF102405}"/>
    <cellStyle name="Note 3 5 3 2" xfId="5946" xr:uid="{A48269F2-D619-4729-A7B2-6A31AAEC52E1}"/>
    <cellStyle name="Note 3 5 3 2 2" xfId="11388" xr:uid="{136A98B4-77D7-483C-8F50-38B241D13A00}"/>
    <cellStyle name="Note 3 5 3 3" xfId="9004" xr:uid="{A4749209-4B5A-487D-BD16-56BA686472A0}"/>
    <cellStyle name="Note 3 5 4" xfId="3042" xr:uid="{28D55214-6125-47FB-89A4-4CFA929889C4}"/>
    <cellStyle name="Note 3 5 4 2" xfId="5684" xr:uid="{2F1E8DD1-D411-452F-BA3D-0E03DF3F4BEE}"/>
    <cellStyle name="Note 3 5 4 2 2" xfId="11126" xr:uid="{004BFCF1-B7B5-4A0A-AB56-EAC0DD78BBDB}"/>
    <cellStyle name="Note 3 5 4 2 3" xfId="13332" xr:uid="{06CE354F-ABB2-41EE-B33A-4088D2A95C71}"/>
    <cellStyle name="Note 3 5 4 3" xfId="6498" xr:uid="{2018A8BE-4249-4D16-96A0-06A68654BA8B}"/>
    <cellStyle name="Note 3 5 4 3 2" xfId="11940" xr:uid="{3604D2CA-88E6-4F0F-A960-CB5FFC71A422}"/>
    <cellStyle name="Note 3 5 4 3 3" xfId="14008" xr:uid="{0A406AF7-74A1-497E-8539-693CE837732C}"/>
    <cellStyle name="Note 3 5 4 4" xfId="8753" xr:uid="{B21D36FE-5ACF-4FC1-96C4-AE149D9DAFCA}"/>
    <cellStyle name="Note 3 5 4 5" xfId="12611" xr:uid="{BB5A2115-A2D9-4A29-B8E3-DEC671310215}"/>
    <cellStyle name="Note 3 5 5" xfId="5513" xr:uid="{C88D0A6E-C6B2-4E47-A48C-1CDAFAA5CF0E}"/>
    <cellStyle name="Note 3 5 5 2" xfId="10959" xr:uid="{D979A237-0F75-482F-B755-E516B8138A65}"/>
    <cellStyle name="Note 3 5 6" xfId="8583" xr:uid="{165E2537-9BAA-4CE3-90BD-069797A62B91}"/>
    <cellStyle name="Note 3 6" xfId="1935" xr:uid="{DE18F1CC-D10C-4A92-8415-226E1F18B850}"/>
    <cellStyle name="Note 3 6 2" xfId="3517" xr:uid="{702C3A50-F450-483C-B5D5-58F63D1BB736}"/>
    <cellStyle name="Note 3 6 2 2" xfId="5947" xr:uid="{56EE56D1-7F40-4E0A-A49E-20F14B8FF29F}"/>
    <cellStyle name="Note 3 6 2 2 2" xfId="11389" xr:uid="{7E27EBA9-1A00-40A0-AE1E-50AB2EC6F1E9}"/>
    <cellStyle name="Note 3 6 2 3" xfId="9005" xr:uid="{B790CDD2-9535-45C9-9C48-04FB6E405E5E}"/>
    <cellStyle name="Note 3 6 3" xfId="3043" xr:uid="{0A6BBCC7-2548-42F4-810C-28C962ED2016}"/>
    <cellStyle name="Note 3 6 4" xfId="5515" xr:uid="{315A77D9-DE97-4BBC-8022-C26D710918D5}"/>
    <cellStyle name="Note 3 6 4 2" xfId="10961" xr:uid="{16D1DDEF-CD64-4CFB-8CC6-9ADB610B8B5E}"/>
    <cellStyle name="Note 3 6 5" xfId="8585" xr:uid="{64C2E196-DB2D-48AA-8A9A-286C94BE438A}"/>
    <cellStyle name="Note 3 7" xfId="3044" xr:uid="{3E0D0EB8-C728-4A2D-A70A-3C9D0E187055}"/>
    <cellStyle name="Note 3 8" xfId="3045" xr:uid="{588D4676-B02A-4367-BE43-9CAF187635B0}"/>
    <cellStyle name="Note 3 9" xfId="3501" xr:uid="{DB34BFF0-29EC-43C0-B3F1-669AB2019622}"/>
    <cellStyle name="Note 3 9 2" xfId="5931" xr:uid="{9F8C3856-45AF-490F-AE2F-92767DE5D2C7}"/>
    <cellStyle name="Note 3 9 2 2" xfId="11373" xr:uid="{671433A7-D56C-40EF-A2AB-9734503AC3BF}"/>
    <cellStyle name="Note 3 9 3" xfId="8989" xr:uid="{2B44BC29-EE2E-4FFD-8197-B456B5CA0616}"/>
    <cellStyle name="Note 3_2014 CLEAResult Invoices" xfId="3046" xr:uid="{9733DBE9-7C7C-4567-826B-9B84DB4732F5}"/>
    <cellStyle name="Note 4" xfId="1936" xr:uid="{34D080AC-8746-4F7C-B6FF-DF9634842782}"/>
    <cellStyle name="Note 4 10" xfId="8586" xr:uid="{6FA383CA-0A5E-480B-9212-8FF82340335F}"/>
    <cellStyle name="Note 4 2" xfId="1937" xr:uid="{7DC04290-3319-4FC5-BDB6-A00C9748C1B3}"/>
    <cellStyle name="Note 4 2 2" xfId="1938" xr:uid="{E166A0B9-3FA4-4F10-B32F-E688673C0682}"/>
    <cellStyle name="Note 4 2 2 2" xfId="1939" xr:uid="{139C6CFE-69F7-4C19-B61A-1D08E2B00B21}"/>
    <cellStyle name="Note 4 2 2 2 2" xfId="1940" xr:uid="{DBFFBCBB-2458-4175-9926-504DEEDC075A}"/>
    <cellStyle name="Note 4 2 2 2 2 2" xfId="5520" xr:uid="{7E0C358E-7D71-440A-B7E6-CC51AA5903C6}"/>
    <cellStyle name="Note 4 2 2 2 2 2 2" xfId="10966" xr:uid="{E219A4C1-900F-427D-8411-30B98B1BC4C1}"/>
    <cellStyle name="Note 4 2 2 2 2 3" xfId="8590" xr:uid="{401FF2DB-4D33-40B6-AA0E-C3D8252DA898}"/>
    <cellStyle name="Note 4 2 2 2 3" xfId="5519" xr:uid="{364E5382-CD38-4241-AB67-D7134B086E98}"/>
    <cellStyle name="Note 4 2 2 2 3 2" xfId="10965" xr:uid="{EB18D15B-3CA8-47AF-9DF0-0FF998C38500}"/>
    <cellStyle name="Note 4 2 2 2 4" xfId="8589" xr:uid="{A61F3035-F439-4A79-A6B2-C00069AE66BE}"/>
    <cellStyle name="Note 4 2 2 3" xfId="1941" xr:uid="{29AA0624-C8B0-4D1F-A2B9-6E1B9F8C314C}"/>
    <cellStyle name="Note 4 2 2 3 2" xfId="5521" xr:uid="{18E9B293-4C18-48FA-9F21-34BAD14D7590}"/>
    <cellStyle name="Note 4 2 2 3 2 2" xfId="10967" xr:uid="{4CB0301B-D7A7-4815-AF59-FB1B80AD2CA5}"/>
    <cellStyle name="Note 4 2 2 3 3" xfId="8591" xr:uid="{3380A446-7E95-4B62-95B4-50997FCABBFF}"/>
    <cellStyle name="Note 4 2 2 4" xfId="3520" xr:uid="{8BF71B37-A466-4B1F-93C4-085B2BEE6B00}"/>
    <cellStyle name="Note 4 2 2 4 2" xfId="5950" xr:uid="{871A1270-740D-43C1-8DAF-56FD9403B662}"/>
    <cellStyle name="Note 4 2 2 4 2 2" xfId="11392" xr:uid="{D2F475F3-55F9-4472-B8B5-D0853F7BBD15}"/>
    <cellStyle name="Note 4 2 2 4 3" xfId="9008" xr:uid="{21C51883-C32C-41E0-B5D9-08269860D901}"/>
    <cellStyle name="Note 4 2 2 5" xfId="3049" xr:uid="{EC33365F-9D98-4A37-85D0-EBDEDBC9200C}"/>
    <cellStyle name="Note 4 2 2 6" xfId="5518" xr:uid="{D2C41785-DFE0-4547-A47D-452AA62C4EA4}"/>
    <cellStyle name="Note 4 2 2 6 2" xfId="10964" xr:uid="{CE2F3694-BC03-4572-A349-4C51E6DBB409}"/>
    <cellStyle name="Note 4 2 2 7" xfId="8588" xr:uid="{15A483D1-0D97-4EC2-94A9-59EEBDE8A6B1}"/>
    <cellStyle name="Note 4 2 3" xfId="1942" xr:uid="{7877CD1C-AB67-4F70-BED5-64320FC18DD2}"/>
    <cellStyle name="Note 4 2 3 2" xfId="1943" xr:uid="{CE7B79FE-AAB3-4E92-B7AB-3E3A3864C02B}"/>
    <cellStyle name="Note 4 2 3 2 2" xfId="5523" xr:uid="{FB06AFFA-6D8D-429C-AC14-C3C4D21695CC}"/>
    <cellStyle name="Note 4 2 3 2 2 2" xfId="10969" xr:uid="{084BE351-F084-4E1F-A06D-8F0DAAB53B52}"/>
    <cellStyle name="Note 4 2 3 2 3" xfId="8593" xr:uid="{A396D733-865E-418A-AA8F-FFDA7F1C45E4}"/>
    <cellStyle name="Note 4 2 3 3" xfId="3521" xr:uid="{E5A4D429-749F-4D0D-8B1E-CD51EBD6BF4B}"/>
    <cellStyle name="Note 4 2 3 3 2" xfId="5951" xr:uid="{0207813D-CEBC-46C6-95AF-A8083CA7E6C1}"/>
    <cellStyle name="Note 4 2 3 3 2 2" xfId="11393" xr:uid="{EA25A55F-F662-4087-B898-34376F4E2107}"/>
    <cellStyle name="Note 4 2 3 3 3" xfId="9009" xr:uid="{ADCE324C-4069-4CC0-A3A0-DD6899F7826E}"/>
    <cellStyle name="Note 4 2 3 4" xfId="3050" xr:uid="{5012D204-45F0-4E63-8527-FE914E54BA18}"/>
    <cellStyle name="Note 4 2 3 5" xfId="5522" xr:uid="{7CD1E5A0-6C1F-419B-9F08-D9B529A1FBAB}"/>
    <cellStyle name="Note 4 2 3 5 2" xfId="10968" xr:uid="{CDEA72EA-3A32-4FC5-A472-71E9F185C1A9}"/>
    <cellStyle name="Note 4 2 3 6" xfId="8592" xr:uid="{BBF7617D-25C3-451E-AF83-5BBD16473DB1}"/>
    <cellStyle name="Note 4 2 4" xfId="1944" xr:uid="{EEA8B201-C7AB-4594-BBD6-AB697EE9F13C}"/>
    <cellStyle name="Note 4 2 4 2" xfId="5524" xr:uid="{8A651037-B5FE-488B-B8B3-DE33930228AC}"/>
    <cellStyle name="Note 4 2 4 2 2" xfId="10970" xr:uid="{4656547E-3F68-4D90-82E0-13B8B4B0E0EC}"/>
    <cellStyle name="Note 4 2 4 3" xfId="8594" xr:uid="{D6860D6E-8238-4E09-9915-D53CF902EB55}"/>
    <cellStyle name="Note 4 2 5" xfId="3519" xr:uid="{DEBD5456-D6DB-4868-AAC2-716D68FC344F}"/>
    <cellStyle name="Note 4 2 5 2" xfId="5949" xr:uid="{72383A18-6132-4C02-B41E-9C2BB66EC0B2}"/>
    <cellStyle name="Note 4 2 5 2 2" xfId="11391" xr:uid="{7BEDBD12-2623-4423-93ED-8B975933708F}"/>
    <cellStyle name="Note 4 2 5 3" xfId="9007" xr:uid="{B11446C3-F133-4632-916E-F3138E2A8ADF}"/>
    <cellStyle name="Note 4 2 6" xfId="3048" xr:uid="{9D154302-7ED5-497B-A9FD-9507163871AA}"/>
    <cellStyle name="Note 4 2 7" xfId="5517" xr:uid="{49C97A5F-D4DE-409A-AE5A-EAA99F3612CD}"/>
    <cellStyle name="Note 4 2 7 2" xfId="10963" xr:uid="{E9BA44BE-DF84-470D-A0B8-1BCC6B1973FD}"/>
    <cellStyle name="Note 4 2 8" xfId="8587" xr:uid="{4E762758-9652-4C48-B645-0141D22EF1E3}"/>
    <cellStyle name="Note 4 3" xfId="1945" xr:uid="{DB1758A3-FC7B-4723-AC7C-53D4383DFEC0}"/>
    <cellStyle name="Note 4 3 2" xfId="1946" xr:uid="{BFD9F3AB-65D8-4C5C-BAA5-F130D1483C6A}"/>
    <cellStyle name="Note 4 3 2 2" xfId="1947" xr:uid="{E9C5673D-5958-491A-B2FB-6048C591D621}"/>
    <cellStyle name="Note 4 3 2 2 2" xfId="1948" xr:uid="{6044F374-380B-4FF0-AF58-3C0E16DED3C1}"/>
    <cellStyle name="Note 4 3 2 2 2 2" xfId="5528" xr:uid="{F276999A-3E68-4939-AD54-A02A6B0495A0}"/>
    <cellStyle name="Note 4 3 2 2 2 2 2" xfId="10974" xr:uid="{A45BFAC4-9816-44D9-A61A-A7AA31DA1663}"/>
    <cellStyle name="Note 4 3 2 2 2 3" xfId="8598" xr:uid="{06081243-89A0-41EB-97D6-DAC3A4EE74BC}"/>
    <cellStyle name="Note 4 3 2 2 3" xfId="5527" xr:uid="{B382D582-3D1A-4831-9693-2382AA3C8011}"/>
    <cellStyle name="Note 4 3 2 2 3 2" xfId="10973" xr:uid="{5AC0D856-D6A0-444B-AFE3-9F5E25ECFE00}"/>
    <cellStyle name="Note 4 3 2 2 4" xfId="8597" xr:uid="{7104265D-14C9-47E9-B13D-363B0323A2A7}"/>
    <cellStyle name="Note 4 3 2 3" xfId="1949" xr:uid="{9997C2E7-8364-443A-BA41-95D9C8C0B917}"/>
    <cellStyle name="Note 4 3 2 3 2" xfId="5529" xr:uid="{5E8F720F-90F5-450B-8D3B-F3DE5F4C64B4}"/>
    <cellStyle name="Note 4 3 2 3 2 2" xfId="10975" xr:uid="{F8007461-5817-4252-98F3-F4FF7FCCAF0F}"/>
    <cellStyle name="Note 4 3 2 3 3" xfId="8599" xr:uid="{4682D7C9-9906-4FC9-9304-38FF9F58161A}"/>
    <cellStyle name="Note 4 3 2 4" xfId="5526" xr:uid="{69EE49CA-06FF-4740-8734-37AB8EAA12DB}"/>
    <cellStyle name="Note 4 3 2 4 2" xfId="10972" xr:uid="{18E73C6D-CAEF-4F31-8C0E-984847DBC30C}"/>
    <cellStyle name="Note 4 3 2 5" xfId="8596" xr:uid="{E53E1AA2-0AFD-4981-87EC-46DBAB7392C2}"/>
    <cellStyle name="Note 4 3 3" xfId="1950" xr:uid="{93B1B3D8-D9C9-46F8-870C-0D6172ECBC85}"/>
    <cellStyle name="Note 4 3 3 2" xfId="1951" xr:uid="{F616F525-65D5-42B6-9C4C-660D31263987}"/>
    <cellStyle name="Note 4 3 3 2 2" xfId="5531" xr:uid="{37FEA46A-73CE-4321-8081-E622015E8E5E}"/>
    <cellStyle name="Note 4 3 3 2 2 2" xfId="10977" xr:uid="{471F6138-8900-4FF6-8AAC-E9D27BB82B8E}"/>
    <cellStyle name="Note 4 3 3 2 3" xfId="8601" xr:uid="{8ED0AE07-1E04-4E47-B23C-D00FD730731A}"/>
    <cellStyle name="Note 4 3 3 3" xfId="5530" xr:uid="{CF3D42B3-D1C5-49DB-9AA9-A17C6C87AAA5}"/>
    <cellStyle name="Note 4 3 3 3 2" xfId="10976" xr:uid="{55A3C250-81B1-4E6B-AA2A-6F30DE80E5AA}"/>
    <cellStyle name="Note 4 3 3 4" xfId="8600" xr:uid="{9C48E10D-CDF5-4A45-853A-B741BCD66C46}"/>
    <cellStyle name="Note 4 3 4" xfId="1952" xr:uid="{EACF8406-9B84-499F-80E2-8EA7D8FD992C}"/>
    <cellStyle name="Note 4 3 4 2" xfId="5532" xr:uid="{AE78BEE5-B611-4DF0-9E49-2F8A40D2AAA0}"/>
    <cellStyle name="Note 4 3 4 2 2" xfId="10978" xr:uid="{3C353F47-E853-404E-9F65-C17B97D19CB9}"/>
    <cellStyle name="Note 4 3 4 3" xfId="8602" xr:uid="{9A394D6D-00B0-4369-843E-CF0D20FA1036}"/>
    <cellStyle name="Note 4 3 5" xfId="3522" xr:uid="{5F03F184-DD9B-41CD-AF17-30A30549135A}"/>
    <cellStyle name="Note 4 3 5 2" xfId="5952" xr:uid="{303D763E-107A-40CB-9D63-CE675BA1CB16}"/>
    <cellStyle name="Note 4 3 5 2 2" xfId="11394" xr:uid="{9D8BB2A0-CF88-4688-95BD-22903BC4B370}"/>
    <cellStyle name="Note 4 3 5 3" xfId="9010" xr:uid="{3C8649C9-7F43-412D-BDA7-52B9A611EEC4}"/>
    <cellStyle name="Note 4 3 6" xfId="3051" xr:uid="{1923517A-32EF-42AA-A1D5-0A299793BDBA}"/>
    <cellStyle name="Note 4 3 6 2" xfId="5692" xr:uid="{2B67E1ED-0FA9-4006-AA1D-8F8142FCA77D}"/>
    <cellStyle name="Note 4 3 6 2 2" xfId="11134" xr:uid="{2A98CA4C-4052-4D3D-BCC3-83074E1E41E1}"/>
    <cellStyle name="Note 4 3 6 2 3" xfId="13340" xr:uid="{2C9D267B-1D4D-4A1F-9F8C-B78FA6E03DA7}"/>
    <cellStyle name="Note 4 3 6 3" xfId="6499" xr:uid="{298CBFA4-4C1E-46F2-8C8E-10B1CD014378}"/>
    <cellStyle name="Note 4 3 6 3 2" xfId="11941" xr:uid="{2B04D429-A163-48C6-92EA-495F2177CFD1}"/>
    <cellStyle name="Note 4 3 6 3 3" xfId="14009" xr:uid="{419660A5-274C-4963-A204-D07110B7AC03}"/>
    <cellStyle name="Note 4 3 6 4" xfId="8754" xr:uid="{E4976E65-0708-4ECF-B288-EAC98E6855B4}"/>
    <cellStyle name="Note 4 3 6 5" xfId="12612" xr:uid="{AE12A864-B4D8-4C2E-959B-C1875F3EE5CE}"/>
    <cellStyle name="Note 4 3 7" xfId="5525" xr:uid="{AF7493DB-FE8E-493D-B51C-1DA0F6087244}"/>
    <cellStyle name="Note 4 3 7 2" xfId="10971" xr:uid="{325C453C-DCC6-4266-878F-07D0F47EDB77}"/>
    <cellStyle name="Note 4 3 8" xfId="8595" xr:uid="{46AFFEC4-B941-4E07-8B75-780B5AED1244}"/>
    <cellStyle name="Note 4 4" xfId="1953" xr:uid="{FEFC7337-C70E-4A2A-931D-8FE94FC27352}"/>
    <cellStyle name="Note 4 4 2" xfId="1954" xr:uid="{7B989358-4DAE-43D7-8BB5-2536CA9AED3A}"/>
    <cellStyle name="Note 4 4 2 2" xfId="1955" xr:uid="{765D1412-CD2A-4052-8ACD-FFB0D215569C}"/>
    <cellStyle name="Note 4 4 2 2 2" xfId="5535" xr:uid="{16996482-0A87-41EA-BD5E-AE41D1911040}"/>
    <cellStyle name="Note 4 4 2 2 2 2" xfId="10981" xr:uid="{E10128C0-DA86-472E-9A32-96EB73D71182}"/>
    <cellStyle name="Note 4 4 2 2 3" xfId="8605" xr:uid="{7F11571E-2F5F-4995-8377-342A7C2B3F46}"/>
    <cellStyle name="Note 4 4 2 3" xfId="5534" xr:uid="{6A0EC615-7349-45CF-89CE-282BD59F822B}"/>
    <cellStyle name="Note 4 4 2 3 2" xfId="10980" xr:uid="{3B2B1631-22A5-421D-8270-0E6B40069FED}"/>
    <cellStyle name="Note 4 4 2 4" xfId="8604" xr:uid="{DA758D44-846E-44DE-A15C-1E4CD9715EE1}"/>
    <cellStyle name="Note 4 4 3" xfId="1956" xr:uid="{8DC7B0E5-5920-4BCD-8CA5-E81DFB225EBF}"/>
    <cellStyle name="Note 4 4 3 2" xfId="5536" xr:uid="{EA7A438D-0DB3-48E0-AE26-362B3BFB0EB1}"/>
    <cellStyle name="Note 4 4 3 2 2" xfId="10982" xr:uid="{EA27BFC8-1FB3-4E79-91A8-C20E34121F6A}"/>
    <cellStyle name="Note 4 4 3 3" xfId="8606" xr:uid="{1928A3CB-C935-4387-BC00-4FD37ACEB00C}"/>
    <cellStyle name="Note 4 4 4" xfId="3523" xr:uid="{550A2332-6B84-4C73-B8C3-B5BEC0340DD1}"/>
    <cellStyle name="Note 4 4 4 2" xfId="5953" xr:uid="{9DDBDE79-BB5C-43C1-9DAD-1DBE5D773904}"/>
    <cellStyle name="Note 4 4 4 2 2" xfId="11395" xr:uid="{C9CC12CA-50E2-44C1-955E-60FCBFBCDE5E}"/>
    <cellStyle name="Note 4 4 4 3" xfId="9011" xr:uid="{499D30CB-3450-45C4-A1EA-E42B53B13008}"/>
    <cellStyle name="Note 4 4 5" xfId="3052" xr:uid="{BB62DC02-D3D6-4524-B8CA-4C80E965EB74}"/>
    <cellStyle name="Note 4 4 5 2" xfId="5693" xr:uid="{2EE5B821-9D8D-4DCF-9CFB-DD6DB4CB0278}"/>
    <cellStyle name="Note 4 4 5 2 2" xfId="11135" xr:uid="{51E61E21-6D3E-4367-AA7B-B1B6B4752B26}"/>
    <cellStyle name="Note 4 4 5 2 3" xfId="13341" xr:uid="{F156F2E2-56A8-443E-9FBF-37CF2E1A6B84}"/>
    <cellStyle name="Note 4 4 5 3" xfId="6500" xr:uid="{4FB1BA61-EDDA-4787-8656-5D641247DE7A}"/>
    <cellStyle name="Note 4 4 5 3 2" xfId="11942" xr:uid="{A5D4F3C5-884B-4520-9BA5-FABE990F952B}"/>
    <cellStyle name="Note 4 4 5 3 3" xfId="14010" xr:uid="{2BF3DF1A-88C7-4F08-B5F1-1EC99E004C94}"/>
    <cellStyle name="Note 4 4 5 4" xfId="8755" xr:uid="{78267E3F-DFE4-42A6-9D7D-7F55E8511D4B}"/>
    <cellStyle name="Note 4 4 5 5" xfId="12613" xr:uid="{4798B912-E11D-4EA6-9B48-225268FB60D4}"/>
    <cellStyle name="Note 4 4 6" xfId="5533" xr:uid="{2FC855E5-15CF-4FCF-B953-67515D449A2F}"/>
    <cellStyle name="Note 4 4 6 2" xfId="10979" xr:uid="{3012EECE-0410-4454-8399-83F02BD65C73}"/>
    <cellStyle name="Note 4 4 7" xfId="8603" xr:uid="{CF320D8E-E9DE-42DE-97DA-A0744E46D79F}"/>
    <cellStyle name="Note 4 5" xfId="1957" xr:uid="{22C9E4FD-9CED-4535-AF39-46EA228EE48E}"/>
    <cellStyle name="Note 4 5 2" xfId="1958" xr:uid="{D4765BA1-43CC-422C-A967-351E7E21F380}"/>
    <cellStyle name="Note 4 5 2 2" xfId="5538" xr:uid="{50543092-D2AE-4FB4-9A20-73AAF8EF61A1}"/>
    <cellStyle name="Note 4 5 2 2 2" xfId="10984" xr:uid="{42FF8386-2CAA-470B-8646-59E4B1767CB5}"/>
    <cellStyle name="Note 4 5 2 3" xfId="8608" xr:uid="{B1C0D979-8F34-4177-A763-C23FAD704E8C}"/>
    <cellStyle name="Note 4 5 3" xfId="3524" xr:uid="{4A1371B3-0928-457A-99B8-04108F771497}"/>
    <cellStyle name="Note 4 5 3 2" xfId="5954" xr:uid="{0BC958A3-53EC-4475-AB73-6DA23FDD2114}"/>
    <cellStyle name="Note 4 5 3 2 2" xfId="11396" xr:uid="{5DAE89E8-F13D-49CB-B5AD-504527F10BE3}"/>
    <cellStyle name="Note 4 5 3 3" xfId="9012" xr:uid="{C5573324-FFE9-45DA-9247-B889E1B92909}"/>
    <cellStyle name="Note 4 5 4" xfId="3053" xr:uid="{C50982BA-540A-40B9-8A46-71068C3273C2}"/>
    <cellStyle name="Note 4 5 5" xfId="5537" xr:uid="{C6D810B7-A498-4CC0-8A56-7E3E19BDE320}"/>
    <cellStyle name="Note 4 5 5 2" xfId="10983" xr:uid="{FCB46621-B474-48D1-932B-9BA6FA05DE34}"/>
    <cellStyle name="Note 4 5 6" xfId="8607" xr:uid="{F5AA1CF9-81C4-41DE-879B-05E7E7520EE0}"/>
    <cellStyle name="Note 4 6" xfId="1959" xr:uid="{47FF27C6-2271-4AC3-8026-1035D637371D}"/>
    <cellStyle name="Note 4 6 2" xfId="3525" xr:uid="{FB099738-0469-40A8-9DF3-80EC23E34A73}"/>
    <cellStyle name="Note 4 6 2 2" xfId="5955" xr:uid="{287FFB0F-353F-49E4-9B46-DD000CC8D218}"/>
    <cellStyle name="Note 4 6 2 2 2" xfId="11397" xr:uid="{E52D6AE4-028A-47CB-B2AB-55750D84153F}"/>
    <cellStyle name="Note 4 6 2 3" xfId="9013" xr:uid="{4D253BC2-249A-4B44-BC97-3D1DB5362CB5}"/>
    <cellStyle name="Note 4 6 3" xfId="3054" xr:uid="{4364B7A2-E97F-476A-A35B-75647957E981}"/>
    <cellStyle name="Note 4 6 4" xfId="5539" xr:uid="{845DA909-0814-4950-B183-E65BBB8DFD9F}"/>
    <cellStyle name="Note 4 6 4 2" xfId="10985" xr:uid="{0F8243E2-94EE-4D82-A631-74884C16480B}"/>
    <cellStyle name="Note 4 6 5" xfId="8609" xr:uid="{9A7D06F2-92D9-4A18-B6DC-BA819080DC3B}"/>
    <cellStyle name="Note 4 7" xfId="3518" xr:uid="{086AD65C-A99A-4D1A-8DC9-1A763D667B8C}"/>
    <cellStyle name="Note 4 7 2" xfId="5948" xr:uid="{168EBC46-6413-47A4-8112-7BCAF2C6FCC4}"/>
    <cellStyle name="Note 4 7 2 2" xfId="11390" xr:uid="{421A1786-60B1-4BCF-B589-36472289D3E0}"/>
    <cellStyle name="Note 4 7 3" xfId="9006" xr:uid="{92679C72-C96F-4E2E-8C2E-0241D4F62C1D}"/>
    <cellStyle name="Note 4 8" xfId="3047" xr:uid="{755F712E-03E7-45E4-899D-F586498D8AE6}"/>
    <cellStyle name="Note 4 9" xfId="5516" xr:uid="{D22A985A-7303-40F7-AA2E-D37E755E52F0}"/>
    <cellStyle name="Note 4 9 2" xfId="10962" xr:uid="{74A2AAC3-A654-4BCA-84F4-436F47B81771}"/>
    <cellStyle name="Note 5" xfId="1960" xr:uid="{17AF38C1-3611-48A8-BAA3-5323FC5ACA1F}"/>
    <cellStyle name="Note 5 10" xfId="8610" xr:uid="{009D9BD3-4CA6-4248-A349-F09B40DA34F1}"/>
    <cellStyle name="Note 5 2" xfId="1961" xr:uid="{B9FE3731-CCE2-47F2-8565-CC8BC5BBA9E6}"/>
    <cellStyle name="Note 5 2 2" xfId="1962" xr:uid="{416794AD-0052-4E3F-8804-D431B6EA75F8}"/>
    <cellStyle name="Note 5 2 2 2" xfId="1963" xr:uid="{A1E1BC19-CFF4-4E63-968C-C89AA07E2187}"/>
    <cellStyle name="Note 5 2 2 2 2" xfId="1964" xr:uid="{6302AA71-3293-448D-85CF-082C5BAF30C1}"/>
    <cellStyle name="Note 5 2 2 2 2 2" xfId="5544" xr:uid="{514CAE24-9CDF-4B99-B04B-D9901A337BAE}"/>
    <cellStyle name="Note 5 2 2 2 2 2 2" xfId="10990" xr:uid="{352EDC13-C472-4016-A42E-CB14FC51735A}"/>
    <cellStyle name="Note 5 2 2 2 2 3" xfId="8614" xr:uid="{23920FFE-0BFB-497F-A3AE-BE4E592649BB}"/>
    <cellStyle name="Note 5 2 2 2 3" xfId="5543" xr:uid="{D86BF99F-F903-4E7C-94F2-EA91CD77AE9B}"/>
    <cellStyle name="Note 5 2 2 2 3 2" xfId="10989" xr:uid="{64D51190-C7A5-41F2-86B2-76CE5682A63A}"/>
    <cellStyle name="Note 5 2 2 2 4" xfId="8613" xr:uid="{9B713FDD-6281-4F01-9E0F-D313B6982205}"/>
    <cellStyle name="Note 5 2 2 3" xfId="1965" xr:uid="{A024C470-4850-4708-92BF-F61B7A6110C9}"/>
    <cellStyle name="Note 5 2 2 3 2" xfId="5545" xr:uid="{9D5DEB83-068F-4998-9EDA-C8DD0833A529}"/>
    <cellStyle name="Note 5 2 2 3 2 2" xfId="10991" xr:uid="{4466424D-8834-4427-AD0A-8D83E4D88D72}"/>
    <cellStyle name="Note 5 2 2 3 3" xfId="8615" xr:uid="{A8B7D3FD-D124-4C40-9913-FE9086F0B615}"/>
    <cellStyle name="Note 5 2 2 4" xfId="5542" xr:uid="{5EE7F5BC-3502-4921-9832-61A7524201CA}"/>
    <cellStyle name="Note 5 2 2 4 2" xfId="10988" xr:uid="{CFB4A41F-7E69-4A8A-A66E-9FEF78B57694}"/>
    <cellStyle name="Note 5 2 2 5" xfId="8612" xr:uid="{0C18F184-13AA-415B-87D6-F16224DF6971}"/>
    <cellStyle name="Note 5 2 3" xfId="1966" xr:uid="{9F0BBCB0-4D4C-44EB-BBC3-8053C6A14FFD}"/>
    <cellStyle name="Note 5 2 3 2" xfId="1967" xr:uid="{D1D3097A-B2AA-4E7E-92C5-490936383789}"/>
    <cellStyle name="Note 5 2 3 2 2" xfId="5547" xr:uid="{CBEA4050-C986-4D76-AB35-4D0DDEEC1D28}"/>
    <cellStyle name="Note 5 2 3 2 2 2" xfId="10993" xr:uid="{EFF227AF-01B0-4630-9CE0-7B06DCCAF47E}"/>
    <cellStyle name="Note 5 2 3 2 3" xfId="8617" xr:uid="{AA08484E-7205-4EA1-A7C3-89E0EB5CBA80}"/>
    <cellStyle name="Note 5 2 3 3" xfId="5546" xr:uid="{42071C1A-1170-4822-B77E-1B1BDD10346D}"/>
    <cellStyle name="Note 5 2 3 3 2" xfId="10992" xr:uid="{99431585-9067-4269-AA17-6AC527A55F22}"/>
    <cellStyle name="Note 5 2 3 4" xfId="8616" xr:uid="{6B662F06-40E9-4058-A7CE-BB6B0BBF6187}"/>
    <cellStyle name="Note 5 2 4" xfId="1968" xr:uid="{6CBBC94D-C559-454F-928A-589A0EC9368B}"/>
    <cellStyle name="Note 5 2 4 2" xfId="5548" xr:uid="{F68FFCE4-4FA6-4AF7-90B1-F2332B0FF35F}"/>
    <cellStyle name="Note 5 2 4 2 2" xfId="10994" xr:uid="{2DCFBCBA-AA37-4B14-B13F-AF618603A43E}"/>
    <cellStyle name="Note 5 2 4 3" xfId="8618" xr:uid="{2B76019B-00F0-48F6-B3A5-E99FD88CDE89}"/>
    <cellStyle name="Note 5 2 5" xfId="3527" xr:uid="{3634E82F-1A7D-452B-967E-4839E37BA9D9}"/>
    <cellStyle name="Note 5 2 5 2" xfId="5957" xr:uid="{A3220204-FDC5-414D-BC16-EC9707E6D470}"/>
    <cellStyle name="Note 5 2 5 2 2" xfId="11399" xr:uid="{276DD09B-DC54-4DC4-9FE4-96E8C603C1D8}"/>
    <cellStyle name="Note 5 2 5 3" xfId="9015" xr:uid="{4F5A5C7F-AADA-49CC-9291-D6E6352398F2}"/>
    <cellStyle name="Note 5 2 6" xfId="3056" xr:uid="{98A3A583-2C74-46E4-820E-A5CE081FE09D}"/>
    <cellStyle name="Note 5 2 7" xfId="5541" xr:uid="{C98B2FF6-F489-441C-B253-77DB6698EFE4}"/>
    <cellStyle name="Note 5 2 7 2" xfId="10987" xr:uid="{22092E54-893D-4880-8D4C-0339A09B8F73}"/>
    <cellStyle name="Note 5 2 8" xfId="8611" xr:uid="{85DAEF0D-2A31-47E0-B199-1F31CFF6D62F}"/>
    <cellStyle name="Note 5 3" xfId="1969" xr:uid="{A883D04A-3FE5-496A-B9E8-314B70E56C3F}"/>
    <cellStyle name="Note 5 3 2" xfId="1970" xr:uid="{8D3D1B85-8A9E-4067-85E3-27F2D2E2DB80}"/>
    <cellStyle name="Note 5 3 2 2" xfId="1971" xr:uid="{528A9145-2FB7-40C0-98C4-DDEBFEEBA3BB}"/>
    <cellStyle name="Note 5 3 2 2 2" xfId="1972" xr:uid="{4B50C06B-C119-4D40-8E2A-EA7348458CEE}"/>
    <cellStyle name="Note 5 3 2 2 2 2" xfId="5552" xr:uid="{735C342E-067E-42A5-9F40-B18C61561560}"/>
    <cellStyle name="Note 5 3 2 2 2 2 2" xfId="10998" xr:uid="{25EF509D-C201-4202-B587-3CF0E805B3F3}"/>
    <cellStyle name="Note 5 3 2 2 2 3" xfId="8622" xr:uid="{6952D63A-2F19-462A-9059-5C9BD3B0AA21}"/>
    <cellStyle name="Note 5 3 2 2 3" xfId="5551" xr:uid="{FA849D93-3960-4808-8D7B-5AC1BF921B6C}"/>
    <cellStyle name="Note 5 3 2 2 3 2" xfId="10997" xr:uid="{41549D4F-0576-479C-8D69-A8DD6BED0F99}"/>
    <cellStyle name="Note 5 3 2 2 4" xfId="8621" xr:uid="{000BCC82-6DF6-4AA8-B360-C9A1C4604585}"/>
    <cellStyle name="Note 5 3 2 3" xfId="1973" xr:uid="{374A7114-E587-4514-82D9-2D5FADFE1584}"/>
    <cellStyle name="Note 5 3 2 3 2" xfId="5553" xr:uid="{520164D1-7277-4CF0-A17F-C6A4DAA0AFC9}"/>
    <cellStyle name="Note 5 3 2 3 2 2" xfId="10999" xr:uid="{12429C8D-64C0-41FF-9A25-04F59734C440}"/>
    <cellStyle name="Note 5 3 2 3 3" xfId="8623" xr:uid="{B4069BE1-A614-4CC8-BC9C-B4D0B4315274}"/>
    <cellStyle name="Note 5 3 2 4" xfId="5550" xr:uid="{2FE6B450-945D-4ECC-A047-87EE95C3D414}"/>
    <cellStyle name="Note 5 3 2 4 2" xfId="10996" xr:uid="{32759A41-BF81-419B-970A-B34C5CBF4249}"/>
    <cellStyle name="Note 5 3 2 5" xfId="8620" xr:uid="{42E2BF5D-7B40-4C10-A366-7AB2AE179D0F}"/>
    <cellStyle name="Note 5 3 3" xfId="1974" xr:uid="{58416763-0A00-4812-B0DE-AB2E6EBDD04E}"/>
    <cellStyle name="Note 5 3 3 2" xfId="1975" xr:uid="{21462A43-1924-4443-BE54-A0F7D0FA9B04}"/>
    <cellStyle name="Note 5 3 3 2 2" xfId="5555" xr:uid="{CB076B0A-C1F1-43DE-BB1E-AD2BC3B882C0}"/>
    <cellStyle name="Note 5 3 3 2 2 2" xfId="11001" xr:uid="{4185CE46-9732-4CCA-9A2C-E1BEC0AD56F3}"/>
    <cellStyle name="Note 5 3 3 2 3" xfId="8625" xr:uid="{F5B0F517-EBB3-4882-8EC3-28D67C954216}"/>
    <cellStyle name="Note 5 3 3 3" xfId="5554" xr:uid="{D29C8284-E949-4877-BCA5-44229A9C59DC}"/>
    <cellStyle name="Note 5 3 3 3 2" xfId="11000" xr:uid="{04DB37AF-9515-4BC8-8832-5508CF493D09}"/>
    <cellStyle name="Note 5 3 3 4" xfId="8624" xr:uid="{7CF58E54-8F0D-499C-BE51-DA3FE89BA57B}"/>
    <cellStyle name="Note 5 3 4" xfId="1976" xr:uid="{539A543A-A44E-4032-A26A-385AAAADF68D}"/>
    <cellStyle name="Note 5 3 4 2" xfId="5556" xr:uid="{63944EE0-D954-4073-BD86-9A343021B36F}"/>
    <cellStyle name="Note 5 3 4 2 2" xfId="11002" xr:uid="{B06E17B4-D528-4E73-8945-DE7C2A56757A}"/>
    <cellStyle name="Note 5 3 4 3" xfId="8626" xr:uid="{1563A918-6D58-4432-BD4D-ECA3A6491BC3}"/>
    <cellStyle name="Note 5 3 5" xfId="3528" xr:uid="{AE8E784E-460E-4A01-81D1-140F344A43E6}"/>
    <cellStyle name="Note 5 3 5 2" xfId="5958" xr:uid="{9217E912-90CA-400A-A3C9-0E178E6489A9}"/>
    <cellStyle name="Note 5 3 5 2 2" xfId="11400" xr:uid="{79DC6884-7408-46AA-90FC-05A054E5C952}"/>
    <cellStyle name="Note 5 3 5 3" xfId="9016" xr:uid="{E356EE61-4F2B-443B-836E-69D19FDDC128}"/>
    <cellStyle name="Note 5 3 6" xfId="3057" xr:uid="{310C63B4-0C71-4862-B286-909AEED3A7B6}"/>
    <cellStyle name="Note 5 3 7" xfId="5549" xr:uid="{06E33C5B-6924-4D5E-B3B2-CD8774F92ABE}"/>
    <cellStyle name="Note 5 3 7 2" xfId="10995" xr:uid="{9BE2192C-3618-4F16-A9FD-ED147084CF41}"/>
    <cellStyle name="Note 5 3 8" xfId="8619" xr:uid="{844DFDFF-6726-4B74-8D1C-9DCFDE2276E2}"/>
    <cellStyle name="Note 5 4" xfId="1977" xr:uid="{AA8F2FEE-8AD4-4EDC-89DC-8E03CE32BC33}"/>
    <cellStyle name="Note 5 4 2" xfId="1978" xr:uid="{AE0FB300-3EFD-4FC5-99C0-E704F2C756D9}"/>
    <cellStyle name="Note 5 4 2 2" xfId="1979" xr:uid="{107B4804-6232-4929-8D72-5B2C1CB5565E}"/>
    <cellStyle name="Note 5 4 2 2 2" xfId="5559" xr:uid="{032828ED-CEAA-4651-8593-6BFA9236A0EE}"/>
    <cellStyle name="Note 5 4 2 2 2 2" xfId="11005" xr:uid="{6AEB0AED-A72E-4026-9B3D-14F403EF1830}"/>
    <cellStyle name="Note 5 4 2 2 3" xfId="8629" xr:uid="{EC2B6CCE-9F73-442A-A904-F0EA7FF381A1}"/>
    <cellStyle name="Note 5 4 2 3" xfId="5558" xr:uid="{4FC9F1EE-1CEC-4973-8132-24496E95A05B}"/>
    <cellStyle name="Note 5 4 2 3 2" xfId="11004" xr:uid="{2F42153E-9B1B-4DB9-B2C9-625C96245713}"/>
    <cellStyle name="Note 5 4 2 4" xfId="8628" xr:uid="{3391C1DD-7B72-48E2-BF61-CB1AC1432DC2}"/>
    <cellStyle name="Note 5 4 3" xfId="1980" xr:uid="{09B5C531-F15B-4790-8B2B-46BBA19A662C}"/>
    <cellStyle name="Note 5 4 3 2" xfId="5560" xr:uid="{B4248819-597A-4DBE-A98D-133B0FE5E6FA}"/>
    <cellStyle name="Note 5 4 3 2 2" xfId="11006" xr:uid="{F20150F4-396B-49C2-A9F9-DF79DA42CF92}"/>
    <cellStyle name="Note 5 4 3 3" xfId="8630" xr:uid="{F46EED6A-2F5E-4B64-999A-E0B7BB5C7FAF}"/>
    <cellStyle name="Note 5 4 4" xfId="5557" xr:uid="{8A93AECE-C3DA-4369-94A9-C8224484E202}"/>
    <cellStyle name="Note 5 4 4 2" xfId="11003" xr:uid="{28A4EEF9-F5B4-48F1-B943-3B85209D9730}"/>
    <cellStyle name="Note 5 4 5" xfId="8627" xr:uid="{D3C89353-1B8A-4C86-AC7B-76CCE1880ECA}"/>
    <cellStyle name="Note 5 5" xfId="1981" xr:uid="{E7BE77FB-D215-4102-A65A-D192E0DAFC36}"/>
    <cellStyle name="Note 5 5 2" xfId="1982" xr:uid="{353E59EC-5910-4D7B-BD31-52EC04229EDF}"/>
    <cellStyle name="Note 5 5 2 2" xfId="5562" xr:uid="{76309BEF-9FE6-4CF0-8566-E2F28E16F0A2}"/>
    <cellStyle name="Note 5 5 2 2 2" xfId="11008" xr:uid="{4286B0CC-8521-4228-825F-5D060A6EA8E7}"/>
    <cellStyle name="Note 5 5 2 3" xfId="8632" xr:uid="{3D41E299-22A3-47F3-898E-DAC9E40E5E38}"/>
    <cellStyle name="Note 5 5 3" xfId="5561" xr:uid="{AED65124-9467-48BD-A794-E4FBB0D36A37}"/>
    <cellStyle name="Note 5 5 3 2" xfId="11007" xr:uid="{665010E4-CEB0-4E80-BCDC-7D20269E3024}"/>
    <cellStyle name="Note 5 5 4" xfId="8631" xr:uid="{8FDCF1D3-1317-4692-9EF5-1F99F7E0D9AA}"/>
    <cellStyle name="Note 5 6" xfId="1983" xr:uid="{D31E043B-48F3-4CC1-A142-E2C5A4315001}"/>
    <cellStyle name="Note 5 6 2" xfId="5563" xr:uid="{76B6D896-5A62-4C51-A56D-90B3E067EF38}"/>
    <cellStyle name="Note 5 6 2 2" xfId="11009" xr:uid="{40AB2209-5FD4-4A1A-A85C-D4F45F1B397B}"/>
    <cellStyle name="Note 5 6 3" xfId="8633" xr:uid="{54BE35E2-6E73-4BBD-83B7-64F12386C870}"/>
    <cellStyle name="Note 5 7" xfId="3526" xr:uid="{7556E9F3-788C-4443-B2AD-F339F0230FCD}"/>
    <cellStyle name="Note 5 7 2" xfId="5956" xr:uid="{A77DDCA3-B2A9-4EB9-BFD0-2D437C7858B0}"/>
    <cellStyle name="Note 5 7 2 2" xfId="11398" xr:uid="{ADD5E639-9A40-4F8A-9B98-9B0FD654705C}"/>
    <cellStyle name="Note 5 7 3" xfId="9014" xr:uid="{B9BD20FC-7766-4C73-9B70-8D9467B1C25A}"/>
    <cellStyle name="Note 5 8" xfId="3055" xr:uid="{2005C92D-CE7E-40FB-9D75-1B93839B98EF}"/>
    <cellStyle name="Note 5 9" xfId="5540" xr:uid="{8BD52731-2340-493F-9EF8-C13929436D1F}"/>
    <cellStyle name="Note 5 9 2" xfId="10986" xr:uid="{A4C74827-94CE-48F3-A09A-9DF60701BA54}"/>
    <cellStyle name="Note 6" xfId="1984" xr:uid="{DF4E5080-CD8A-4980-AEF6-B87B3BA744C3}"/>
    <cellStyle name="Note 6 2" xfId="1985" xr:uid="{D781E6D6-0088-47AE-9410-174FA24ACA0D}"/>
    <cellStyle name="Note 6 2 2" xfId="1986" xr:uid="{A780FEDF-BFF5-48BD-BDA3-B0772788166D}"/>
    <cellStyle name="Note 6 2 2 2" xfId="1987" xr:uid="{58CBA546-472A-4425-B07B-57D720C60ECA}"/>
    <cellStyle name="Note 6 2 2 2 2" xfId="5567" xr:uid="{1F079BE1-6F98-47FF-BC6E-055682473C41}"/>
    <cellStyle name="Note 6 2 2 2 2 2" xfId="11013" xr:uid="{F19E4DFC-E69D-4DD3-AE4A-9B38F3A380D2}"/>
    <cellStyle name="Note 6 2 2 2 3" xfId="8637" xr:uid="{4B83EF74-4186-4A3F-96FD-345F86BA2471}"/>
    <cellStyle name="Note 6 2 2 3" xfId="5566" xr:uid="{62015695-77FE-4494-AB41-5380C9E0A27C}"/>
    <cellStyle name="Note 6 2 2 3 2" xfId="11012" xr:uid="{09020E43-7AB7-490F-962F-3CA94E5B4C83}"/>
    <cellStyle name="Note 6 2 2 4" xfId="8636" xr:uid="{65679028-52EA-4927-A703-1E8B35C314E1}"/>
    <cellStyle name="Note 6 2 3" xfId="1988" xr:uid="{5F379A27-E70B-4C7A-9BDD-B098D584E8B5}"/>
    <cellStyle name="Note 6 2 3 2" xfId="5568" xr:uid="{D2FCF2FF-C2DA-4F96-978F-2DD91065C579}"/>
    <cellStyle name="Note 6 2 3 2 2" xfId="11014" xr:uid="{BACF58BA-ECF2-4D67-AE97-1331889EDD68}"/>
    <cellStyle name="Note 6 2 3 3" xfId="8638" xr:uid="{CDD5A61E-6958-4808-8000-22283B614F71}"/>
    <cellStyle name="Note 6 2 4" xfId="3530" xr:uid="{B5A9E8A5-46B3-4498-A1FC-EE807424D69F}"/>
    <cellStyle name="Note 6 2 4 2" xfId="5960" xr:uid="{B0F31135-711F-4299-9A8E-2815BCF8596C}"/>
    <cellStyle name="Note 6 2 4 2 2" xfId="11402" xr:uid="{58109BB6-570B-476C-B76C-527AF310928A}"/>
    <cellStyle name="Note 6 2 4 3" xfId="9018" xr:uid="{2B5B842F-E716-4770-83EF-75F767B9427F}"/>
    <cellStyle name="Note 6 2 5" xfId="3059" xr:uid="{C8720817-2960-435E-BEA3-7E0119B2A6C6}"/>
    <cellStyle name="Note 6 2 5 2" xfId="5698" xr:uid="{1D231AB8-FDE4-4B3F-BB1B-083624BF7DEC}"/>
    <cellStyle name="Note 6 2 5 2 2" xfId="11140" xr:uid="{11E56F05-8E9E-4DAD-AC5A-BECC592B391C}"/>
    <cellStyle name="Note 6 2 5 2 3" xfId="13346" xr:uid="{E9F246E1-D041-4885-8077-1A3583A5CB3A}"/>
    <cellStyle name="Note 6 2 5 3" xfId="6502" xr:uid="{00E9F2EA-A868-4BD5-9674-62635B8CE2B5}"/>
    <cellStyle name="Note 6 2 5 3 2" xfId="11944" xr:uid="{0581DF19-8F34-481A-842F-8EC6CE0F95FE}"/>
    <cellStyle name="Note 6 2 5 3 3" xfId="14012" xr:uid="{1126CA27-F739-4933-AFFA-2FB2B3A65ED4}"/>
    <cellStyle name="Note 6 2 5 4" xfId="8757" xr:uid="{8AB64CCB-EBD0-408F-B19A-912D7FD28476}"/>
    <cellStyle name="Note 6 2 5 5" xfId="12615" xr:uid="{A5A0BC35-4A76-42F9-8D66-36B348F0C4B3}"/>
    <cellStyle name="Note 6 2 6" xfId="5565" xr:uid="{C88BD340-FB1F-481F-8163-EB4AFB38E5C6}"/>
    <cellStyle name="Note 6 2 6 2" xfId="11011" xr:uid="{F33FF334-E4C5-49B6-8D3C-203560AD217D}"/>
    <cellStyle name="Note 6 2 7" xfId="8635" xr:uid="{31663EDA-5D5C-4CA5-A8EE-EEAABE5DBB5F}"/>
    <cellStyle name="Note 6 3" xfId="1989" xr:uid="{67E0D50F-E30C-42CF-A945-E35821C5AEA8}"/>
    <cellStyle name="Note 6 3 2" xfId="1990" xr:uid="{3A2D3D37-0589-49A2-B20A-9520E4661183}"/>
    <cellStyle name="Note 6 3 2 2" xfId="5570" xr:uid="{842B984A-512D-44F7-8E8D-8E0D75117F50}"/>
    <cellStyle name="Note 6 3 2 2 2" xfId="11016" xr:uid="{49153F3F-5C6D-480A-94D1-912A7C6F34F1}"/>
    <cellStyle name="Note 6 3 2 3" xfId="8640" xr:uid="{EE834EE1-235D-4CD0-B150-CFC77BC0C553}"/>
    <cellStyle name="Note 6 3 3" xfId="5569" xr:uid="{984D5977-7DB5-4BFF-BEE3-3A95E479CC92}"/>
    <cellStyle name="Note 6 3 3 2" xfId="11015" xr:uid="{240EAC15-19B7-4AF2-B474-8491A853BD62}"/>
    <cellStyle name="Note 6 3 4" xfId="8639" xr:uid="{1D356190-478A-448A-8183-F478B972CCFB}"/>
    <cellStyle name="Note 6 4" xfId="1991" xr:uid="{D0026873-CA84-4D38-B549-965D4525E489}"/>
    <cellStyle name="Note 6 4 2" xfId="5571" xr:uid="{C64178E5-0035-421A-AA40-42512BD9494A}"/>
    <cellStyle name="Note 6 4 2 2" xfId="11017" xr:uid="{100B8F26-B168-4D40-A120-BA532773FDAD}"/>
    <cellStyle name="Note 6 4 3" xfId="8641" xr:uid="{AA6C2EBF-0067-4E9B-A0B5-345AB6718276}"/>
    <cellStyle name="Note 6 5" xfId="3529" xr:uid="{40F94AA8-A6FC-434D-A221-8AFAD94A03B8}"/>
    <cellStyle name="Note 6 5 2" xfId="5959" xr:uid="{E7C69FBE-833F-4FA8-8878-A48B142DB11A}"/>
    <cellStyle name="Note 6 5 2 2" xfId="11401" xr:uid="{82513DE6-B4C8-4B19-A05A-13A469538440}"/>
    <cellStyle name="Note 6 5 3" xfId="9017" xr:uid="{C6FC0E5F-0010-43C2-A18A-30E92C695117}"/>
    <cellStyle name="Note 6 6" xfId="3058" xr:uid="{105296CD-641B-4E7A-A4AD-65188E3DAE9B}"/>
    <cellStyle name="Note 6 6 2" xfId="5697" xr:uid="{16F9F2DF-587A-4075-B83C-0C5EF914EC57}"/>
    <cellStyle name="Note 6 6 2 2" xfId="11139" xr:uid="{F9351E0C-BDC6-44B5-BE66-4E5F9920E1F2}"/>
    <cellStyle name="Note 6 6 2 3" xfId="13345" xr:uid="{B909E96D-92C3-4D60-86E6-2130EB1A98D8}"/>
    <cellStyle name="Note 6 6 3" xfId="6501" xr:uid="{74049B7C-0A16-4BBC-98E6-68E2BAF651F1}"/>
    <cellStyle name="Note 6 6 3 2" xfId="11943" xr:uid="{A430A889-2B29-488E-A93D-5268FA06651E}"/>
    <cellStyle name="Note 6 6 3 3" xfId="14011" xr:uid="{64FCC6F3-7F79-47A4-AD84-D7041A897BBA}"/>
    <cellStyle name="Note 6 6 4" xfId="8756" xr:uid="{487A16CD-1BBE-4276-A7BB-C9BE8B1203D4}"/>
    <cellStyle name="Note 6 6 5" xfId="12614" xr:uid="{9593AB8C-4DC0-4B69-8686-93F300328937}"/>
    <cellStyle name="Note 6 7" xfId="5564" xr:uid="{0373A0B6-824F-4A4C-8BBB-B9F69EF79128}"/>
    <cellStyle name="Note 6 7 2" xfId="11010" xr:uid="{D59BA65F-9B20-480F-8B9B-B682D7F41ECA}"/>
    <cellStyle name="Note 6 8" xfId="8634" xr:uid="{B519D0F0-B74E-4097-BF34-87F053C9E2A0}"/>
    <cellStyle name="Note 7" xfId="1992" xr:uid="{5BA978C3-01D7-4596-B07A-DA9258A89E8D}"/>
    <cellStyle name="Note 7 2" xfId="1993" xr:uid="{B30DDA91-D91E-40BD-A5C1-89A59332E8DA}"/>
    <cellStyle name="Note 7 2 2" xfId="1994" xr:uid="{0AF50AE7-7772-4099-AA78-5E2D1384BE61}"/>
    <cellStyle name="Note 7 2 2 2" xfId="5574" xr:uid="{43803575-50C6-4080-A727-4833BC6ED767}"/>
    <cellStyle name="Note 7 2 2 2 2" xfId="11020" xr:uid="{EE181935-139C-4209-B116-08CFEFEF465E}"/>
    <cellStyle name="Note 7 2 2 3" xfId="8644" xr:uid="{20E150E3-83B1-463A-B773-0A9FB3A2EA0F}"/>
    <cellStyle name="Note 7 2 3" xfId="5573" xr:uid="{EB5A0541-2787-467E-A2CD-42E6913F6967}"/>
    <cellStyle name="Note 7 2 3 2" xfId="11019" xr:uid="{C2DEF4BD-4222-4BFA-944C-2B31E7DF132E}"/>
    <cellStyle name="Note 7 2 4" xfId="8643" xr:uid="{106CE073-B99C-4AE0-BF73-7FBE10B6E15E}"/>
    <cellStyle name="Note 7 3" xfId="1995" xr:uid="{F805FCD7-5FF7-4AF0-BF58-8C5112D69584}"/>
    <cellStyle name="Note 7 3 2" xfId="5575" xr:uid="{874CD193-7295-4FE5-B80E-6A6932F46E1F}"/>
    <cellStyle name="Note 7 3 2 2" xfId="11021" xr:uid="{667605E5-5C07-4216-A15E-CC47F308F948}"/>
    <cellStyle name="Note 7 3 3" xfId="8645" xr:uid="{B1911756-17CE-4AE5-97BC-71E8D1B00816}"/>
    <cellStyle name="Note 7 4" xfId="3531" xr:uid="{75031C7D-3F5B-4F90-9C71-119D8A9E4F23}"/>
    <cellStyle name="Note 7 4 2" xfId="5961" xr:uid="{A051CD7F-4DE9-42BC-8B05-B3DDE69E29E4}"/>
    <cellStyle name="Note 7 4 2 2" xfId="11403" xr:uid="{D2EFB3DF-BF92-4275-9C4F-03EA57191F16}"/>
    <cellStyle name="Note 7 4 3" xfId="9019" xr:uid="{D00D469A-77DE-42E1-A2B2-AA39A4EF14E4}"/>
    <cellStyle name="Note 7 5" xfId="3060" xr:uid="{1210F42E-0F96-409A-86F2-A2B8CF325E61}"/>
    <cellStyle name="Note 7 5 2" xfId="5699" xr:uid="{63AEBFB0-7082-408D-873C-5ADD7175E8D8}"/>
    <cellStyle name="Note 7 5 2 2" xfId="11141" xr:uid="{4D55BC31-61D1-46BE-B6FC-B309E822FB79}"/>
    <cellStyle name="Note 7 5 2 3" xfId="13347" xr:uid="{DB35CB0F-1FEA-4C24-94CC-698C35C01863}"/>
    <cellStyle name="Note 7 5 3" xfId="6503" xr:uid="{67129640-2459-40E6-A660-5C17D8E8AD34}"/>
    <cellStyle name="Note 7 5 3 2" xfId="11945" xr:uid="{DEED8549-521F-42BE-B0D7-A235E68795F4}"/>
    <cellStyle name="Note 7 5 3 3" xfId="14013" xr:uid="{25F25DDC-8FE9-464A-88EB-8668898F2C29}"/>
    <cellStyle name="Note 7 5 4" xfId="8758" xr:uid="{93CDE23D-BC4A-47CC-88BC-260367344DF4}"/>
    <cellStyle name="Note 7 5 5" xfId="12616" xr:uid="{7FA1847B-4D29-4C25-88B1-2091D516B1E5}"/>
    <cellStyle name="Note 7 6" xfId="5572" xr:uid="{6D006EF6-1203-460F-983A-A76A2029FD59}"/>
    <cellStyle name="Note 7 6 2" xfId="11018" xr:uid="{84785F3D-E30B-419E-8181-8216BA7A7C76}"/>
    <cellStyle name="Note 7 7" xfId="8642" xr:uid="{E921E27A-0A00-42E8-B489-06D2D13DB1CD}"/>
    <cellStyle name="Note 8" xfId="1996" xr:uid="{462B7CD3-B90C-40DE-BB8A-51E38448D5F4}"/>
    <cellStyle name="Note 8 2" xfId="1997" xr:uid="{4301A185-B520-4795-B72A-239A940164D6}"/>
    <cellStyle name="Note 8 2 2" xfId="5577" xr:uid="{4D0A1FF8-4398-4FCB-9C5D-6C5AF4409AE8}"/>
    <cellStyle name="Note 8 2 2 2" xfId="11023" xr:uid="{67B20FE4-F1BC-4995-B8BF-3A63E5A28422}"/>
    <cellStyle name="Note 8 2 3" xfId="8647" xr:uid="{A88493A3-E937-403E-B23B-016280D2CFC6}"/>
    <cellStyle name="Note 8 3" xfId="5576" xr:uid="{AECDFEA5-2EBE-4763-9F91-487988C013D2}"/>
    <cellStyle name="Note 8 3 2" xfId="11022" xr:uid="{3E9C305D-812E-4821-8EAD-C4FE0513260C}"/>
    <cellStyle name="Note 8 4" xfId="8646" xr:uid="{A077478F-3AF2-4D74-A855-94C8012A11F0}"/>
    <cellStyle name="Note 9" xfId="332" xr:uid="{D57FA87A-BF58-4A43-A66C-C985888BADF4}"/>
    <cellStyle name="Note 9 2" xfId="4175" xr:uid="{A3C35051-296D-4DEF-A484-CB294119521C}"/>
    <cellStyle name="Note 9 2 2" xfId="9625" xr:uid="{7596F706-F7F0-47F8-9D30-23FF055F2108}"/>
    <cellStyle name="Note 9 3" xfId="7247" xr:uid="{A8E7CB86-13FC-4C50-A996-540EDF00A37F}"/>
    <cellStyle name="Number_#,###" xfId="35" xr:uid="{00000000-0005-0000-0000-00004A000000}"/>
    <cellStyle name="Number_#,### 2" xfId="79" xr:uid="{00000000-0005-0000-0000-00004B000000}"/>
    <cellStyle name="Output" xfId="67" builtinId="21" customBuiltin="1"/>
    <cellStyle name="Output 10" xfId="8890" xr:uid="{A11D53B2-1036-41A7-9070-1B442DA3B458}"/>
    <cellStyle name="Output 2" xfId="68" xr:uid="{00000000-0005-0000-0000-00004D000000}"/>
    <cellStyle name="Output 2 10" xfId="1998" xr:uid="{7E5C3105-F6CF-45C5-82E6-067B859BF7DD}"/>
    <cellStyle name="Output 2 10 2" xfId="8648" xr:uid="{F2992BDC-AEB4-4425-97B7-2E0511F10A59}"/>
    <cellStyle name="Output 2 10 3" xfId="12559" xr:uid="{584EAF8B-4B2C-4E35-8D11-201FB773B0B0}"/>
    <cellStyle name="Output 2 11" xfId="5578" xr:uid="{CCF337BB-5948-41A9-9159-08DAC26EEB43}"/>
    <cellStyle name="Output 2 11 2" xfId="11024" xr:uid="{FBA0FB7F-EBA6-4043-AF78-71A029C5F468}"/>
    <cellStyle name="Output 2 11 3" xfId="13261" xr:uid="{B7E3A810-A058-471B-AE9F-B1DD25BC15A9}"/>
    <cellStyle name="Output 2 12" xfId="6446" xr:uid="{FC5BB6B7-C735-4849-BE84-69E4BFC9BC9A}"/>
    <cellStyle name="Output 2 12 2" xfId="11888" xr:uid="{84EEFC25-E450-4095-A32A-980813B414D3}"/>
    <cellStyle name="Output 2 12 3" xfId="13956" xr:uid="{CE74417C-DD01-4580-BF05-FDBF78747710}"/>
    <cellStyle name="Output 2 13" xfId="7118" xr:uid="{0319D72D-6FD9-449E-9224-423CA9FD6D5C}"/>
    <cellStyle name="Output 2 14" xfId="8889" xr:uid="{1D28AB45-2E70-4277-A8EE-4546A80F4CE5}"/>
    <cellStyle name="Output 2 2" xfId="1999" xr:uid="{5361FAC8-355C-4C9A-8D2E-EA22BB7E6353}"/>
    <cellStyle name="Output 2 2 2" xfId="3063" xr:uid="{65DD4AF8-7B3D-4338-8014-F0003B34624B}"/>
    <cellStyle name="Output 2 2 2 2" xfId="5702" xr:uid="{F93C844F-493A-42CC-A581-F8EF40531F0E}"/>
    <cellStyle name="Output 2 2 2 2 2" xfId="11144" xr:uid="{DD168124-81C0-4C72-81C7-8BA6944F9086}"/>
    <cellStyle name="Output 2 2 2 2 3" xfId="13350" xr:uid="{54C9BCAF-309E-420B-9306-607E35D0AEAF}"/>
    <cellStyle name="Output 2 2 2 3" xfId="6506" xr:uid="{78403044-FBDA-4FE9-B63C-6C15E4650CE2}"/>
    <cellStyle name="Output 2 2 2 3 2" xfId="11948" xr:uid="{02CFB98B-8AA0-42F7-AF3F-D2E7C2C35E3A}"/>
    <cellStyle name="Output 2 2 2 3 3" xfId="14016" xr:uid="{55B489D8-E190-4564-ACB6-0C52A207E1D7}"/>
    <cellStyle name="Output 2 2 2 4" xfId="8761" xr:uid="{BF6197C4-49F8-4DD7-B7D5-4E68AD70DFCE}"/>
    <cellStyle name="Output 2 2 2 5" xfId="12619" xr:uid="{B1C3A8FF-A00E-4FCB-865D-7246CC594529}"/>
    <cellStyle name="Output 2 2 3" xfId="3064" xr:uid="{1E9A892E-02FD-4D90-B647-2A8B2AEABBBD}"/>
    <cellStyle name="Output 2 2 3 2" xfId="5703" xr:uid="{E6ADA925-BB3D-44FE-848C-A60614439389}"/>
    <cellStyle name="Output 2 2 3 2 2" xfId="11145" xr:uid="{52BBFFAC-5E99-4747-8100-44D0668251F2}"/>
    <cellStyle name="Output 2 2 3 2 3" xfId="13351" xr:uid="{D1CD873B-BBAC-4A40-B375-D2A14DBB691A}"/>
    <cellStyle name="Output 2 2 3 3" xfId="6507" xr:uid="{7043E1DB-6D69-47C7-9E4E-606086CF9E96}"/>
    <cellStyle name="Output 2 2 3 3 2" xfId="11949" xr:uid="{61BAEECA-EC1E-4D60-9E50-51871886CF87}"/>
    <cellStyle name="Output 2 2 3 3 3" xfId="14017" xr:uid="{0F2384F9-865D-4082-83C1-A7025F02F2B2}"/>
    <cellStyle name="Output 2 2 3 4" xfId="8762" xr:uid="{49B5823C-8A64-4C2D-8AD1-6AB1C10362F0}"/>
    <cellStyle name="Output 2 2 3 5" xfId="12620" xr:uid="{31DD934A-3854-4F45-91A2-581D9176789A}"/>
    <cellStyle name="Output 2 2 4" xfId="3533" xr:uid="{83B921FC-26D4-4458-BED4-02BBB0788C27}"/>
    <cellStyle name="Output 2 2 4 2" xfId="5963" xr:uid="{E320BA6F-074F-4298-8498-34972D44597F}"/>
    <cellStyle name="Output 2 2 4 2 2" xfId="11405" xr:uid="{A78FFC7A-A178-4E1D-B9B3-7557447C1EF2}"/>
    <cellStyle name="Output 2 2 4 2 3" xfId="13492" xr:uid="{3F3A0DF2-4A76-4EFE-B792-5E24A671DF16}"/>
    <cellStyle name="Output 2 2 4 3" xfId="6649" xr:uid="{74E1316F-E2E8-4D5A-9162-A20F1754574A}"/>
    <cellStyle name="Output 2 2 4 3 2" xfId="12091" xr:uid="{84670300-196E-485D-B97D-DFD9BD29E5A0}"/>
    <cellStyle name="Output 2 2 4 3 3" xfId="14154" xr:uid="{C0E32315-B135-480D-BBAC-B5B9681B08AD}"/>
    <cellStyle name="Output 2 2 4 4" xfId="9021" xr:uid="{9C04BF80-E074-439D-AA0D-2CA8DC55CD57}"/>
    <cellStyle name="Output 2 2 4 5" xfId="12757" xr:uid="{B6951653-6669-45BB-9AB8-D9E0FD290A76}"/>
    <cellStyle name="Output 2 2 5" xfId="3062" xr:uid="{9B5CD229-9B0C-4273-8BE3-0FAC0BC8E5BE}"/>
    <cellStyle name="Output 2 2 5 2" xfId="5701" xr:uid="{178AF5B0-6483-4FF4-A516-DD598B6E8070}"/>
    <cellStyle name="Output 2 2 5 2 2" xfId="11143" xr:uid="{2D7CC9DC-ADD6-4CA4-B69B-48BD0835B512}"/>
    <cellStyle name="Output 2 2 5 2 3" xfId="13349" xr:uid="{777A3C7B-5829-4527-81C5-CDDBD9798594}"/>
    <cellStyle name="Output 2 2 5 3" xfId="6505" xr:uid="{0461E916-E4F7-4805-85ED-AE7DDAD87CA9}"/>
    <cellStyle name="Output 2 2 5 3 2" xfId="11947" xr:uid="{AD59F1A8-4899-4F19-A0FC-37E9A5D1B346}"/>
    <cellStyle name="Output 2 2 5 3 3" xfId="14015" xr:uid="{D9882704-2074-4C73-8C4D-B017D31DA29A}"/>
    <cellStyle name="Output 2 2 5 4" xfId="8760" xr:uid="{B03E56A5-A98F-44C9-83BD-F38222E65493}"/>
    <cellStyle name="Output 2 2 5 5" xfId="12618" xr:uid="{76FA5D35-8976-41BE-8D38-C03C4A647C46}"/>
    <cellStyle name="Output 2 2 6" xfId="5579" xr:uid="{6784A275-2520-4D13-A98C-DA71B0527257}"/>
    <cellStyle name="Output 2 2 6 2" xfId="11025" xr:uid="{4A928570-9CA8-49FD-A71B-7CDD8EED55AF}"/>
    <cellStyle name="Output 2 2 6 3" xfId="13262" xr:uid="{91EF88CF-FF49-4DD0-BD3E-AAC488F4B912}"/>
    <cellStyle name="Output 2 2 7" xfId="6447" xr:uid="{88426DC4-6928-4F8D-A76B-40562FBB3695}"/>
    <cellStyle name="Output 2 2 7 2" xfId="11889" xr:uid="{BB5AB3EA-0552-4D6E-AA30-D9EFEE2092C8}"/>
    <cellStyle name="Output 2 2 7 3" xfId="13957" xr:uid="{690FC12F-C19F-405E-8B60-2658DD7AA3CB}"/>
    <cellStyle name="Output 2 2 8" xfId="8649" xr:uid="{2725631F-42FA-46EE-8D3D-7705E49B07A5}"/>
    <cellStyle name="Output 2 2 9" xfId="12560" xr:uid="{6AAF8804-DE45-44D6-9075-6EAF0AB9376B}"/>
    <cellStyle name="Output 2 2_2014 CLEAResult Invoices" xfId="3065" xr:uid="{02CED74C-BF8F-4CFA-BE63-71800E2F483A}"/>
    <cellStyle name="Output 2 3" xfId="3066" xr:uid="{C5340CEC-7F4D-4EF2-8647-8FA3A225A46F}"/>
    <cellStyle name="Output 2 3 2" xfId="3067" xr:uid="{DF2755A6-C180-49CA-AF24-661BAD20FE76}"/>
    <cellStyle name="Output 2 3 2 2" xfId="5705" xr:uid="{267EA2BC-2864-4FEE-B2C2-9D230935A93D}"/>
    <cellStyle name="Output 2 3 2 2 2" xfId="11147" xr:uid="{5AC2FA45-D912-4050-8876-F458149DB282}"/>
    <cellStyle name="Output 2 3 2 2 3" xfId="13353" xr:uid="{8CE28F6E-2756-487D-A963-AAAA46ED3C9B}"/>
    <cellStyle name="Output 2 3 2 3" xfId="6509" xr:uid="{6A1A5AE9-4D34-4F4B-9AF4-53B695713F99}"/>
    <cellStyle name="Output 2 3 2 3 2" xfId="11951" xr:uid="{A6D3FE33-6BF5-4064-BF53-A4F4673E3ACD}"/>
    <cellStyle name="Output 2 3 2 3 3" xfId="14019" xr:uid="{7446A436-A8CF-4280-8A50-6FA69675F476}"/>
    <cellStyle name="Output 2 3 2 4" xfId="8764" xr:uid="{B3D8DEF4-D16E-48FC-99A7-D37416E88D69}"/>
    <cellStyle name="Output 2 3 2 5" xfId="12622" xr:uid="{F4D72B36-56A5-4AD0-B585-292DF4249AD1}"/>
    <cellStyle name="Output 2 3 3" xfId="5704" xr:uid="{748A6F59-BC62-4C50-8E9A-FD36E1E0C50E}"/>
    <cellStyle name="Output 2 3 3 2" xfId="11146" xr:uid="{F8D6E3F0-BB65-4B3F-B50E-F714F55008B7}"/>
    <cellStyle name="Output 2 3 3 3" xfId="13352" xr:uid="{E228B4CA-3EC1-4204-8F73-669D0C06E6EC}"/>
    <cellStyle name="Output 2 3 4" xfId="6508" xr:uid="{C345CEA5-FB11-45DB-83A5-B1BF45CA0C13}"/>
    <cellStyle name="Output 2 3 4 2" xfId="11950" xr:uid="{3334711A-43F9-425B-954C-94F4BE8A3EAE}"/>
    <cellStyle name="Output 2 3 4 3" xfId="14018" xr:uid="{57FB3364-BC18-4203-8378-F6432A1233CF}"/>
    <cellStyle name="Output 2 3 5" xfId="8763" xr:uid="{5308828C-A620-45DB-96E2-C54544784713}"/>
    <cellStyle name="Output 2 3 6" xfId="12621" xr:uid="{A6CD9D55-9CD0-4632-94DE-D07301922CB2}"/>
    <cellStyle name="Output 2 4" xfId="3068" xr:uid="{C6E583E3-D4FE-441E-99A8-9EBA574D974E}"/>
    <cellStyle name="Output 2 4 2" xfId="3069" xr:uid="{E94E4CC6-8371-43EC-8913-C5F9DC5995D6}"/>
    <cellStyle name="Output 2 4 3" xfId="5706" xr:uid="{C53E9611-48A8-4302-A527-E40257547BC0}"/>
    <cellStyle name="Output 2 4 3 2" xfId="11148" xr:uid="{D8A4DBA0-A2B6-4C98-9D11-6A7C48D50EEC}"/>
    <cellStyle name="Output 2 4 3 3" xfId="13354" xr:uid="{2B6B5F9D-9D03-42F9-B4F9-5E0DFF4477D6}"/>
    <cellStyle name="Output 2 4 4" xfId="6510" xr:uid="{BA8E64FF-ACEC-4135-B457-93A22C70D125}"/>
    <cellStyle name="Output 2 4 4 2" xfId="11952" xr:uid="{F8E97153-88A9-46BC-BA82-65CCE6F9BEB0}"/>
    <cellStyle name="Output 2 4 4 3" xfId="14020" xr:uid="{12AC55EE-8E5E-4EA9-AEDD-D0110C767422}"/>
    <cellStyle name="Output 2 4 5" xfId="8765" xr:uid="{E4DA0079-6518-4D11-8DB3-25AD15FDCFBD}"/>
    <cellStyle name="Output 2 4 6" xfId="12623" xr:uid="{4E86BF17-F15C-4619-A100-EF710A61F3D1}"/>
    <cellStyle name="Output 2 5" xfId="3070" xr:uid="{4D2865CC-EDD4-4F5D-829B-13339ACD4AF5}"/>
    <cellStyle name="Output 2 5 2" xfId="3071" xr:uid="{DC9F98E4-8933-43F5-B1E9-C6CBC4BC89C0}"/>
    <cellStyle name="Output 2 5 3" xfId="5708" xr:uid="{1C3B6AC3-0C21-43ED-9132-F577B6F8AFA0}"/>
    <cellStyle name="Output 2 5 3 2" xfId="11150" xr:uid="{9E22F040-D89B-425F-A7BE-477899AE3D22}"/>
    <cellStyle name="Output 2 5 3 3" xfId="13356" xr:uid="{5CB073EB-0065-41D1-8993-CD6115700D30}"/>
    <cellStyle name="Output 2 5 4" xfId="6511" xr:uid="{62A5AF53-7BD3-4A6B-A8D4-821DD2730BF0}"/>
    <cellStyle name="Output 2 5 4 2" xfId="11953" xr:uid="{9F3F1299-1CE3-43F3-AFE4-41B2EF41068C}"/>
    <cellStyle name="Output 2 5 4 3" xfId="14021" xr:uid="{96DB0738-7D53-4FBF-8D68-68611BEE7A79}"/>
    <cellStyle name="Output 2 5 5" xfId="8766" xr:uid="{52C7442C-BE91-4625-BBAA-29418CB0DF06}"/>
    <cellStyle name="Output 2 5 6" xfId="12624" xr:uid="{EAB4BD18-C6D2-405F-BABA-E57BD0BF1CFE}"/>
    <cellStyle name="Output 2 6" xfId="3072" xr:uid="{53C707B4-D862-440C-90CF-B7E21926A4BE}"/>
    <cellStyle name="Output 2 6 2" xfId="5709" xr:uid="{0597C130-1FD4-4B16-8D83-968730B9D9D3}"/>
    <cellStyle name="Output 2 6 2 2" xfId="11151" xr:uid="{211D8FE9-1D94-4354-BB72-8206B5689C40}"/>
    <cellStyle name="Output 2 6 2 3" xfId="13357" xr:uid="{C96A7FFD-F5F1-4DCF-B66C-C22F3F1C9537}"/>
    <cellStyle name="Output 2 6 3" xfId="6512" xr:uid="{A068DA1F-574A-4441-8D17-5A8E50D12F2E}"/>
    <cellStyle name="Output 2 6 3 2" xfId="11954" xr:uid="{FE54494E-95FA-4CFA-AFAF-ACEFBBA2B7CC}"/>
    <cellStyle name="Output 2 6 3 3" xfId="14022" xr:uid="{B8136D1E-ABC1-4D78-85CC-540CF71AB2A5}"/>
    <cellStyle name="Output 2 6 4" xfId="8767" xr:uid="{CFA901C8-166F-42B7-B31F-7E3FADE391CD}"/>
    <cellStyle name="Output 2 6 5" xfId="12625" xr:uid="{E2AD2096-2EB3-4F2E-9D04-387C52FA52E3}"/>
    <cellStyle name="Output 2 7" xfId="3073" xr:uid="{7A35FDD5-7B54-4621-A3E5-CEA4FA779147}"/>
    <cellStyle name="Output 2 7 2" xfId="5710" xr:uid="{92BA69E0-BA72-4741-B2F6-CF874EE09E3A}"/>
    <cellStyle name="Output 2 7 2 2" xfId="11152" xr:uid="{B6CE9B97-57C0-4E82-9E4A-F11976CF6C26}"/>
    <cellStyle name="Output 2 7 2 3" xfId="13358" xr:uid="{E9962BEA-C658-4447-B62C-0DB1069F8A63}"/>
    <cellStyle name="Output 2 7 3" xfId="6513" xr:uid="{780A8987-1B71-40CF-B558-5DA04436053D}"/>
    <cellStyle name="Output 2 7 3 2" xfId="11955" xr:uid="{A6323F52-8EB2-463A-92F9-296634A38138}"/>
    <cellStyle name="Output 2 7 3 3" xfId="14023" xr:uid="{CF46EC38-DC94-458A-8F82-D8293D472CDB}"/>
    <cellStyle name="Output 2 7 4" xfId="8768" xr:uid="{7AD19CC1-5398-44E6-8BAC-15872A46431D}"/>
    <cellStyle name="Output 2 7 5" xfId="12626" xr:uid="{7E86E779-5074-43EE-935C-1DAC97023C97}"/>
    <cellStyle name="Output 2 8" xfId="3532" xr:uid="{7C14A5F4-DB60-473E-B26E-716A88B39C90}"/>
    <cellStyle name="Output 2 8 2" xfId="5962" xr:uid="{BFEEDF93-808D-4A1B-8455-EA1613D7E0F0}"/>
    <cellStyle name="Output 2 8 2 2" xfId="11404" xr:uid="{CA391197-14A6-45FF-83D3-74B0D87E45AE}"/>
    <cellStyle name="Output 2 8 2 3" xfId="13491" xr:uid="{851FD5D9-1DA4-40C0-BCCA-EC2CE077E478}"/>
    <cellStyle name="Output 2 8 3" xfId="6648" xr:uid="{49621305-E0C5-47F9-8B0D-85B7389C550A}"/>
    <cellStyle name="Output 2 8 3 2" xfId="12090" xr:uid="{966225F8-E101-4989-9EEB-788364A7E0A1}"/>
    <cellStyle name="Output 2 8 3 3" xfId="14153" xr:uid="{00D20DD8-08E1-42E4-A6FA-5C7AF1F099BC}"/>
    <cellStyle name="Output 2 8 4" xfId="9020" xr:uid="{D54E9AF9-80DC-48F5-BF24-68F6621C46ED}"/>
    <cellStyle name="Output 2 8 5" xfId="12756" xr:uid="{F0338E19-39BE-4343-924C-BB099ABC537F}"/>
    <cellStyle name="Output 2 9" xfId="3061" xr:uid="{CFC14A22-7F89-4723-AB19-234A5E02E32F}"/>
    <cellStyle name="Output 2 9 2" xfId="5700" xr:uid="{3C0CB84F-05B3-4206-89A9-136B31060B74}"/>
    <cellStyle name="Output 2 9 2 2" xfId="11142" xr:uid="{5F10581E-3163-4DD5-BDB6-BCFD028C43F8}"/>
    <cellStyle name="Output 2 9 2 3" xfId="13348" xr:uid="{A3727718-F033-4B86-8FF5-4343B9A07BD2}"/>
    <cellStyle name="Output 2 9 3" xfId="6504" xr:uid="{E69366FD-78FD-41C7-9A3A-7F57A7B966BB}"/>
    <cellStyle name="Output 2 9 3 2" xfId="11946" xr:uid="{23859789-CF9C-4B11-B536-3497A08C04DF}"/>
    <cellStyle name="Output 2 9 3 3" xfId="14014" xr:uid="{FAE93DAB-8942-4F27-BED6-E5BF8768AADF}"/>
    <cellStyle name="Output 2 9 4" xfId="8759" xr:uid="{6436B10F-4600-497C-AE58-652EC414E312}"/>
    <cellStyle name="Output 2 9 5" xfId="12617" xr:uid="{691ACDC4-4C6F-43EE-AE6C-1F2AB2DF7CF9}"/>
    <cellStyle name="Output 2_2014 CLEAResult Invoices" xfId="3074" xr:uid="{930F9C65-1B67-42F2-9006-CDA0D807CFFB}"/>
    <cellStyle name="Output 3" xfId="3075" xr:uid="{B8E5EEF5-5789-4DDF-A524-42C4D9C8FC51}"/>
    <cellStyle name="Output 3 2" xfId="3076" xr:uid="{9E0423AF-F38F-4186-ABC3-915B1F7152FD}"/>
    <cellStyle name="Output 3 3" xfId="3077" xr:uid="{61AFF3B4-1E5C-4730-BB22-F56C829C72B9}"/>
    <cellStyle name="Output 3 3 2" xfId="5711" xr:uid="{448450C9-36D1-4EBD-9C10-774AC9B99F2D}"/>
    <cellStyle name="Output 3 3 2 2" xfId="11153" xr:uid="{0C7BDF7A-CC30-43A8-9BF9-C8F755F7F7C3}"/>
    <cellStyle name="Output 3 3 2 3" xfId="13359" xr:uid="{7A5B82D1-3E7E-4D2D-AAFE-AE67974B35CC}"/>
    <cellStyle name="Output 3 3 3" xfId="6514" xr:uid="{25C427BE-10F3-47AD-9A3F-F428109DDE1A}"/>
    <cellStyle name="Output 3 3 3 2" xfId="11956" xr:uid="{6F8CDEBD-BDA9-4CAB-80FB-56EEA7E83D0A}"/>
    <cellStyle name="Output 3 3 3 3" xfId="14024" xr:uid="{8482F4DE-591D-4953-8FC2-5F95443B0B29}"/>
    <cellStyle name="Output 3 3 4" xfId="8769" xr:uid="{D26C6A6E-999C-4A1A-BDD6-481D6F81C336}"/>
    <cellStyle name="Output 3 3 5" xfId="12627" xr:uid="{6AE2635F-68BA-48F8-B9DA-5398B09333F0}"/>
    <cellStyle name="Output 4" xfId="3078" xr:uid="{AE1740C6-656F-4B3A-AE51-D57A9F5F04F0}"/>
    <cellStyle name="Output 4 2" xfId="5712" xr:uid="{B7D5A9BD-454F-4EE6-9216-C28A8426CC70}"/>
    <cellStyle name="Output 4 2 2" xfId="11154" xr:uid="{3FE422B5-20A4-468D-9C79-2F82D2CFE7EA}"/>
    <cellStyle name="Output 4 2 3" xfId="13360" xr:uid="{3BA91A76-E2F7-4516-A69D-FCAB67BBAE0F}"/>
    <cellStyle name="Output 4 3" xfId="6515" xr:uid="{9DDDC23E-9990-47ED-803A-B078A25493C8}"/>
    <cellStyle name="Output 4 3 2" xfId="11957" xr:uid="{F173FBD1-F9EF-4072-87F6-987B56B216B4}"/>
    <cellStyle name="Output 4 3 3" xfId="14025" xr:uid="{954A12A2-4967-4739-A747-1F9DFB2FF11B}"/>
    <cellStyle name="Output 4 4" xfId="8770" xr:uid="{C1DB7B57-2701-4B2C-932B-DB99CAF8F4B5}"/>
    <cellStyle name="Output 4 5" xfId="12628" xr:uid="{2268A826-07D1-47E5-8701-E26FFB9BE0BD}"/>
    <cellStyle name="Output 5" xfId="3079" xr:uid="{31EAC29B-5AAC-47D2-9F91-C60946FE9C29}"/>
    <cellStyle name="Output 5 2" xfId="5713" xr:uid="{D6991E51-F486-4798-8EDB-03F76A8CD552}"/>
    <cellStyle name="Output 5 2 2" xfId="11155" xr:uid="{613B7E75-1D97-4FB4-8B0E-337749E81078}"/>
    <cellStyle name="Output 5 2 3" xfId="13361" xr:uid="{1FF100F1-8768-429D-83C1-81297D501A3F}"/>
    <cellStyle name="Output 5 3" xfId="6516" xr:uid="{26D7A89F-F542-4E82-85B5-144D5FB2B2A0}"/>
    <cellStyle name="Output 5 3 2" xfId="11958" xr:uid="{15E605FE-6AB8-44D4-AB0A-FD44609C69C9}"/>
    <cellStyle name="Output 5 3 3" xfId="14026" xr:uid="{0841B5F6-8A44-456A-B8D8-C3EA5EBA4FDA}"/>
    <cellStyle name="Output 5 4" xfId="8771" xr:uid="{2FABC4C3-EC1F-414B-A028-40A6E6AA7DE7}"/>
    <cellStyle name="Output 5 5" xfId="12629" xr:uid="{B6B9F60A-4B0C-4BC4-9F20-08062E5A4F7E}"/>
    <cellStyle name="Output 6" xfId="345" xr:uid="{CD560B2E-CAF3-444B-B423-342DBF6C94E9}"/>
    <cellStyle name="Output 7" xfId="4179" xr:uid="{61C118F5-61C0-4AF5-A4A4-7B33F870B189}"/>
    <cellStyle name="Output 8" xfId="5644" xr:uid="{65176C13-201E-4AFE-8A6A-609835DB50F8}"/>
    <cellStyle name="Output 9" xfId="7117" xr:uid="{E7EED4FA-C2BE-4FB5-BEC5-B6F6E9B41900}"/>
    <cellStyle name="per.style" xfId="232" xr:uid="{1833D999-A409-4C3E-9B59-1F5EB6763D46}"/>
    <cellStyle name="Percent" xfId="69" builtinId="5"/>
    <cellStyle name="Percent [2]" xfId="233" xr:uid="{40177561-1CAB-4751-9F8A-359013254991}"/>
    <cellStyle name="Percent 10" xfId="234" xr:uid="{F79D2CD9-5D67-4CC3-AA25-0F6115FAD145}"/>
    <cellStyle name="Percent 10 2" xfId="3081" xr:uid="{A73FCD62-CDF7-44EC-AA87-87DB55B3855A}"/>
    <cellStyle name="Percent 10 3" xfId="3080" xr:uid="{B60AC714-4655-418F-BA3E-A1DD8795E24E}"/>
    <cellStyle name="Percent 10 4" xfId="4121" xr:uid="{7CC86B00-1B19-4AA8-A013-6DD3D5A2AE29}"/>
    <cellStyle name="Percent 10 4 2" xfId="9571" xr:uid="{B2D452FC-F053-46C4-89A3-ED5C057DA6B0}"/>
    <cellStyle name="Percent 10 5" xfId="7188" xr:uid="{4854D9E7-44D3-4CE6-8AC2-9C31D0C0DD06}"/>
    <cellStyle name="Percent 11" xfId="235" xr:uid="{B918597C-E69B-4921-8B08-2955E0C4C420}"/>
    <cellStyle name="Percent 11 2" xfId="2000" xr:uid="{EC86C165-43D5-4430-8B28-9844EC9D614A}"/>
    <cellStyle name="Percent 11 3" xfId="3082" xr:uid="{B92E20CC-4A6E-447A-8089-42C439C4C9BB}"/>
    <cellStyle name="Percent 12" xfId="3358" xr:uid="{170D6D72-BEEB-4319-B56F-A07582AE9488}"/>
    <cellStyle name="Percent 12 2" xfId="5848" xr:uid="{406F125D-6A2F-4762-AFB4-FF55C8934BA4}"/>
    <cellStyle name="Percent 12 2 2" xfId="11290" xr:uid="{8852D784-B5D1-4AE8-8BEE-79B51F99C84E}"/>
    <cellStyle name="Percent 12 3" xfId="8906" xr:uid="{FB08BB63-9495-459D-9A28-F38A13020047}"/>
    <cellStyle name="Percent 13" xfId="4039" xr:uid="{2173F6CD-6087-41FA-AEB5-2AFC48098C85}"/>
    <cellStyle name="Percent 14" xfId="4040" xr:uid="{CFC69A77-4235-452E-9443-288AB8049535}"/>
    <cellStyle name="Percent 15" xfId="4055" xr:uid="{89AD5461-DCE9-4D59-80ED-7D09E557C939}"/>
    <cellStyle name="Percent 16" xfId="88" xr:uid="{9927396B-7DB8-4E66-BD16-29B7019F3060}"/>
    <cellStyle name="Percent 16 2" xfId="7127" xr:uid="{D832F4FD-1F52-4D17-B02D-4BAD9084994C}"/>
    <cellStyle name="Percent 17" xfId="4060" xr:uid="{B979C63E-04E6-4F76-92A1-4EF7B815D358}"/>
    <cellStyle name="Percent 17 2" xfId="9510" xr:uid="{D527218D-BB7E-41BE-B419-194ACD66C407}"/>
    <cellStyle name="Percent 18" xfId="5846" xr:uid="{8CB1E5F7-BD69-4DF7-AC89-05B447F7B0C8}"/>
    <cellStyle name="Percent 18 2" xfId="11288" xr:uid="{A41B4673-9C89-420F-B94A-490AD3E749CE}"/>
    <cellStyle name="Percent 2" xfId="99" xr:uid="{F9A8F98C-56D8-42CA-B7B1-90D713CED782}"/>
    <cellStyle name="Percent 2 10" xfId="2001" xr:uid="{C16CDEEA-E6B4-4F00-AD5A-245054FAA033}"/>
    <cellStyle name="Percent 2 10 2" xfId="2002" xr:uid="{034922C7-67F8-49D4-8FB2-039A6C9A05FF}"/>
    <cellStyle name="Percent 2 10 3" xfId="2003" xr:uid="{CDCE9AEC-3585-493C-9E18-AA1D2211CEB6}"/>
    <cellStyle name="Percent 2 10 3 2" xfId="2004" xr:uid="{707C7728-75DD-4FAE-B1B4-ED73F546F625}"/>
    <cellStyle name="Percent 2 10 3 3" xfId="2005" xr:uid="{F7FF863D-89E5-431F-8332-B0D23B550F9E}"/>
    <cellStyle name="Percent 2 10 3 3 2" xfId="5584" xr:uid="{AA26D6E5-AFCE-43BC-BAE4-9B24F209DE25}"/>
    <cellStyle name="Percent 2 10 3 3 2 2" xfId="11030" xr:uid="{8204B478-CCF4-4579-A22D-AA08DB110452}"/>
    <cellStyle name="Percent 2 10 3 3 3" xfId="8650" xr:uid="{A5F60394-33A4-4407-8ED6-5C963E20DF62}"/>
    <cellStyle name="Percent 2 10 4" xfId="2006" xr:uid="{B2BC646C-6458-4201-8423-A8E3947F88DE}"/>
    <cellStyle name="Percent 2 10 4 2" xfId="5585" xr:uid="{85086260-42A4-4EA1-865D-B73563594B6B}"/>
    <cellStyle name="Percent 2 10 4 2 2" xfId="11031" xr:uid="{56E54DDE-EEE4-42B9-9F26-F7753EC6AD85}"/>
    <cellStyle name="Percent 2 10 4 3" xfId="8651" xr:uid="{E81F9E13-CC54-4C67-834B-D551A6637B49}"/>
    <cellStyle name="Percent 2 11" xfId="314" xr:uid="{E2802423-26D2-4970-A97B-3255AD4071DB}"/>
    <cellStyle name="Percent 2 11 2" xfId="404" xr:uid="{99631DF5-1B66-4294-80D5-BEA15781E676}"/>
    <cellStyle name="Percent 2 11 3" xfId="2007" xr:uid="{8DF1505F-2E60-40CB-9F1D-5BD97FCF8BC9}"/>
    <cellStyle name="Percent 2 2" xfId="236" xr:uid="{7C6DEF34-F410-4241-A50A-47020B640631}"/>
    <cellStyle name="Percent 2 2 2" xfId="3085" xr:uid="{F3130C9F-B9E3-4EFD-905B-6CB7E524E792}"/>
    <cellStyle name="Percent 2 2 2 2" xfId="3086" xr:uid="{B3D54A9D-F5A0-4919-A912-D4775DF5D617}"/>
    <cellStyle name="Percent 2 2 3" xfId="3534" xr:uid="{B2CEF7E7-E525-4030-B8D4-E6DB38C28F18}"/>
    <cellStyle name="Percent 2 2 4" xfId="3084" xr:uid="{3B627E62-1B21-4FDA-A6B4-DF9D4CB88197}"/>
    <cellStyle name="Percent 2 2 5" xfId="2008" xr:uid="{DB09B83A-04BD-4883-9AD5-A79E6A68671B}"/>
    <cellStyle name="Percent 2 3" xfId="237" xr:uid="{EF0A759B-E6AF-44AA-B1C9-9BBEF63AF17D}"/>
    <cellStyle name="Percent 2 3 2" xfId="3088" xr:uid="{BF06B9CF-D895-4022-B0C7-050F5CFF5765}"/>
    <cellStyle name="Percent 2 3 3" xfId="3089" xr:uid="{ECB393FD-B6E3-4F1A-B1E6-3623D48635C2}"/>
    <cellStyle name="Percent 2 3 4" xfId="3090" xr:uid="{3C6AB417-3338-45F5-A3AB-85BEA7E4BDBA}"/>
    <cellStyle name="Percent 2 3 5" xfId="3091" xr:uid="{4FAB95EC-8EAA-4633-B901-CAB7FB27A0A2}"/>
    <cellStyle name="Percent 2 3 6" xfId="3087" xr:uid="{B2311E80-3628-4557-8696-F74F697B6437}"/>
    <cellStyle name="Percent 2 3 7" xfId="2009" xr:uid="{D98AD3D1-0B80-4280-A009-AF9DC7F1D223}"/>
    <cellStyle name="Percent 2 3 8" xfId="4123" xr:uid="{F6523D62-AB3A-4E32-86B4-C1A32D0C3BF0}"/>
    <cellStyle name="Percent 2 3 8 2" xfId="9573" xr:uid="{E6010CB4-45CD-4028-A2D2-A8953BD9BB95}"/>
    <cellStyle name="Percent 2 3 9" xfId="7189" xr:uid="{032E3E00-2A71-474D-BD73-F9447455164E}"/>
    <cellStyle name="Percent 2 4" xfId="238" xr:uid="{1542F733-1C8C-46B2-A2A0-05AF734CB0D5}"/>
    <cellStyle name="Percent 2 4 2" xfId="3092" xr:uid="{45BBC433-D8B8-4AA5-90D3-203795BCBB12}"/>
    <cellStyle name="Percent 2 4 3" xfId="3093" xr:uid="{E2FBB738-5E92-47CB-8835-DCA36E9F4221}"/>
    <cellStyle name="Percent 2 4 4" xfId="2010" xr:uid="{3E0E0776-215D-45D7-A54A-8B3333817270}"/>
    <cellStyle name="Percent 2 4 5" xfId="4124" xr:uid="{E70328A6-72E6-47BC-A0B0-76C27BD923A1}"/>
    <cellStyle name="Percent 2 4 5 2" xfId="9574" xr:uid="{5CDA820C-90C8-49AC-B4E6-5153E26A0AD4}"/>
    <cellStyle name="Percent 2 4 6" xfId="7190" xr:uid="{A9DEAF46-4084-4C3F-81C0-CB48E74E3A34}"/>
    <cellStyle name="Percent 2 5" xfId="299" xr:uid="{AF27085C-9A1B-4E48-B3E4-18AD04115AA7}"/>
    <cellStyle name="Percent 2 5 2" xfId="3535" xr:uid="{ACC56214-548A-4058-9E27-6D1A1E0D5DFE}"/>
    <cellStyle name="Percent 2 5 3" xfId="3083" xr:uid="{8602B377-B6EF-4B91-9DD1-253F1A1375E2}"/>
    <cellStyle name="Percent 2 5 3 2" xfId="5717" xr:uid="{F0F6FD31-49DB-41FE-8785-D83D28776A98}"/>
    <cellStyle name="Percent 2 5 3 2 2" xfId="11159" xr:uid="{033C5DE9-A80E-4254-A38F-2D975F6637F9}"/>
    <cellStyle name="Percent 2 5 3 3" xfId="8772" xr:uid="{93265EAD-FF1C-406D-9870-E916B52E2CB5}"/>
    <cellStyle name="Percent 2 5 4" xfId="2011" xr:uid="{FF299DD2-37FE-4D93-BC4B-E7580E169B3E}"/>
    <cellStyle name="Percent 2 6" xfId="2012" xr:uid="{E6A59246-D17F-4DD2-809A-8D05191ED229}"/>
    <cellStyle name="Percent 2 7" xfId="2013" xr:uid="{48467DA1-3D05-49EE-9767-E00B8C0B2204}"/>
    <cellStyle name="Percent 2 8" xfId="2014" xr:uid="{597135F4-5554-4E60-9C19-5A0FE9366E01}"/>
    <cellStyle name="Percent 2 9" xfId="2015" xr:uid="{367EC977-D41C-4A47-8334-77105E9593C2}"/>
    <cellStyle name="Percent 3" xfId="100" xr:uid="{45859FBF-EFCC-438E-962A-12904755081B}"/>
    <cellStyle name="Percent 3 10" xfId="4062" xr:uid="{E54828A9-CF93-4135-A494-288A01C507AB}"/>
    <cellStyle name="Percent 3 10 2" xfId="9512" xr:uid="{89EA7795-647F-4935-89B2-09E4D58A2349}"/>
    <cellStyle name="Percent 3 11" xfId="7128" xr:uid="{3987B374-FD3B-45B1-82DD-BBA90865292D}"/>
    <cellStyle name="Percent 3 2" xfId="239" xr:uid="{FEC19297-13DB-4ED5-81E6-A408D736AAEE}"/>
    <cellStyle name="Percent 3 2 2" xfId="3536" xr:uid="{09386617-1D05-4570-AD21-34FB1BEC55AE}"/>
    <cellStyle name="Percent 3 2 3" xfId="3095" xr:uid="{A62F25C8-C750-4E02-BEBC-8FFF6718BD9E}"/>
    <cellStyle name="Percent 3 2 4" xfId="2016" xr:uid="{ADB7950B-145A-44B5-8099-151BCF72CEDD}"/>
    <cellStyle name="Percent 3 3" xfId="2017" xr:uid="{E2177EEE-E3B1-4D30-B1D3-8ABD737ED622}"/>
    <cellStyle name="Percent 3 3 2" xfId="308" xr:uid="{151AA53F-601A-4482-B6F4-0894A4092201}"/>
    <cellStyle name="Percent 3 3 3" xfId="3096" xr:uid="{CFA777E8-85BB-455F-9F3A-352523E910C5}"/>
    <cellStyle name="Percent 3 4" xfId="2018" xr:uid="{5D51C708-9919-4036-B1D4-4EC7BF951FA8}"/>
    <cellStyle name="Percent 3 4 2" xfId="3537" xr:uid="{AF2A1757-CB88-416F-9081-0A86111AF461}"/>
    <cellStyle name="Percent 3 4 3" xfId="3097" xr:uid="{A33E7141-35DC-4A8D-A2C0-A626C2B2239B}"/>
    <cellStyle name="Percent 3 5" xfId="2019" xr:uid="{BA752BFF-95CD-419E-AC99-AEE4AAF82F4A}"/>
    <cellStyle name="Percent 3 5 2" xfId="3538" xr:uid="{C3FDB731-1DDF-4594-8A3E-E20CDC21228B}"/>
    <cellStyle name="Percent 3 5 3" xfId="3098" xr:uid="{C6F41D64-B111-441F-B2A5-52E403F8E8F5}"/>
    <cellStyle name="Percent 3 6" xfId="2020" xr:uid="{DB3A2E1D-11C5-4DF8-BA96-44C9D52154B2}"/>
    <cellStyle name="Percent 3 6 2" xfId="3539" xr:uid="{4948658F-2601-4A80-8347-D3E309AD01AD}"/>
    <cellStyle name="Percent 3 6 3" xfId="3099" xr:uid="{6FFD0DF3-502F-45C2-80ED-2F21D9200D2B}"/>
    <cellStyle name="Percent 3 7" xfId="2021" xr:uid="{0779D15E-E57C-4845-BB78-111233C01911}"/>
    <cellStyle name="Percent 3 8" xfId="2022" xr:uid="{808BCECB-6A3A-42C8-AF8F-795D783ADD34}"/>
    <cellStyle name="Percent 3 9" xfId="3094" xr:uid="{753AA603-6F1B-45B9-AFBB-EEEF086E9405}"/>
    <cellStyle name="Percent 32" xfId="324" xr:uid="{3C30382E-35B5-4843-B79E-AD287CAEF2DB}"/>
    <cellStyle name="Percent 4" xfId="104" xr:uid="{5628B6F4-8FA5-4F16-BA8B-6C3F64A48178}"/>
    <cellStyle name="Percent 4 10" xfId="2023" xr:uid="{FD409E31-48AA-49CE-AE76-7B6ADF10A213}"/>
    <cellStyle name="Percent 4 2" xfId="240" xr:uid="{9709C1B3-709C-4118-99A7-C6DDE87EC538}"/>
    <cellStyle name="Percent 4 2 2" xfId="3102" xr:uid="{91CDA9A5-2837-4247-A70F-BE3F57BA8CA1}"/>
    <cellStyle name="Percent 4 2 2 2" xfId="3103" xr:uid="{23D35680-9E30-49DE-9293-F4F9491DBF94}"/>
    <cellStyle name="Percent 4 2 2 3" xfId="3104" xr:uid="{2EB71C17-8784-4AEB-9D96-B59BC54E64AF}"/>
    <cellStyle name="Percent 4 2 3" xfId="3105" xr:uid="{FB5D5338-942E-4D70-9FD2-1C714878F7C2}"/>
    <cellStyle name="Percent 4 2 4" xfId="3106" xr:uid="{6B8C26D9-F1D6-4398-A5D4-02812EE54794}"/>
    <cellStyle name="Percent 4 2 5" xfId="3107" xr:uid="{12C3A817-7ACE-458A-865E-A1B517B202E6}"/>
    <cellStyle name="Percent 4 2 6" xfId="3101" xr:uid="{307A90F5-9C90-4D5B-8B0A-D36325B95950}"/>
    <cellStyle name="Percent 4 3" xfId="297" xr:uid="{EF3737B0-662D-4675-A20C-BEB8683DE59A}"/>
    <cellStyle name="Percent 4 3 2" xfId="3109" xr:uid="{D6D0D431-DA8D-4CCF-B5E4-AFCA0896CBBF}"/>
    <cellStyle name="Percent 4 3 2 2" xfId="3110" xr:uid="{D5752A3E-D73F-4D0D-A30A-99DD250FBF58}"/>
    <cellStyle name="Percent 4 3 2 3" xfId="3111" xr:uid="{3114E23D-4B0A-4AD8-A6BF-1047B42AAD61}"/>
    <cellStyle name="Percent 4 3 3" xfId="3112" xr:uid="{81CBB0B8-C3C4-4D46-AE8D-10D4D34D6ECE}"/>
    <cellStyle name="Percent 4 3 4" xfId="3108" xr:uid="{2D439BD1-34EC-4F26-989A-F9AD4F916073}"/>
    <cellStyle name="Percent 4 4" xfId="3113" xr:uid="{DEB0B156-C2A0-4BE7-95CB-88DE2ACC535B}"/>
    <cellStyle name="Percent 4 5" xfId="3114" xr:uid="{A59F2325-0F8C-49AC-BD82-EEA9B1D188D7}"/>
    <cellStyle name="Percent 4 6" xfId="3115" xr:uid="{997B3F72-3374-44C8-9EBD-87B16566BA03}"/>
    <cellStyle name="Percent 4 7" xfId="3116" xr:uid="{846AED3F-E417-4788-B55E-60A5A75B48B4}"/>
    <cellStyle name="Percent 4 8" xfId="3117" xr:uid="{9184524F-D5E2-4534-A61A-F713CE59ED10}"/>
    <cellStyle name="Percent 4 9" xfId="3100" xr:uid="{DDF37A36-0213-4F97-AD97-D37AEB6F535D}"/>
    <cellStyle name="Percent 4 9 2" xfId="5718" xr:uid="{0D50D26F-9469-42F1-B3E5-710CB78AA3F0}"/>
    <cellStyle name="Percent 4 9 2 2" xfId="11160" xr:uid="{F1D6DC65-71E1-41A8-98A5-77B854251A11}"/>
    <cellStyle name="Percent 4 9 3" xfId="8773" xr:uid="{B23BE27D-9CA4-474F-80BA-C34BE6D709F6}"/>
    <cellStyle name="Percent 5" xfId="241" xr:uid="{A4D4A4F7-8EE9-464E-8E1D-D30D093D6981}"/>
    <cellStyle name="Percent 5 10" xfId="7191" xr:uid="{699FF932-FE28-41E6-A390-1E41ABC458A0}"/>
    <cellStyle name="Percent 5 2" xfId="2025" xr:uid="{4544EDAE-F54B-4C34-B2DB-E75EF5DFE241}"/>
    <cellStyle name="Percent 5 2 2" xfId="3118" xr:uid="{3E9773A6-DD44-4AA8-95EA-57596C322BFA}"/>
    <cellStyle name="Percent 5 2 2 2" xfId="3119" xr:uid="{765EBF2A-A69E-4C5D-BF8C-F55A83AF9C41}"/>
    <cellStyle name="Percent 5 2 3" xfId="3120" xr:uid="{4BBCE866-7027-43A1-8DCF-FE1E9148BA49}"/>
    <cellStyle name="Percent 5 2 4" xfId="3121" xr:uid="{A6410356-6AF8-4AFE-9EFA-866FE82D9EC6}"/>
    <cellStyle name="Percent 5 2 5" xfId="3122" xr:uid="{8E667116-D439-4734-BF1C-405803616CFF}"/>
    <cellStyle name="Percent 5 2 6" xfId="3123" xr:uid="{A60888B9-3DEC-473D-841F-73F6F4B95D1B}"/>
    <cellStyle name="Percent 5 3" xfId="2026" xr:uid="{93E276B7-F9B3-4E19-8A4A-802F346830AA}"/>
    <cellStyle name="Percent 5 3 2" xfId="3124" xr:uid="{63967C7E-0D98-4E4F-B55B-A16118592A72}"/>
    <cellStyle name="Percent 5 3 2 2" xfId="3125" xr:uid="{468E3A6A-BFCE-434E-8E02-C09EFA8F4CCE}"/>
    <cellStyle name="Percent 5 3 2 2 2" xfId="3126" xr:uid="{84AE6858-0539-4DB9-827C-E909B0DAE814}"/>
    <cellStyle name="Percent 5 3 2 3" xfId="3127" xr:uid="{A3CD35CD-06CB-4883-B752-AD0B9E7A6155}"/>
    <cellStyle name="Percent 5 3 2 4" xfId="3128" xr:uid="{E62BACE7-BFDC-4129-B304-C695A9407477}"/>
    <cellStyle name="Percent 5 3 3" xfId="3129" xr:uid="{CD846FFE-53B5-43A5-BAA2-962B9E86D771}"/>
    <cellStyle name="Percent 5 3 4" xfId="3130" xr:uid="{0A58E697-5995-4395-B423-AE352832B675}"/>
    <cellStyle name="Percent 5 3 5" xfId="3131" xr:uid="{0ACC6C2D-D171-48C8-9D3B-216C30DC9282}"/>
    <cellStyle name="Percent 5 3 6" xfId="3132" xr:uid="{8039B464-0F27-416B-9E85-AB20B3AAF43B}"/>
    <cellStyle name="Percent 5 4" xfId="2027" xr:uid="{C48262EE-0716-4B06-ACDE-BE833C32C492}"/>
    <cellStyle name="Percent 5 5" xfId="2028" xr:uid="{58355E37-FA76-4F4F-BD20-B7547D480AC5}"/>
    <cellStyle name="Percent 5 5 2" xfId="3133" xr:uid="{7CF4C361-9DD7-44D5-AE63-93AC22969DF4}"/>
    <cellStyle name="Percent 5 6" xfId="3134" xr:uid="{E9402C91-571A-4446-937E-6FACDCD8714B}"/>
    <cellStyle name="Percent 5 7" xfId="3135" xr:uid="{4A0C0EA7-36AC-493E-8B4E-339FCE2E0D60}"/>
    <cellStyle name="Percent 5 8" xfId="2024" xr:uid="{9B79EC70-BFC2-485F-9489-C0744F08955F}"/>
    <cellStyle name="Percent 5 9" xfId="4125" xr:uid="{EC1DD7A7-D13F-406F-9E0C-2720055AA3DF}"/>
    <cellStyle name="Percent 5 9 2" xfId="9575" xr:uid="{572F633F-D88B-47EE-82DC-5283F5BF5968}"/>
    <cellStyle name="Percent 6" xfId="242" xr:uid="{8FE6F10C-F44A-4654-87EE-695C9F3BD854}"/>
    <cellStyle name="Percent 6 2" xfId="3136" xr:uid="{9513C38B-E23E-4557-A6CA-C0D228FC568A}"/>
    <cellStyle name="Percent 6 2 2" xfId="3137" xr:uid="{ACF58B95-31C8-4DA8-BB8B-A90D003FB921}"/>
    <cellStyle name="Percent 6 2 2 2" xfId="3138" xr:uid="{75814C00-38BB-4B8F-B8B3-5DC922D36B53}"/>
    <cellStyle name="Percent 6 3" xfId="3139" xr:uid="{BA2C82C1-4477-4FA3-807A-F058C810746F}"/>
    <cellStyle name="Percent 6 4" xfId="3140" xr:uid="{0DF721C6-02B6-46CE-A13B-BA7EA1A6CB63}"/>
    <cellStyle name="Percent 6 5" xfId="3141" xr:uid="{CDD9035C-FE1F-4E3A-BF28-2B7698FCB15C}"/>
    <cellStyle name="Percent 6 6" xfId="2029" xr:uid="{81AA1CA6-6F14-4957-B42E-68017F7F6EEB}"/>
    <cellStyle name="Percent 6 7" xfId="4126" xr:uid="{69ACF017-30EB-455D-8B9D-EF717454158E}"/>
    <cellStyle name="Percent 6 7 2" xfId="9576" xr:uid="{51B51861-E70A-4880-B172-EAE39602F936}"/>
    <cellStyle name="Percent 6 8" xfId="7192" xr:uid="{C057190A-3D04-4793-818B-3BBEC02C0A0E}"/>
    <cellStyle name="Percent 7" xfId="243" xr:uid="{A7CD0530-32DC-40A8-906D-756EEC08CA0A}"/>
    <cellStyle name="Percent 7 2" xfId="3142" xr:uid="{C0A158D1-EE7E-46BB-8B78-37AD9DA11E1E}"/>
    <cellStyle name="Percent 7 2 2" xfId="3143" xr:uid="{0B5386B0-0F94-4787-B34E-77BF9DB73A6B}"/>
    <cellStyle name="Percent 7 2 2 2" xfId="3144" xr:uid="{89AC39D0-5AFB-4DAA-8803-91740D623DE1}"/>
    <cellStyle name="Percent 7 3" xfId="2030" xr:uid="{A3ED3490-102A-4BD8-BEEF-D7BBDE1DE867}"/>
    <cellStyle name="Percent 7 4" xfId="4127" xr:uid="{E75CD3D4-0C80-48F6-995C-C94C9140BB9F}"/>
    <cellStyle name="Percent 7 4 2" xfId="9577" xr:uid="{5D315AA4-0DEC-42C9-BD86-E1D1D0716BAD}"/>
    <cellStyle name="Percent 7 5" xfId="7193" xr:uid="{C2CE12B7-6A10-4D01-BFCF-2920AB607198}"/>
    <cellStyle name="Percent 8" xfId="244" xr:uid="{E63BF104-23C2-4E8B-BF6B-00654BED7C73}"/>
    <cellStyle name="Percent 8 2" xfId="3146" xr:uid="{86D614DE-8DDA-4786-AFE5-1731A66320E1}"/>
    <cellStyle name="Percent 8 2 2" xfId="3147" xr:uid="{F9E85027-229C-4C81-B1E7-FB90719C46C4}"/>
    <cellStyle name="Percent 8 3" xfId="3148" xr:uid="{3D5F9146-3B8E-4FF0-8860-072E1AD98DD8}"/>
    <cellStyle name="Percent 8 4" xfId="3149" xr:uid="{6C1A85BA-C394-406C-928F-AA3BE3AB35E0}"/>
    <cellStyle name="Percent 8 4 2" xfId="3150" xr:uid="{D6251BA5-C82F-4CF0-B93C-FCA2B6E989BB}"/>
    <cellStyle name="Percent 8 5" xfId="3145" xr:uid="{84DF3F59-0EE4-453B-9F85-272263617E27}"/>
    <cellStyle name="Percent 8 6" xfId="4128" xr:uid="{383BEE89-ED50-432B-A8F2-9164E20AEC86}"/>
    <cellStyle name="Percent 8 6 2" xfId="9578" xr:uid="{EDD79680-1D93-4FF5-A487-87F5501F6610}"/>
    <cellStyle name="Percent 8 7" xfId="7194" xr:uid="{F0C835C1-BB2E-4F8B-88E7-F6E79494790F}"/>
    <cellStyle name="Percent 9" xfId="245" xr:uid="{111D85BC-22BE-4344-93A0-E03308ADA9C1}"/>
    <cellStyle name="Percent 9 2" xfId="3152" xr:uid="{4BA7EBE6-782A-457F-BBB4-AD950C2BA09E}"/>
    <cellStyle name="Percent 9 3" xfId="3153" xr:uid="{A0F7FC6C-6542-44B6-AF61-9218CA1ACE20}"/>
    <cellStyle name="Percent 9 4" xfId="3151" xr:uid="{1F1406FC-4691-4296-9F5E-2B7E04C0F108}"/>
    <cellStyle name="Percent 9 5" xfId="4129" xr:uid="{E2C38711-A90A-4CD3-89E8-DCF6F69F5B28}"/>
    <cellStyle name="Percent 9 5 2" xfId="9579" xr:uid="{6CB6C190-4498-457B-8081-7A9E5B300750}"/>
    <cellStyle name="Percent 9 6" xfId="7195" xr:uid="{078209D0-557D-4CB5-885C-9115A2454EBB}"/>
    <cellStyle name="regstoresfromspecstores" xfId="246" xr:uid="{4206E12F-4310-4B90-8743-EF8C786675D2}"/>
    <cellStyle name="RevList" xfId="247" xr:uid="{DFE89663-56E0-408E-9D61-28E228D7C3D2}"/>
    <cellStyle name="SAPBEXaggData" xfId="248" xr:uid="{6F0211CC-548C-4A59-8E58-4038E6150EFC}"/>
    <cellStyle name="SAPBEXaggData 10" xfId="9505" xr:uid="{92F3E8E1-DB21-493E-9EC6-29507BFDB41E}"/>
    <cellStyle name="SAPBEXaggData 2" xfId="3155" xr:uid="{2DDED8E3-FB1A-417B-916F-0E2AADE4454F}"/>
    <cellStyle name="SAPBEXaggData 2 10" xfId="8776" xr:uid="{C2B6547F-944D-4014-9B38-F2A0E5FF0704}"/>
    <cellStyle name="SAPBEXaggData 2 11" xfId="12631" xr:uid="{AFB2E6B8-5D81-4275-9F18-897B2823DA84}"/>
    <cellStyle name="SAPBEXaggData 2 2" xfId="3156" xr:uid="{0ED77A19-0F48-49E2-9305-6AC70E30C95C}"/>
    <cellStyle name="SAPBEXaggData 2 2 2" xfId="3710" xr:uid="{970F5F0A-5900-434C-B85D-BEE579FCD2FC}"/>
    <cellStyle name="SAPBEXaggData 2 2 2 2" xfId="6118" xr:uid="{3BB33D6A-9790-40CF-A99D-99A47FC49A60}"/>
    <cellStyle name="SAPBEXaggData 2 2 2 2 2" xfId="11560" xr:uid="{BB898BE1-2EAA-4C72-ACD4-CB12FD3803A6}"/>
    <cellStyle name="SAPBEXaggData 2 2 2 2 3" xfId="13637" xr:uid="{84F9613D-BC7F-42BA-833A-31EDD481498D}"/>
    <cellStyle name="SAPBEXaggData 2 2 2 3" xfId="6802" xr:uid="{ABDAE3CE-51C0-46FD-A41C-73C6707E96A6}"/>
    <cellStyle name="SAPBEXaggData 2 2 2 3 2" xfId="12244" xr:uid="{39A54E99-0A10-4D00-AD5D-6B8742A777DC}"/>
    <cellStyle name="SAPBEXaggData 2 2 2 3 3" xfId="14299" xr:uid="{5855C55C-C095-43DD-AA3C-E1691585025B}"/>
    <cellStyle name="SAPBEXaggData 2 2 2 4" xfId="9181" xr:uid="{9BEE9CD6-911F-4029-974F-43CB7649A7BA}"/>
    <cellStyle name="SAPBEXaggData 2 2 2 5" xfId="12902" xr:uid="{6936BC14-C742-46A7-B896-FBDCDD810785}"/>
    <cellStyle name="SAPBEXaggData 2 2 3" xfId="5721" xr:uid="{6D273E9C-BD8F-4194-957E-851ED461154B}"/>
    <cellStyle name="SAPBEXaggData 2 2 3 2" xfId="11163" xr:uid="{68A6DD26-036C-451B-86F3-C44EE8DF4CE4}"/>
    <cellStyle name="SAPBEXaggData 2 2 3 3" xfId="13367" xr:uid="{774AE0F8-2F6E-4774-89C5-1DED0CA9ACED}"/>
    <cellStyle name="SAPBEXaggData 2 2 4" xfId="6519" xr:uid="{EEF51F7D-98B6-4517-86FB-92C2A81017A2}"/>
    <cellStyle name="SAPBEXaggData 2 2 4 2" xfId="11961" xr:uid="{DD4EF272-97B7-4438-BB96-7D175AD305F5}"/>
    <cellStyle name="SAPBEXaggData 2 2 4 3" xfId="14029" xr:uid="{6D3BBD40-89F6-4FC4-AE3C-614528FB6B4D}"/>
    <cellStyle name="SAPBEXaggData 2 2 5" xfId="8777" xr:uid="{1A39877F-6431-47B2-B76F-1163BA8C5791}"/>
    <cellStyle name="SAPBEXaggData 2 2 6" xfId="12632" xr:uid="{4CEB586F-1721-4BA4-B3BB-7EC2283B254E}"/>
    <cellStyle name="SAPBEXaggData 2 3" xfId="3776" xr:uid="{0CD49F76-AED9-4D82-841C-A47075F37C1B}"/>
    <cellStyle name="SAPBEXaggData 2 3 2" xfId="6184" xr:uid="{178A5D91-6BA8-4F8A-AB01-179A4D4BBADE}"/>
    <cellStyle name="SAPBEXaggData 2 3 2 2" xfId="11626" xr:uid="{AF76E001-ED71-4806-8645-518435EF0DB0}"/>
    <cellStyle name="SAPBEXaggData 2 3 2 3" xfId="13701" xr:uid="{37C2FF72-4638-445C-B88D-B46CCB086534}"/>
    <cellStyle name="SAPBEXaggData 2 3 3" xfId="6866" xr:uid="{A9C195DE-7860-4DBE-84BD-01C9898920F6}"/>
    <cellStyle name="SAPBEXaggData 2 3 3 2" xfId="12308" xr:uid="{D5369771-F2C8-4178-A1AB-7A30D8392813}"/>
    <cellStyle name="SAPBEXaggData 2 3 3 3" xfId="14361" xr:uid="{F9A95956-6AF1-4584-BB8A-B32EBAC4CE99}"/>
    <cellStyle name="SAPBEXaggData 2 3 4" xfId="9247" xr:uid="{A856B276-3874-4563-BAF2-892CC9578E46}"/>
    <cellStyle name="SAPBEXaggData 2 3 5" xfId="12964" xr:uid="{8680078F-E599-4423-82DD-E51BF89EF0F5}"/>
    <cellStyle name="SAPBEXaggData 2 4" xfId="3842" xr:uid="{91118467-412F-4921-88D3-E2CE7BCC881F}"/>
    <cellStyle name="SAPBEXaggData 2 4 2" xfId="6249" xr:uid="{0D84BBCD-C634-4FE0-9D6F-652A5128B340}"/>
    <cellStyle name="SAPBEXaggData 2 4 2 2" xfId="11691" xr:uid="{E86D48C0-8768-486A-B2EE-1E18902512C7}"/>
    <cellStyle name="SAPBEXaggData 2 4 2 3" xfId="13765" xr:uid="{9658D5F5-7442-458F-BDD7-F545E0692FB4}"/>
    <cellStyle name="SAPBEXaggData 2 4 3" xfId="6929" xr:uid="{C0030B39-387C-4C1E-B682-C97E97DA961E}"/>
    <cellStyle name="SAPBEXaggData 2 4 3 2" xfId="12371" xr:uid="{2392DEEF-EAF3-4E1F-90B4-A4B8330B97C2}"/>
    <cellStyle name="SAPBEXaggData 2 4 3 3" xfId="14423" xr:uid="{A5E84B24-AB0C-4B9F-9B53-EFDADFBA0079}"/>
    <cellStyle name="SAPBEXaggData 2 4 4" xfId="9312" xr:uid="{2FEA7E04-7C2A-4541-B842-4A313B305DAE}"/>
    <cellStyle name="SAPBEXaggData 2 4 5" xfId="13026" xr:uid="{F0545872-D562-4AE9-BFED-4007E7E5DA3B}"/>
    <cellStyle name="SAPBEXaggData 2 5" xfId="3927" xr:uid="{355672AB-F92F-470B-988E-9EAFCEB8A8B7}"/>
    <cellStyle name="SAPBEXaggData 2 5 2" xfId="6332" xr:uid="{CDDA34B2-FEB9-4E6A-A8AB-4E5E7FC06459}"/>
    <cellStyle name="SAPBEXaggData 2 5 2 2" xfId="11774" xr:uid="{32A47EA5-BB12-4597-8DAD-7BBA5C1832DE}"/>
    <cellStyle name="SAPBEXaggData 2 5 2 3" xfId="13846" xr:uid="{DC6BA6C1-4DC2-4116-83A0-794A5A2C4CD8}"/>
    <cellStyle name="SAPBEXaggData 2 5 3" xfId="7010" xr:uid="{88D96AC6-3787-4BBD-9CBD-61D3A0C1FA22}"/>
    <cellStyle name="SAPBEXaggData 2 5 3 2" xfId="12452" xr:uid="{1B78F41C-989A-4F82-879B-94BC10D6C603}"/>
    <cellStyle name="SAPBEXaggData 2 5 3 3" xfId="14502" xr:uid="{4ADF441E-74F3-47B3-90AB-A515D42B714C}"/>
    <cellStyle name="SAPBEXaggData 2 5 4" xfId="9395" xr:uid="{44689746-6081-498F-A59A-8D1BA03D885A}"/>
    <cellStyle name="SAPBEXaggData 2 5 5" xfId="13105" xr:uid="{3C072E2A-C3DD-4514-BBEC-2C4DEC9D0CDC}"/>
    <cellStyle name="SAPBEXaggData 2 6" xfId="3994" xr:uid="{A96DCBE0-B663-4F38-8BF5-BD4505758FA2}"/>
    <cellStyle name="SAPBEXaggData 2 6 2" xfId="6397" xr:uid="{6C98BCD5-2C69-495B-B5E1-814556C18C4F}"/>
    <cellStyle name="SAPBEXaggData 2 6 2 2" xfId="11839" xr:uid="{B6B56EAE-1BD5-4A5B-A377-1F2611A28E10}"/>
    <cellStyle name="SAPBEXaggData 2 6 2 3" xfId="13910" xr:uid="{87A69C6B-2C73-46D2-B026-67B9CC157D79}"/>
    <cellStyle name="SAPBEXaggData 2 6 3" xfId="7073" xr:uid="{E960F9E7-972C-4FD0-AF9D-C7CBD14AB3DD}"/>
    <cellStyle name="SAPBEXaggData 2 6 3 2" xfId="12515" xr:uid="{824790A5-6868-4D84-BF49-DDCA15BE0E79}"/>
    <cellStyle name="SAPBEXaggData 2 6 3 3" xfId="14564" xr:uid="{DB8CBC46-CC54-41D9-9370-501FF7F6CCE8}"/>
    <cellStyle name="SAPBEXaggData 2 6 4" xfId="9460" xr:uid="{71794376-B40E-4601-A8F5-995CFF160DEE}"/>
    <cellStyle name="SAPBEXaggData 2 6 5" xfId="13167" xr:uid="{44916665-866F-4781-84F0-04C00F15AB1A}"/>
    <cellStyle name="SAPBEXaggData 2 7" xfId="3628" xr:uid="{7817CDDF-F138-41F0-AF54-4917467903AA}"/>
    <cellStyle name="SAPBEXaggData 2 7 2" xfId="6037" xr:uid="{EB93F0EA-4366-42E6-BEF5-DD096D63D42D}"/>
    <cellStyle name="SAPBEXaggData 2 7 2 2" xfId="11479" xr:uid="{B1E5E288-14C7-4B58-8E18-D7FC8F426713}"/>
    <cellStyle name="SAPBEXaggData 2 7 2 3" xfId="13561" xr:uid="{09CB91AC-B4A8-4994-A1FE-2D609A156F48}"/>
    <cellStyle name="SAPBEXaggData 2 7 3" xfId="6721" xr:uid="{C83BE461-7CD9-4B3E-95F9-293108DA7AE6}"/>
    <cellStyle name="SAPBEXaggData 2 7 3 2" xfId="12163" xr:uid="{C0934A42-5F94-43C6-82D0-F5D4AC8D93B3}"/>
    <cellStyle name="SAPBEXaggData 2 7 3 3" xfId="14223" xr:uid="{5853A23D-247C-46FA-B2E1-C161B13D0791}"/>
    <cellStyle name="SAPBEXaggData 2 7 4" xfId="9100" xr:uid="{F7CE87A5-D51A-4477-9C0D-8BEA61677441}"/>
    <cellStyle name="SAPBEXaggData 2 7 5" xfId="12826" xr:uid="{22389BE8-DE6D-464A-9AB7-05615AD08342}"/>
    <cellStyle name="SAPBEXaggData 2 8" xfId="5720" xr:uid="{C75D9B0C-2C2B-4784-BD36-6CC62900FFA7}"/>
    <cellStyle name="SAPBEXaggData 2 8 2" xfId="11162" xr:uid="{EF45D043-6CB8-4C61-BADD-54FE1246A53A}"/>
    <cellStyle name="SAPBEXaggData 2 8 3" xfId="13366" xr:uid="{A1904F3C-D4D4-4F6E-AE70-FA8732D18491}"/>
    <cellStyle name="SAPBEXaggData 2 9" xfId="6518" xr:uid="{AE47B4F5-DE90-4D12-BC4F-BCF0A873CF05}"/>
    <cellStyle name="SAPBEXaggData 2 9 2" xfId="11960" xr:uid="{8C88DEF7-0B73-4B2C-A517-2B88C0177824}"/>
    <cellStyle name="SAPBEXaggData 2 9 3" xfId="14028" xr:uid="{FAF73476-05A3-48EC-B530-6988254D0E7D}"/>
    <cellStyle name="SAPBEXaggData 2_2014 CLEAResult Invoices" xfId="3157" xr:uid="{58EA2BDD-5BB0-4547-9FCE-ABB35F0DA398}"/>
    <cellStyle name="SAPBEXaggData 3" xfId="3158" xr:uid="{A3E113AB-BE12-45C5-9C3F-89FF403EF771}"/>
    <cellStyle name="SAPBEXaggData 3 10" xfId="12633" xr:uid="{C67DEAF9-36AE-4811-9BA2-019CD813A384}"/>
    <cellStyle name="SAPBEXaggData 3 2" xfId="3779" xr:uid="{1F575063-83C7-4AA7-829A-A9C68B09A768}"/>
    <cellStyle name="SAPBEXaggData 3 2 2" xfId="6187" xr:uid="{99118A7C-EAF6-47B7-A500-A5168121647F}"/>
    <cellStyle name="SAPBEXaggData 3 2 2 2" xfId="11629" xr:uid="{2BB49E39-E627-42E8-94A2-B2E8D7EC2692}"/>
    <cellStyle name="SAPBEXaggData 3 2 2 3" xfId="13704" xr:uid="{5AA12302-6D1E-4D17-B392-4F26AD34C931}"/>
    <cellStyle name="SAPBEXaggData 3 2 3" xfId="6869" xr:uid="{99D5214E-729B-4C1C-B388-78106F90513C}"/>
    <cellStyle name="SAPBEXaggData 3 2 3 2" xfId="12311" xr:uid="{D0A5DE2B-4887-452A-8EAE-B9521DE935ED}"/>
    <cellStyle name="SAPBEXaggData 3 2 3 3" xfId="14364" xr:uid="{470E16D4-8A8B-469D-9C32-20A5D68509EB}"/>
    <cellStyle name="SAPBEXaggData 3 2 4" xfId="9250" xr:uid="{AA92E617-B928-494F-979E-3EA0C0746166}"/>
    <cellStyle name="SAPBEXaggData 3 2 5" xfId="12967" xr:uid="{8DDA8B51-B086-4D51-B7E6-C5AFEFE2892A}"/>
    <cellStyle name="SAPBEXaggData 3 3" xfId="3845" xr:uid="{B7FBE8AE-D985-44F9-981A-A5108B5E88B7}"/>
    <cellStyle name="SAPBEXaggData 3 3 2" xfId="6252" xr:uid="{027DAE1F-DCAF-40C8-9BB3-D6210AB89A44}"/>
    <cellStyle name="SAPBEXaggData 3 3 2 2" xfId="11694" xr:uid="{891377D1-D4BB-4762-B201-25E85B9DB21E}"/>
    <cellStyle name="SAPBEXaggData 3 3 2 3" xfId="13768" xr:uid="{E2A9B459-C5C0-44D8-B5E8-8B5806C7BF80}"/>
    <cellStyle name="SAPBEXaggData 3 3 3" xfId="6932" xr:uid="{0606E625-16A4-4C30-9E38-DA607A1842E2}"/>
    <cellStyle name="SAPBEXaggData 3 3 3 2" xfId="12374" xr:uid="{C0E82DF5-83E7-43A0-8213-C353C7C14C92}"/>
    <cellStyle name="SAPBEXaggData 3 3 3 3" xfId="14426" xr:uid="{68435E71-5F2C-4826-8F72-91ADDEEEBD22}"/>
    <cellStyle name="SAPBEXaggData 3 3 4" xfId="9315" xr:uid="{D928F738-6A80-414B-8F8C-CC0F328B9451}"/>
    <cellStyle name="SAPBEXaggData 3 3 5" xfId="13029" xr:uid="{3B57FE6E-94CF-465A-BEF5-0BD49CA7BA10}"/>
    <cellStyle name="SAPBEXaggData 3 4" xfId="3930" xr:uid="{84BED982-A19B-4689-B5DF-A8FAC213D01F}"/>
    <cellStyle name="SAPBEXaggData 3 4 2" xfId="6335" xr:uid="{547FEC1C-447E-42B9-8D5C-B4322CF7C6F1}"/>
    <cellStyle name="SAPBEXaggData 3 4 2 2" xfId="11777" xr:uid="{82FBC659-8895-4FA0-9FB8-31FBA49583F4}"/>
    <cellStyle name="SAPBEXaggData 3 4 2 3" xfId="13849" xr:uid="{0E50AE0C-5E02-41C6-925E-FC079C66C223}"/>
    <cellStyle name="SAPBEXaggData 3 4 3" xfId="7013" xr:uid="{821B14E2-F828-4E3B-BF71-44A648D8EC98}"/>
    <cellStyle name="SAPBEXaggData 3 4 3 2" xfId="12455" xr:uid="{5CE7D8BE-3D9A-4512-8A47-51751BB7EEE6}"/>
    <cellStyle name="SAPBEXaggData 3 4 3 3" xfId="14505" xr:uid="{B52B11FC-17B5-445D-B34D-4368316A5A36}"/>
    <cellStyle name="SAPBEXaggData 3 4 4" xfId="9398" xr:uid="{E71B11E2-1FC9-4252-AE2E-040AF806D1F8}"/>
    <cellStyle name="SAPBEXaggData 3 4 5" xfId="13108" xr:uid="{8F55B7DF-3788-4660-921F-2AE27A5E2FC5}"/>
    <cellStyle name="SAPBEXaggData 3 5" xfId="3997" xr:uid="{651312C1-55CF-478C-A9B6-A75270D50092}"/>
    <cellStyle name="SAPBEXaggData 3 5 2" xfId="6400" xr:uid="{9F609495-BAE0-47F4-A58F-B2BAFEA08BCA}"/>
    <cellStyle name="SAPBEXaggData 3 5 2 2" xfId="11842" xr:uid="{82FDC4CA-DE0F-4344-BABD-D48BD0C807D9}"/>
    <cellStyle name="SAPBEXaggData 3 5 2 3" xfId="13913" xr:uid="{8E370C7D-758C-4748-AE2D-C68709CBA835}"/>
    <cellStyle name="SAPBEXaggData 3 5 3" xfId="7076" xr:uid="{6B9B2997-0EB4-42A1-8F74-21CDA24CC508}"/>
    <cellStyle name="SAPBEXaggData 3 5 3 2" xfId="12518" xr:uid="{7C283185-8A25-4C00-83A6-8D3BE1D711C9}"/>
    <cellStyle name="SAPBEXaggData 3 5 3 3" xfId="14567" xr:uid="{1262A6CE-D0B9-4B0B-A31A-249BC2CC8A10}"/>
    <cellStyle name="SAPBEXaggData 3 5 4" xfId="9463" xr:uid="{3442F919-5F7C-49BC-AE93-DDADA92E167F}"/>
    <cellStyle name="SAPBEXaggData 3 5 5" xfId="13170" xr:uid="{FD5D28CA-3D5F-424C-B324-6E48C44D817C}"/>
    <cellStyle name="SAPBEXaggData 3 6" xfId="3713" xr:uid="{2955A38E-428F-44CB-8DB9-19148F16542B}"/>
    <cellStyle name="SAPBEXaggData 3 6 2" xfId="6121" xr:uid="{4A381A8D-7274-448F-872B-EC5C7BBA17AF}"/>
    <cellStyle name="SAPBEXaggData 3 6 2 2" xfId="11563" xr:uid="{FC8DEDE2-FA40-4325-8F80-234043EEF427}"/>
    <cellStyle name="SAPBEXaggData 3 6 2 3" xfId="13640" xr:uid="{30A13854-9900-4EBB-9F09-052C6CCD506B}"/>
    <cellStyle name="SAPBEXaggData 3 6 3" xfId="6805" xr:uid="{BE3BE2C6-5C17-48B4-ABA5-DDB3BF556470}"/>
    <cellStyle name="SAPBEXaggData 3 6 3 2" xfId="12247" xr:uid="{5581F51E-6DFC-4B4F-B204-30AC3CA15EFC}"/>
    <cellStyle name="SAPBEXaggData 3 6 3 3" xfId="14302" xr:uid="{B54F0F7F-9223-490D-8525-FB295136EC55}"/>
    <cellStyle name="SAPBEXaggData 3 6 4" xfId="9184" xr:uid="{A67F2B1C-9FF5-4237-8C71-C24AAB61E0FD}"/>
    <cellStyle name="SAPBEXaggData 3 6 5" xfId="12905" xr:uid="{EF22600A-8625-442D-9262-918E4C1F5E9D}"/>
    <cellStyle name="SAPBEXaggData 3 7" xfId="5722" xr:uid="{63B9308B-07D6-4AE4-8FB7-F0DD33BEE67E}"/>
    <cellStyle name="SAPBEXaggData 3 7 2" xfId="11164" xr:uid="{6400BE9B-E80E-4AC5-8C96-1F39C129AF13}"/>
    <cellStyle name="SAPBEXaggData 3 7 3" xfId="13368" xr:uid="{C49479AE-FD78-43BB-AFEE-DFAF09247197}"/>
    <cellStyle name="SAPBEXaggData 3 8" xfId="6520" xr:uid="{4240D340-BE70-4787-A874-6825F3ED19EF}"/>
    <cellStyle name="SAPBEXaggData 3 8 2" xfId="11962" xr:uid="{3CB62653-437E-4046-8D26-F2E2F4E59885}"/>
    <cellStyle name="SAPBEXaggData 3 8 3" xfId="14030" xr:uid="{E6BDCE9E-1F96-462D-8F53-6E5369D86AB5}"/>
    <cellStyle name="SAPBEXaggData 3 9" xfId="8778" xr:uid="{64D53806-3DDD-459A-AF06-9D7E1FCA32A0}"/>
    <cellStyle name="SAPBEXaggData 4" xfId="3154" xr:uid="{00AB4F47-25D8-46AF-826F-5EC3724B014C}"/>
    <cellStyle name="SAPBEXaggData 4 2" xfId="3651" xr:uid="{D1141C92-F389-42E2-8465-C8AB98C948C4}"/>
    <cellStyle name="SAPBEXaggData 4 2 2" xfId="6059" xr:uid="{E7E51B5E-E0DA-4A68-BEF0-767D14427626}"/>
    <cellStyle name="SAPBEXaggData 4 2 2 2" xfId="11501" xr:uid="{09BD1154-DA4E-4DDB-91D5-AD8C97DA7291}"/>
    <cellStyle name="SAPBEXaggData 4 2 2 3" xfId="13581" xr:uid="{084A56EA-20ED-44AA-9727-095E543A72AA}"/>
    <cellStyle name="SAPBEXaggData 4 2 3" xfId="6743" xr:uid="{0C767689-B121-41A9-BA38-497386EE2831}"/>
    <cellStyle name="SAPBEXaggData 4 2 3 2" xfId="12185" xr:uid="{A4687D6C-84DE-45C7-A30E-B6B8369310A7}"/>
    <cellStyle name="SAPBEXaggData 4 2 3 3" xfId="14243" xr:uid="{F2EDA133-6647-4B98-B989-D0D6C8D42768}"/>
    <cellStyle name="SAPBEXaggData 4 2 4" xfId="9122" xr:uid="{B1B5195A-6788-4DA0-BAF2-C7A59D0FC29E}"/>
    <cellStyle name="SAPBEXaggData 4 2 5" xfId="12846" xr:uid="{F32EAEDD-940F-4B2D-9003-9E46E8DE47DF}"/>
    <cellStyle name="SAPBEXaggData 4 3" xfId="5719" xr:uid="{4EE4C01C-0954-4E48-B0B1-58BC01EEDCA9}"/>
    <cellStyle name="SAPBEXaggData 4 3 2" xfId="11161" xr:uid="{7814AF77-5FFA-425A-A66E-6AB4F738BEA7}"/>
    <cellStyle name="SAPBEXaggData 4 3 3" xfId="13365" xr:uid="{57636533-8A79-4A72-BAEA-360564BA8F21}"/>
    <cellStyle name="SAPBEXaggData 4 4" xfId="6517" xr:uid="{636CB6F2-A770-41B1-9021-849A519D69EB}"/>
    <cellStyle name="SAPBEXaggData 4 4 2" xfId="11959" xr:uid="{C1F33B5E-FE48-4C25-9132-F90B2DB7F758}"/>
    <cellStyle name="SAPBEXaggData 4 4 3" xfId="14027" xr:uid="{D6201AE4-E336-4F89-B596-2E4657AE776E}"/>
    <cellStyle name="SAPBEXaggData 4 5" xfId="8775" xr:uid="{1752D38A-6A7E-40EB-9BDB-C91915776931}"/>
    <cellStyle name="SAPBEXaggData 4 6" xfId="12630" xr:uid="{EED7442E-E938-4E7C-A3B0-F9B6E68793A6}"/>
    <cellStyle name="SAPBEXaggData 5" xfId="3648" xr:uid="{8E6CF1C3-C4DF-4E1A-B293-DC3DECF07551}"/>
    <cellStyle name="SAPBEXaggData 5 2" xfId="6057" xr:uid="{E4D0D0A4-8F1E-4769-8B16-94A418391CE1}"/>
    <cellStyle name="SAPBEXaggData 5 2 2" xfId="11499" xr:uid="{6F13FCC0-3BB5-4FF8-AC6B-8437245B06E0}"/>
    <cellStyle name="SAPBEXaggData 5 2 3" xfId="13580" xr:uid="{6B9FB4EF-336C-4648-AA27-9FFF29DD8F5E}"/>
    <cellStyle name="SAPBEXaggData 5 3" xfId="6741" xr:uid="{3284D042-182F-42DA-998F-E421FBF068CA}"/>
    <cellStyle name="SAPBEXaggData 5 3 2" xfId="12183" xr:uid="{2101774A-0651-4A64-B95D-E92CC02655CD}"/>
    <cellStyle name="SAPBEXaggData 5 3 3" xfId="14242" xr:uid="{A04CAE62-00FA-4442-B532-1C4F035D6D37}"/>
    <cellStyle name="SAPBEXaggData 5 4" xfId="9120" xr:uid="{D030EADA-6160-48E4-B5CE-5F3D52267237}"/>
    <cellStyle name="SAPBEXaggData 5 5" xfId="12845" xr:uid="{1158714E-9C35-4A90-AC17-29361738E357}"/>
    <cellStyle name="SAPBEXaggData 6" xfId="3561" xr:uid="{27165643-5145-41A2-AEB5-C21D7F303662}"/>
    <cellStyle name="SAPBEXaggData 6 2" xfId="5972" xr:uid="{2D2C25E2-C19E-4902-A64E-E61EC6813F27}"/>
    <cellStyle name="SAPBEXaggData 6 2 2" xfId="11414" xr:uid="{9BA622C0-202F-4E04-9394-054EF795AC01}"/>
    <cellStyle name="SAPBEXaggData 6 2 3" xfId="13499" xr:uid="{53166CCB-0889-43F9-87BF-D5AB19599C02}"/>
    <cellStyle name="SAPBEXaggData 6 3" xfId="6655" xr:uid="{02AB27AA-5121-4AD1-A05E-1D9AB5835322}"/>
    <cellStyle name="SAPBEXaggData 6 3 2" xfId="12097" xr:uid="{A3F5A9F6-067B-4F5D-B06C-7B51CEF47307}"/>
    <cellStyle name="SAPBEXaggData 6 3 3" xfId="14160" xr:uid="{1D28C636-DB33-4A11-ABE0-B404AA96A92E}"/>
    <cellStyle name="SAPBEXaggData 6 4" xfId="9033" xr:uid="{CF72CBFE-8AB7-4FA4-B626-EC1EC5871171}"/>
    <cellStyle name="SAPBEXaggData 6 5" xfId="12763" xr:uid="{6F80C92F-A089-455F-9C8F-5617CF0AEF5D}"/>
    <cellStyle name="SAPBEXaggData 7" xfId="4130" xr:uid="{CDA329D7-923D-409E-84BD-AF334DADB19C}"/>
    <cellStyle name="SAPBEXaggData 7 2" xfId="9580" xr:uid="{15494E48-1A4B-4875-A574-9FEC2B349F49}"/>
    <cellStyle name="SAPBEXaggData 7 3" xfId="13209" xr:uid="{B4130BBC-BA4B-4AF0-A0F2-6ED6A0702E24}"/>
    <cellStyle name="SAPBEXaggData 8" xfId="5583" xr:uid="{61555491-2A54-427A-B409-33F8755479C4}"/>
    <cellStyle name="SAPBEXaggData 8 2" xfId="11029" xr:uid="{49384F14-F675-4D2E-98E7-0342B0DEEACB}"/>
    <cellStyle name="SAPBEXaggData 8 3" xfId="13266" xr:uid="{923638B4-FC19-45B8-A463-1BCB834F10A3}"/>
    <cellStyle name="SAPBEXaggData 9" xfId="7196" xr:uid="{79273CD9-ADB1-412C-A159-FA7DA707B391}"/>
    <cellStyle name="SAPBEXaggData_2014 CLEAResult Invoices" xfId="3159" xr:uid="{2143303E-858F-4CA4-B703-944C2151C5E2}"/>
    <cellStyle name="SAPBEXaggDataEmph" xfId="249" xr:uid="{B7860693-7098-4963-8DC5-9E90D2E8FB85}"/>
    <cellStyle name="SAPBEXaggDataEmph 10" xfId="9504" xr:uid="{1A2FC6C8-0C78-4F96-B933-D3B3C947EC76}"/>
    <cellStyle name="SAPBEXaggDataEmph 2" xfId="3161" xr:uid="{F4F44AA7-3537-44B8-B3DF-67CE4F302FC3}"/>
    <cellStyle name="SAPBEXaggDataEmph 2 10" xfId="8780" xr:uid="{55EDCC87-8954-4663-93E9-1E67968AA0BF}"/>
    <cellStyle name="SAPBEXaggDataEmph 2 11" xfId="12635" xr:uid="{CB4AC193-B3D2-421A-8FC2-584A2E103247}"/>
    <cellStyle name="SAPBEXaggDataEmph 2 2" xfId="3709" xr:uid="{B3F953AD-F1A1-4339-967F-A7837620610C}"/>
    <cellStyle name="SAPBEXaggDataEmph 2 2 2" xfId="6117" xr:uid="{AEE25700-6EE0-4ABE-9F5D-DE63F0F2FD9B}"/>
    <cellStyle name="SAPBEXaggDataEmph 2 2 2 2" xfId="11559" xr:uid="{232813A9-83BF-4DAA-B44A-3CBE29208E17}"/>
    <cellStyle name="SAPBEXaggDataEmph 2 2 2 3" xfId="13636" xr:uid="{C92DEB29-51E0-433E-8BE1-9C4D87508F51}"/>
    <cellStyle name="SAPBEXaggDataEmph 2 2 3" xfId="6801" xr:uid="{8BBB69EF-AA5E-4027-9658-30F228CB417E}"/>
    <cellStyle name="SAPBEXaggDataEmph 2 2 3 2" xfId="12243" xr:uid="{1E8024E3-7ED6-453B-9F3A-23CF2E98DEB8}"/>
    <cellStyle name="SAPBEXaggDataEmph 2 2 3 3" xfId="14298" xr:uid="{9F0E7296-FB34-41BB-BD90-47CD1E2DBC69}"/>
    <cellStyle name="SAPBEXaggDataEmph 2 2 4" xfId="9180" xr:uid="{4182B9A2-E230-44A1-B4AD-BAFC161D36A8}"/>
    <cellStyle name="SAPBEXaggDataEmph 2 2 5" xfId="12901" xr:uid="{449F1982-97BA-40C3-A838-8B4B1A2EC92D}"/>
    <cellStyle name="SAPBEXaggDataEmph 2 3" xfId="3775" xr:uid="{86DA4E19-98F2-4E2B-A232-35225FDBE686}"/>
    <cellStyle name="SAPBEXaggDataEmph 2 3 2" xfId="6183" xr:uid="{3AFE2CD7-FA68-4686-BB2B-E4AAD7751249}"/>
    <cellStyle name="SAPBEXaggDataEmph 2 3 2 2" xfId="11625" xr:uid="{6B0A916B-90B1-4B4F-B094-F9602FF234C8}"/>
    <cellStyle name="SAPBEXaggDataEmph 2 3 2 3" xfId="13700" xr:uid="{DA50F253-1408-401A-B9DD-8F5FC0A128BE}"/>
    <cellStyle name="SAPBEXaggDataEmph 2 3 3" xfId="6865" xr:uid="{A194C92C-BF50-47B8-B9D4-622AE70FB780}"/>
    <cellStyle name="SAPBEXaggDataEmph 2 3 3 2" xfId="12307" xr:uid="{56E89AED-48D6-493C-B6C5-80A5AF9D46FE}"/>
    <cellStyle name="SAPBEXaggDataEmph 2 3 3 3" xfId="14360" xr:uid="{562341F2-3E58-4C52-BA57-E2D68D15722A}"/>
    <cellStyle name="SAPBEXaggDataEmph 2 3 4" xfId="9246" xr:uid="{B6AED6E8-9DC1-4F51-8CCC-356DF384FCA7}"/>
    <cellStyle name="SAPBEXaggDataEmph 2 3 5" xfId="12963" xr:uid="{A656086D-55BA-4F86-B5E3-274301D7D6A7}"/>
    <cellStyle name="SAPBEXaggDataEmph 2 4" xfId="3841" xr:uid="{EEFDA1AA-7812-4D70-BB0E-ED8741B579EF}"/>
    <cellStyle name="SAPBEXaggDataEmph 2 4 2" xfId="6248" xr:uid="{BF0F01DD-9F71-4FA8-BCF7-5852920BB5A2}"/>
    <cellStyle name="SAPBEXaggDataEmph 2 4 2 2" xfId="11690" xr:uid="{280FF9FC-2D62-4DFC-A23A-3EBDB70D7E3C}"/>
    <cellStyle name="SAPBEXaggDataEmph 2 4 2 3" xfId="13764" xr:uid="{E2CBD46E-1491-4256-9E03-830058140FA6}"/>
    <cellStyle name="SAPBEXaggDataEmph 2 4 3" xfId="6928" xr:uid="{B149A38F-26D9-4413-BD02-559AD26BCA10}"/>
    <cellStyle name="SAPBEXaggDataEmph 2 4 3 2" xfId="12370" xr:uid="{BB60E0F8-C388-46AD-ACD8-97ABE2324232}"/>
    <cellStyle name="SAPBEXaggDataEmph 2 4 3 3" xfId="14422" xr:uid="{348F32B6-7599-4B6A-87EE-C613D94BB897}"/>
    <cellStyle name="SAPBEXaggDataEmph 2 4 4" xfId="9311" xr:uid="{8C1F7609-036F-4CFE-A4A5-2B58419B2E0E}"/>
    <cellStyle name="SAPBEXaggDataEmph 2 4 5" xfId="13025" xr:uid="{34F75AFE-7085-4A1E-B4DC-D3CDC45D39E0}"/>
    <cellStyle name="SAPBEXaggDataEmph 2 5" xfId="3926" xr:uid="{18828B85-7262-4E43-8BDB-E324A6C96906}"/>
    <cellStyle name="SAPBEXaggDataEmph 2 5 2" xfId="6331" xr:uid="{A1A73E2F-4637-4612-8F5F-408952ED5504}"/>
    <cellStyle name="SAPBEXaggDataEmph 2 5 2 2" xfId="11773" xr:uid="{21C93AE2-9E2C-4B6E-B9D0-18928198401B}"/>
    <cellStyle name="SAPBEXaggDataEmph 2 5 2 3" xfId="13845" xr:uid="{FE4A51D1-CA74-4BEB-A263-8F9C34A974A4}"/>
    <cellStyle name="SAPBEXaggDataEmph 2 5 3" xfId="7009" xr:uid="{34ECA5F3-B472-4E8E-B64A-C3A895268AA2}"/>
    <cellStyle name="SAPBEXaggDataEmph 2 5 3 2" xfId="12451" xr:uid="{F12D2AC2-9E1B-4C0B-93AF-54BCFAD4B945}"/>
    <cellStyle name="SAPBEXaggDataEmph 2 5 3 3" xfId="14501" xr:uid="{D755BAB0-3758-4EAF-8A4A-4164505ADB00}"/>
    <cellStyle name="SAPBEXaggDataEmph 2 5 4" xfId="9394" xr:uid="{63E05C05-6D3B-4082-AE99-D74E9DCD8A4B}"/>
    <cellStyle name="SAPBEXaggDataEmph 2 5 5" xfId="13104" xr:uid="{214AABB6-E398-4BCF-B8A5-93257C5110F3}"/>
    <cellStyle name="SAPBEXaggDataEmph 2 6" xfId="3993" xr:uid="{ACD6886B-4BD4-46A7-9724-D34819DC5663}"/>
    <cellStyle name="SAPBEXaggDataEmph 2 6 2" xfId="6396" xr:uid="{F8DD4D61-5F28-4C12-9769-69D45CD263E2}"/>
    <cellStyle name="SAPBEXaggDataEmph 2 6 2 2" xfId="11838" xr:uid="{54362B3A-53D6-45A1-95DA-090397C30ACC}"/>
    <cellStyle name="SAPBEXaggDataEmph 2 6 2 3" xfId="13909" xr:uid="{5BDFE4F3-1576-4924-9C26-9B9CEB9CF284}"/>
    <cellStyle name="SAPBEXaggDataEmph 2 6 3" xfId="7072" xr:uid="{B147EB0D-272C-4BFF-BF20-11ABA24A0231}"/>
    <cellStyle name="SAPBEXaggDataEmph 2 6 3 2" xfId="12514" xr:uid="{D61CC725-AA6A-4B63-982A-412DC23CD2A0}"/>
    <cellStyle name="SAPBEXaggDataEmph 2 6 3 3" xfId="14563" xr:uid="{67B641B7-6547-4196-AF04-1A697540265F}"/>
    <cellStyle name="SAPBEXaggDataEmph 2 6 4" xfId="9459" xr:uid="{69CF64BC-2621-47B9-A36B-D07224026CC5}"/>
    <cellStyle name="SAPBEXaggDataEmph 2 6 5" xfId="13166" xr:uid="{223AEE6C-3677-4778-B4A8-B5B6BDF4C03E}"/>
    <cellStyle name="SAPBEXaggDataEmph 2 7" xfId="3627" xr:uid="{5D530B16-E894-42C1-96AA-D32433338FAB}"/>
    <cellStyle name="SAPBEXaggDataEmph 2 7 2" xfId="6036" xr:uid="{982833D5-499C-4CDA-9D9C-5945344B6244}"/>
    <cellStyle name="SAPBEXaggDataEmph 2 7 2 2" xfId="11478" xr:uid="{3EB91AA7-34CB-4871-91C4-4B38E13EC976}"/>
    <cellStyle name="SAPBEXaggDataEmph 2 7 2 3" xfId="13560" xr:uid="{2FD69408-36F4-4D17-825E-58B221D882BB}"/>
    <cellStyle name="SAPBEXaggDataEmph 2 7 3" xfId="6720" xr:uid="{5BFFAA12-3F78-415B-BA70-266763CBB6F8}"/>
    <cellStyle name="SAPBEXaggDataEmph 2 7 3 2" xfId="12162" xr:uid="{5FF23BF9-655A-48F9-AEE9-67FF283ED92B}"/>
    <cellStyle name="SAPBEXaggDataEmph 2 7 3 3" xfId="14222" xr:uid="{7CA6A01B-50D2-4056-90AF-E955417DF59F}"/>
    <cellStyle name="SAPBEXaggDataEmph 2 7 4" xfId="9099" xr:uid="{A13B7604-CF47-4418-87D9-4A72265E4B64}"/>
    <cellStyle name="SAPBEXaggDataEmph 2 7 5" xfId="12825" xr:uid="{4823BD67-96D9-453A-A9AC-BC50AC68D137}"/>
    <cellStyle name="SAPBEXaggDataEmph 2 8" xfId="5724" xr:uid="{C6BDAB44-426C-44C3-88EF-848E25111A3F}"/>
    <cellStyle name="SAPBEXaggDataEmph 2 8 2" xfId="11166" xr:uid="{8FFB17D0-EEE2-456F-B1A8-471501EE7140}"/>
    <cellStyle name="SAPBEXaggDataEmph 2 8 3" xfId="13370" xr:uid="{A7EF4109-507D-441E-9B16-6018AB7E81B7}"/>
    <cellStyle name="SAPBEXaggDataEmph 2 9" xfId="6522" xr:uid="{6ACFEA9B-335D-409C-80BA-5AA5723D386C}"/>
    <cellStyle name="SAPBEXaggDataEmph 2 9 2" xfId="11964" xr:uid="{1FB2DB54-D20D-46D5-AE19-3EDE1AA0D2E6}"/>
    <cellStyle name="SAPBEXaggDataEmph 2 9 3" xfId="14032" xr:uid="{77BCB6B4-AB0F-46D0-94C4-2ACDF2D94518}"/>
    <cellStyle name="SAPBEXaggDataEmph 3" xfId="3160" xr:uid="{4A9E1BDE-F874-497D-9CE8-7B00C9118E56}"/>
    <cellStyle name="SAPBEXaggDataEmph 3 10" xfId="12634" xr:uid="{6EA23CD0-2F4A-47A1-B70A-D6D9A4F511EF}"/>
    <cellStyle name="SAPBEXaggDataEmph 3 2" xfId="3780" xr:uid="{897FED49-8254-49AC-8CE4-0E7DC3CD3541}"/>
    <cellStyle name="SAPBEXaggDataEmph 3 2 2" xfId="6188" xr:uid="{888C9F9A-2A30-488A-8C09-DA9C8178EE53}"/>
    <cellStyle name="SAPBEXaggDataEmph 3 2 2 2" xfId="11630" xr:uid="{0438F869-C92F-4A61-8424-ED185A3D5042}"/>
    <cellStyle name="SAPBEXaggDataEmph 3 2 2 3" xfId="13705" xr:uid="{D2445615-8E84-4BBD-B763-9FDA0AA37479}"/>
    <cellStyle name="SAPBEXaggDataEmph 3 2 3" xfId="6870" xr:uid="{55A47536-AAB1-44BB-B6E4-F2626F088D2C}"/>
    <cellStyle name="SAPBEXaggDataEmph 3 2 3 2" xfId="12312" xr:uid="{75820638-8950-49FB-8E69-985B5BD380A8}"/>
    <cellStyle name="SAPBEXaggDataEmph 3 2 3 3" xfId="14365" xr:uid="{3859EE59-BCCF-45AA-BA09-B70DB799A2D3}"/>
    <cellStyle name="SAPBEXaggDataEmph 3 2 4" xfId="9251" xr:uid="{B3A3BA09-ADA5-4B78-ABCE-FDEFA5A0A665}"/>
    <cellStyle name="SAPBEXaggDataEmph 3 2 5" xfId="12968" xr:uid="{22DF2C9F-60D5-42AB-B7DA-0A1ED6EBDA1D}"/>
    <cellStyle name="SAPBEXaggDataEmph 3 3" xfId="3846" xr:uid="{8698D16F-34A3-4461-B9BD-58215E97EC3D}"/>
    <cellStyle name="SAPBEXaggDataEmph 3 3 2" xfId="6253" xr:uid="{B739CD0F-461E-4EB1-B0E7-D0AEC042F56B}"/>
    <cellStyle name="SAPBEXaggDataEmph 3 3 2 2" xfId="11695" xr:uid="{C327617B-866B-4D3F-B3C2-6CC4285A9A71}"/>
    <cellStyle name="SAPBEXaggDataEmph 3 3 2 3" xfId="13769" xr:uid="{FABB401F-1274-408C-A827-83A94BC20F59}"/>
    <cellStyle name="SAPBEXaggDataEmph 3 3 3" xfId="6933" xr:uid="{1B06D12A-C137-4D13-8E28-FF30BA038A91}"/>
    <cellStyle name="SAPBEXaggDataEmph 3 3 3 2" xfId="12375" xr:uid="{55B84AE6-1A28-428B-BE7D-388A7DECD005}"/>
    <cellStyle name="SAPBEXaggDataEmph 3 3 3 3" xfId="14427" xr:uid="{ACDCC81D-4868-4F62-999F-162CF9194EF2}"/>
    <cellStyle name="SAPBEXaggDataEmph 3 3 4" xfId="9316" xr:uid="{3EB44C1D-D2AC-4CEE-8BB7-8D1812A30CED}"/>
    <cellStyle name="SAPBEXaggDataEmph 3 3 5" xfId="13030" xr:uid="{08B7D6EE-79E0-4DF8-B9D8-3DAE7A8A80A9}"/>
    <cellStyle name="SAPBEXaggDataEmph 3 4" xfId="3931" xr:uid="{CAEB788E-D45A-4E10-B56D-B42935EFC409}"/>
    <cellStyle name="SAPBEXaggDataEmph 3 4 2" xfId="6336" xr:uid="{3A54556A-88FA-4A80-93FD-9A21BAF377CC}"/>
    <cellStyle name="SAPBEXaggDataEmph 3 4 2 2" xfId="11778" xr:uid="{AF188688-5B5B-4C9D-8ECC-D4B5420F98E6}"/>
    <cellStyle name="SAPBEXaggDataEmph 3 4 2 3" xfId="13850" xr:uid="{2D300C65-09FB-4219-A0F3-561CB0E40D5B}"/>
    <cellStyle name="SAPBEXaggDataEmph 3 4 3" xfId="7014" xr:uid="{7CC83043-6840-45C7-B8A7-084F16E2571B}"/>
    <cellStyle name="SAPBEXaggDataEmph 3 4 3 2" xfId="12456" xr:uid="{2AFC88C3-8386-4647-95F9-0358CFF4FD1E}"/>
    <cellStyle name="SAPBEXaggDataEmph 3 4 3 3" xfId="14506" xr:uid="{699A90D2-46EE-4FB4-8A7B-CDA4E9657FB5}"/>
    <cellStyle name="SAPBEXaggDataEmph 3 4 4" xfId="9399" xr:uid="{98BD7527-47CB-4267-859C-DBB65479833F}"/>
    <cellStyle name="SAPBEXaggDataEmph 3 4 5" xfId="13109" xr:uid="{F09307E9-FD49-492F-9DDC-D82EF6414662}"/>
    <cellStyle name="SAPBEXaggDataEmph 3 5" xfId="3998" xr:uid="{BAABDF00-CFEA-45F1-9161-FBB72B43B06F}"/>
    <cellStyle name="SAPBEXaggDataEmph 3 5 2" xfId="6401" xr:uid="{C45A1772-526B-4A84-A567-8735A25864D5}"/>
    <cellStyle name="SAPBEXaggDataEmph 3 5 2 2" xfId="11843" xr:uid="{427FC483-8DBE-4873-A9E4-ABD88921C4ED}"/>
    <cellStyle name="SAPBEXaggDataEmph 3 5 2 3" xfId="13914" xr:uid="{60C498B7-0226-4BB0-A521-72B8EFCE13FA}"/>
    <cellStyle name="SAPBEXaggDataEmph 3 5 3" xfId="7077" xr:uid="{F1AA76EF-F1A2-49F1-BEEA-2C332BF332EF}"/>
    <cellStyle name="SAPBEXaggDataEmph 3 5 3 2" xfId="12519" xr:uid="{C1F06985-6AE0-4C69-B781-28BD7810A4A5}"/>
    <cellStyle name="SAPBEXaggDataEmph 3 5 3 3" xfId="14568" xr:uid="{D9DF8D17-3D87-4345-A5F8-F7A45CAC0CAE}"/>
    <cellStyle name="SAPBEXaggDataEmph 3 5 4" xfId="9464" xr:uid="{5591A526-0FF3-4AEE-A7E4-8587524D8228}"/>
    <cellStyle name="SAPBEXaggDataEmph 3 5 5" xfId="13171" xr:uid="{465A5C84-A9CE-410B-8476-A438BBF5FBD0}"/>
    <cellStyle name="SAPBEXaggDataEmph 3 6" xfId="3714" xr:uid="{4C7EF9C0-6CC6-4488-BC82-78B5ABF4AAF6}"/>
    <cellStyle name="SAPBEXaggDataEmph 3 6 2" xfId="6122" xr:uid="{DB5650D8-0DA9-49AD-B215-9C15BFA71A7F}"/>
    <cellStyle name="SAPBEXaggDataEmph 3 6 2 2" xfId="11564" xr:uid="{4E1B9C96-8E60-415C-B476-E6BF1C608A68}"/>
    <cellStyle name="SAPBEXaggDataEmph 3 6 2 3" xfId="13641" xr:uid="{E89D445E-B9DA-4BC4-B8D0-FE9AD151DBAF}"/>
    <cellStyle name="SAPBEXaggDataEmph 3 6 3" xfId="6806" xr:uid="{52C31A70-5B6C-4AAB-9DD0-018D54CD30F9}"/>
    <cellStyle name="SAPBEXaggDataEmph 3 6 3 2" xfId="12248" xr:uid="{CBFAA683-DCCD-42A2-B4CF-99F823F849DA}"/>
    <cellStyle name="SAPBEXaggDataEmph 3 6 3 3" xfId="14303" xr:uid="{B45FE973-D7AF-42E9-AB5B-924897259B17}"/>
    <cellStyle name="SAPBEXaggDataEmph 3 6 4" xfId="9185" xr:uid="{6D914BD4-AA3D-49D7-B158-D69581CE579E}"/>
    <cellStyle name="SAPBEXaggDataEmph 3 6 5" xfId="12906" xr:uid="{D4CB3AC1-52C3-4BB4-968A-6DABE23A190F}"/>
    <cellStyle name="SAPBEXaggDataEmph 3 7" xfId="5723" xr:uid="{2D872743-E35D-4AB7-9641-697B6A4A176A}"/>
    <cellStyle name="SAPBEXaggDataEmph 3 7 2" xfId="11165" xr:uid="{EC02B058-F6C6-4C63-9787-94BA6D190B3C}"/>
    <cellStyle name="SAPBEXaggDataEmph 3 7 3" xfId="13369" xr:uid="{D9EEBE4F-0A3E-4293-AC31-7EBA365322EF}"/>
    <cellStyle name="SAPBEXaggDataEmph 3 8" xfId="6521" xr:uid="{FCB39A95-A5FD-4750-8412-59D4D3F808DC}"/>
    <cellStyle name="SAPBEXaggDataEmph 3 8 2" xfId="11963" xr:uid="{0239E7A8-EE00-447B-866A-6FD1EDCBF900}"/>
    <cellStyle name="SAPBEXaggDataEmph 3 8 3" xfId="14031" xr:uid="{18F05323-77EE-4FE1-A352-97A2CEF54053}"/>
    <cellStyle name="SAPBEXaggDataEmph 3 9" xfId="8779" xr:uid="{77E04071-0EA1-4EB0-A614-F015DEE7F34B}"/>
    <cellStyle name="SAPBEXaggDataEmph 4" xfId="3652" xr:uid="{DD3AF65B-926E-426B-AA9D-7842EC13C178}"/>
    <cellStyle name="SAPBEXaggDataEmph 4 2" xfId="6060" xr:uid="{89E8B947-73D2-4063-8729-4EABA9E0F3CD}"/>
    <cellStyle name="SAPBEXaggDataEmph 4 2 2" xfId="11502" xr:uid="{622AD32F-8E2C-4F01-BA34-ACBBBA940C47}"/>
    <cellStyle name="SAPBEXaggDataEmph 4 2 3" xfId="13582" xr:uid="{7FBD49AE-491B-4337-9F51-827B1FD0B8D4}"/>
    <cellStyle name="SAPBEXaggDataEmph 4 3" xfId="6744" xr:uid="{83C421F3-7D0C-4090-BD66-729F4D7BA71C}"/>
    <cellStyle name="SAPBEXaggDataEmph 4 3 2" xfId="12186" xr:uid="{4C45C50F-1334-4F6C-AA89-BA2A98DAD7E5}"/>
    <cellStyle name="SAPBEXaggDataEmph 4 3 3" xfId="14244" xr:uid="{D527BAF7-EFDD-4041-81F9-C87AF41199B0}"/>
    <cellStyle name="SAPBEXaggDataEmph 4 4" xfId="9123" xr:uid="{2ADA60A9-1F77-4D4F-BCF1-C5CFE93AA0B5}"/>
    <cellStyle name="SAPBEXaggDataEmph 4 5" xfId="12847" xr:uid="{ECC6787D-AF00-45C4-AF21-1B52D6D8A31E}"/>
    <cellStyle name="SAPBEXaggDataEmph 5" xfId="3647" xr:uid="{FE448AF2-2228-4CD8-83E2-DCCE655E4882}"/>
    <cellStyle name="SAPBEXaggDataEmph 5 2" xfId="6056" xr:uid="{EE603E22-021D-4F40-86F8-5E435F989F29}"/>
    <cellStyle name="SAPBEXaggDataEmph 5 2 2" xfId="11498" xr:uid="{5923BE31-82B7-4674-A0FC-2AF872F4FA26}"/>
    <cellStyle name="SAPBEXaggDataEmph 5 2 3" xfId="13579" xr:uid="{7439F743-CAE5-494E-BB85-4029D85D473E}"/>
    <cellStyle name="SAPBEXaggDataEmph 5 3" xfId="6740" xr:uid="{D4EC6101-3B47-437E-886A-549DBA95DE44}"/>
    <cellStyle name="SAPBEXaggDataEmph 5 3 2" xfId="12182" xr:uid="{B6164EC2-3E1A-4982-AF3B-1C8E6074C72C}"/>
    <cellStyle name="SAPBEXaggDataEmph 5 3 3" xfId="14241" xr:uid="{4B3FC33F-E04C-40B2-BC65-3EDE3251494E}"/>
    <cellStyle name="SAPBEXaggDataEmph 5 4" xfId="9119" xr:uid="{131CCEFB-7FEC-4FEC-BEE8-0BBF0AEF601F}"/>
    <cellStyle name="SAPBEXaggDataEmph 5 5" xfId="12844" xr:uid="{B09C85BA-C5BA-4F41-952C-E835A7038339}"/>
    <cellStyle name="SAPBEXaggDataEmph 6" xfId="3562" xr:uid="{E1BA47FD-7E15-42A3-8AC5-74A5B35D9602}"/>
    <cellStyle name="SAPBEXaggDataEmph 6 2" xfId="5973" xr:uid="{AFFEB17F-0C35-4460-B5C5-75B38F5A1ABD}"/>
    <cellStyle name="SAPBEXaggDataEmph 6 2 2" xfId="11415" xr:uid="{B983671A-8B6D-41FC-830B-E0A676EBF903}"/>
    <cellStyle name="SAPBEXaggDataEmph 6 2 3" xfId="13500" xr:uid="{81C396D5-7461-4975-92B3-EEC6DF1DA4EB}"/>
    <cellStyle name="SAPBEXaggDataEmph 6 3" xfId="6656" xr:uid="{42899A37-F256-4E3D-ACF1-0410299B7CD4}"/>
    <cellStyle name="SAPBEXaggDataEmph 6 3 2" xfId="12098" xr:uid="{2734E70A-BD77-47D8-95B5-321CE614EC72}"/>
    <cellStyle name="SAPBEXaggDataEmph 6 3 3" xfId="14161" xr:uid="{ACE3FB93-83F7-412F-9E52-9DA60C2282F2}"/>
    <cellStyle name="SAPBEXaggDataEmph 6 4" xfId="9034" xr:uid="{3586FCD0-ED09-428A-A1DE-AD911AAD64C8}"/>
    <cellStyle name="SAPBEXaggDataEmph 6 5" xfId="12764" xr:uid="{3BD63CDB-1D58-4563-AE1D-67C75DF3E719}"/>
    <cellStyle name="SAPBEXaggDataEmph 7" xfId="4131" xr:uid="{A6F4561E-785B-4B78-97B0-D03F35551C15}"/>
    <cellStyle name="SAPBEXaggDataEmph 7 2" xfId="9581" xr:uid="{A03B1EE3-E552-4414-A49D-7E182BC4CD75}"/>
    <cellStyle name="SAPBEXaggDataEmph 7 3" xfId="13210" xr:uid="{DF8BFC21-5E85-4E61-BBE5-38171E9BE86E}"/>
    <cellStyle name="SAPBEXaggDataEmph 8" xfId="5582" xr:uid="{4FC7D155-91D3-4996-8D0A-FE5F9C38FED2}"/>
    <cellStyle name="SAPBEXaggDataEmph 8 2" xfId="11028" xr:uid="{E772F23D-4BE0-4DAE-AA67-DC6CA17BE1EE}"/>
    <cellStyle name="SAPBEXaggDataEmph 8 3" xfId="13265" xr:uid="{7E889669-F323-4610-842F-3FDE336504F6}"/>
    <cellStyle name="SAPBEXaggDataEmph 9" xfId="7197" xr:uid="{E598FFCC-0185-4780-B0A8-5E592B4A2538}"/>
    <cellStyle name="SAPBEXaggDataEmph_2014 CLEAResult Invoices" xfId="3162" xr:uid="{53C5A622-6C3B-4F9A-8015-467202470945}"/>
    <cellStyle name="SAPBEXaggItem" xfId="250" xr:uid="{673808A8-A1A6-47A7-92A2-3FE245E5F565}"/>
    <cellStyle name="SAPBEXaggItem 10" xfId="9500" xr:uid="{11A99B2C-FA9A-49DE-97FD-D117B5F3D349}"/>
    <cellStyle name="SAPBEXaggItem 2" xfId="3164" xr:uid="{D047D08B-70EF-4ED0-B1C1-86E98D6F728A}"/>
    <cellStyle name="SAPBEXaggItem 2 10" xfId="8782" xr:uid="{DB96DD83-4B53-4742-8E86-F43B7AFBC810}"/>
    <cellStyle name="SAPBEXaggItem 2 11" xfId="12637" xr:uid="{F30554EA-6C25-42D4-89C0-2EF8B6503223}"/>
    <cellStyle name="SAPBEXaggItem 2 2" xfId="3165" xr:uid="{03DD208B-8C0B-49A4-AF5E-13AF29F3F81D}"/>
    <cellStyle name="SAPBEXaggItem 2 2 2" xfId="3708" xr:uid="{2AEB0336-3058-4ED8-A06E-719C1AEC3A49}"/>
    <cellStyle name="SAPBEXaggItem 2 2 2 2" xfId="6116" xr:uid="{E25DBFD7-12F0-4617-AE6D-5310336CCB72}"/>
    <cellStyle name="SAPBEXaggItem 2 2 2 2 2" xfId="11558" xr:uid="{4D4580F4-A0E8-49EC-92D4-9F282503B69C}"/>
    <cellStyle name="SAPBEXaggItem 2 2 2 2 3" xfId="13635" xr:uid="{85236351-4626-4DAB-9534-F2947AC0BEF8}"/>
    <cellStyle name="SAPBEXaggItem 2 2 2 3" xfId="6800" xr:uid="{A7E7AB88-AB25-4E47-82E7-AFAA0CBEC06B}"/>
    <cellStyle name="SAPBEXaggItem 2 2 2 3 2" xfId="12242" xr:uid="{864E2E1C-23BF-4802-9FAE-A67802A53367}"/>
    <cellStyle name="SAPBEXaggItem 2 2 2 3 3" xfId="14297" xr:uid="{ADD83FD9-EE39-45C1-BCEE-6A815B936C12}"/>
    <cellStyle name="SAPBEXaggItem 2 2 2 4" xfId="9179" xr:uid="{C6FDB383-A0B0-4B14-BBA5-32530835B2C8}"/>
    <cellStyle name="SAPBEXaggItem 2 2 2 5" xfId="12900" xr:uid="{A7E3A882-DDA4-4EEC-B826-D4D486635BE4}"/>
    <cellStyle name="SAPBEXaggItem 2 2 3" xfId="5727" xr:uid="{8156B951-6435-4EAA-AF98-A75DB1327E07}"/>
    <cellStyle name="SAPBEXaggItem 2 2 3 2" xfId="11169" xr:uid="{6C52BD8F-7393-4726-B8C9-83E34B105CFE}"/>
    <cellStyle name="SAPBEXaggItem 2 2 3 3" xfId="13373" xr:uid="{533A28C4-B239-48AC-9F31-29002EDEDA4E}"/>
    <cellStyle name="SAPBEXaggItem 2 2 4" xfId="6525" xr:uid="{5BE810AA-0BFE-404F-A55A-C7EC7EA72E71}"/>
    <cellStyle name="SAPBEXaggItem 2 2 4 2" xfId="11967" xr:uid="{F0E6F1CC-15A6-4FB5-8D22-B1E91706208B}"/>
    <cellStyle name="SAPBEXaggItem 2 2 4 3" xfId="14035" xr:uid="{F65006A7-CFD8-4234-84C8-D1C6D5B28EDD}"/>
    <cellStyle name="SAPBEXaggItem 2 2 5" xfId="8783" xr:uid="{C8CFF918-B3B1-4C5C-AC6B-3525D337C4F7}"/>
    <cellStyle name="SAPBEXaggItem 2 2 6" xfId="12638" xr:uid="{D8C4DF9E-9D62-4FAD-BCBB-38A53CEC0683}"/>
    <cellStyle name="SAPBEXaggItem 2 3" xfId="3774" xr:uid="{6F67FE0A-182A-4EB2-A149-B15D985A29A4}"/>
    <cellStyle name="SAPBEXaggItem 2 3 2" xfId="6182" xr:uid="{031C6FC3-CF2E-4105-92AD-C2A12F336F28}"/>
    <cellStyle name="SAPBEXaggItem 2 3 2 2" xfId="11624" xr:uid="{25CFA9D9-0115-43D0-9351-8A2725F7ADC7}"/>
    <cellStyle name="SAPBEXaggItem 2 3 2 3" xfId="13699" xr:uid="{E2CA0DF3-B7E0-4E52-8169-6951F1AC5199}"/>
    <cellStyle name="SAPBEXaggItem 2 3 3" xfId="6864" xr:uid="{14C05712-26EB-4A43-B972-86439FED8CA0}"/>
    <cellStyle name="SAPBEXaggItem 2 3 3 2" xfId="12306" xr:uid="{E7AA4A12-F8B9-46ED-B4D4-7B59F3EC6211}"/>
    <cellStyle name="SAPBEXaggItem 2 3 3 3" xfId="14359" xr:uid="{0ECAAFBA-FD0F-4F9C-AB95-A751FB84471C}"/>
    <cellStyle name="SAPBEXaggItem 2 3 4" xfId="9245" xr:uid="{2E9826D3-EB0D-4824-8628-5C079D80AEE3}"/>
    <cellStyle name="SAPBEXaggItem 2 3 5" xfId="12962" xr:uid="{DAD41960-5D03-4B62-B924-DA2459B1D5D6}"/>
    <cellStyle name="SAPBEXaggItem 2 4" xfId="3840" xr:uid="{E6090933-90AC-4666-B8F6-D1E6DCED0635}"/>
    <cellStyle name="SAPBEXaggItem 2 4 2" xfId="6247" xr:uid="{34A4E9E3-0CBF-44DA-875C-AC57BD2D72BD}"/>
    <cellStyle name="SAPBEXaggItem 2 4 2 2" xfId="11689" xr:uid="{DB66153D-9D72-4564-B1E6-4DF806F1C2F5}"/>
    <cellStyle name="SAPBEXaggItem 2 4 2 3" xfId="13763" xr:uid="{1E80F0E3-BC04-40E4-893B-1A0917FE4986}"/>
    <cellStyle name="SAPBEXaggItem 2 4 3" xfId="6927" xr:uid="{BED78E52-D677-4ECE-A40D-E6448E398E69}"/>
    <cellStyle name="SAPBEXaggItem 2 4 3 2" xfId="12369" xr:uid="{4A042778-F9D6-431B-9AD8-EE48A3CBD5B7}"/>
    <cellStyle name="SAPBEXaggItem 2 4 3 3" xfId="14421" xr:uid="{2ED48B91-CE84-48B7-A338-93FAF5D25DB7}"/>
    <cellStyle name="SAPBEXaggItem 2 4 4" xfId="9310" xr:uid="{77793D33-618B-4CF4-A065-83F8C6621C0A}"/>
    <cellStyle name="SAPBEXaggItem 2 4 5" xfId="13024" xr:uid="{DF388BD7-DCEA-4E6A-AF7F-022698023609}"/>
    <cellStyle name="SAPBEXaggItem 2 5" xfId="3925" xr:uid="{A7446597-B041-46F7-8583-A6790B37CA70}"/>
    <cellStyle name="SAPBEXaggItem 2 5 2" xfId="6330" xr:uid="{72771DF0-7978-4BD4-818A-45CDBB33E11E}"/>
    <cellStyle name="SAPBEXaggItem 2 5 2 2" xfId="11772" xr:uid="{92A4021E-FDBB-4FC3-8A5C-85D1E8CF92AA}"/>
    <cellStyle name="SAPBEXaggItem 2 5 2 3" xfId="13844" xr:uid="{658A5D16-7A83-4EC4-B103-A1A6C8ED6943}"/>
    <cellStyle name="SAPBEXaggItem 2 5 3" xfId="7008" xr:uid="{DC0208E4-DE80-46CA-A7C0-7CC1493020D6}"/>
    <cellStyle name="SAPBEXaggItem 2 5 3 2" xfId="12450" xr:uid="{6E2F256D-1DEA-42E7-A850-C3EF88E40BEA}"/>
    <cellStyle name="SAPBEXaggItem 2 5 3 3" xfId="14500" xr:uid="{1C74F5DE-98D8-4CBE-A556-B90868B2F285}"/>
    <cellStyle name="SAPBEXaggItem 2 5 4" xfId="9393" xr:uid="{6E0BE209-8834-4711-A607-2E34C3834528}"/>
    <cellStyle name="SAPBEXaggItem 2 5 5" xfId="13103" xr:uid="{91923FBE-645C-46BE-8654-CD2F96BC0296}"/>
    <cellStyle name="SAPBEXaggItem 2 6" xfId="3992" xr:uid="{487800EE-E02E-4F4C-B7A6-FD92F6802889}"/>
    <cellStyle name="SAPBEXaggItem 2 6 2" xfId="6395" xr:uid="{DE260F44-0527-47E6-871B-93E0D4658FF2}"/>
    <cellStyle name="SAPBEXaggItem 2 6 2 2" xfId="11837" xr:uid="{D4718911-3334-4D5C-915F-4D65433E6BD5}"/>
    <cellStyle name="SAPBEXaggItem 2 6 2 3" xfId="13908" xr:uid="{7D45C4CC-7444-44B1-BBEE-F1DF0C6BD8F8}"/>
    <cellStyle name="SAPBEXaggItem 2 6 3" xfId="7071" xr:uid="{CC222D1C-DF65-418D-AA1C-3F77D7C057C6}"/>
    <cellStyle name="SAPBEXaggItem 2 6 3 2" xfId="12513" xr:uid="{6D500700-6B06-49C5-A420-E229836784AF}"/>
    <cellStyle name="SAPBEXaggItem 2 6 3 3" xfId="14562" xr:uid="{D11DF351-8020-4639-973D-7F48D2B7E337}"/>
    <cellStyle name="SAPBEXaggItem 2 6 4" xfId="9458" xr:uid="{961A4239-FC5E-43B9-9E4D-BE0DBDCA3D39}"/>
    <cellStyle name="SAPBEXaggItem 2 6 5" xfId="13165" xr:uid="{20F4213A-35B7-4CD9-B99F-19A455DFEEB2}"/>
    <cellStyle name="SAPBEXaggItem 2 7" xfId="3626" xr:uid="{94F41144-93A2-438D-8E01-A1DFE0AD344F}"/>
    <cellStyle name="SAPBEXaggItem 2 7 2" xfId="6035" xr:uid="{3A879C33-9F73-421C-8A60-4C85702C0653}"/>
    <cellStyle name="SAPBEXaggItem 2 7 2 2" xfId="11477" xr:uid="{76C440D1-5BB6-479C-BD90-8BE2E5FA7121}"/>
    <cellStyle name="SAPBEXaggItem 2 7 2 3" xfId="13559" xr:uid="{B58BB878-4E48-464D-9219-E78CC9A12F8F}"/>
    <cellStyle name="SAPBEXaggItem 2 7 3" xfId="6719" xr:uid="{1E610DBB-7A5A-4801-84E9-B1E24567BDB7}"/>
    <cellStyle name="SAPBEXaggItem 2 7 3 2" xfId="12161" xr:uid="{396016F8-36DA-4F26-9E94-7637BCE7C437}"/>
    <cellStyle name="SAPBEXaggItem 2 7 3 3" xfId="14221" xr:uid="{4D1A0BC0-1B7C-4170-8ADD-999CE6BE6BF4}"/>
    <cellStyle name="SAPBEXaggItem 2 7 4" xfId="9098" xr:uid="{9833424D-33F0-4EB9-99DC-CCB3FDF6D17E}"/>
    <cellStyle name="SAPBEXaggItem 2 7 5" xfId="12824" xr:uid="{720113BB-1E33-48D5-8EDC-001ED0AB1149}"/>
    <cellStyle name="SAPBEXaggItem 2 8" xfId="5726" xr:uid="{59BC290E-EB6A-4E0D-840A-A7197D831DF1}"/>
    <cellStyle name="SAPBEXaggItem 2 8 2" xfId="11168" xr:uid="{F2A5D813-5CC5-4799-9225-59445DE46DB6}"/>
    <cellStyle name="SAPBEXaggItem 2 8 3" xfId="13372" xr:uid="{17B01F81-E238-4AA1-81B7-C63ECFB96125}"/>
    <cellStyle name="SAPBEXaggItem 2 9" xfId="6524" xr:uid="{7B9BDB90-1515-4DBE-AD68-2116661B278C}"/>
    <cellStyle name="SAPBEXaggItem 2 9 2" xfId="11966" xr:uid="{CDDD8470-3060-4160-851E-D7718085EF0E}"/>
    <cellStyle name="SAPBEXaggItem 2 9 3" xfId="14034" xr:uid="{4A4F3AB6-3742-446A-A718-EFD50C27BA15}"/>
    <cellStyle name="SAPBEXaggItem 2_2014 CLEAResult Invoices" xfId="3166" xr:uid="{A1159E50-0F25-4021-BC0E-8F39CD67FC95}"/>
    <cellStyle name="SAPBEXaggItem 3" xfId="3167" xr:uid="{4CC15DE9-3EF1-48DB-B9FA-77EDBED95255}"/>
    <cellStyle name="SAPBEXaggItem 3 10" xfId="12639" xr:uid="{A8A21B14-47A3-4C78-9B8D-2F46AAE676C6}"/>
    <cellStyle name="SAPBEXaggItem 3 2" xfId="3781" xr:uid="{93F875B7-5ADB-4148-9B2B-8863121AF31E}"/>
    <cellStyle name="SAPBEXaggItem 3 2 2" xfId="6189" xr:uid="{0AE51728-E633-42B3-A07F-C2A3F2F2C76F}"/>
    <cellStyle name="SAPBEXaggItem 3 2 2 2" xfId="11631" xr:uid="{EB3D8030-F107-4EA1-937F-624CD8EA05DA}"/>
    <cellStyle name="SAPBEXaggItem 3 2 2 3" xfId="13706" xr:uid="{B2C6B7F0-D390-4C7A-B39F-6968FB58EA69}"/>
    <cellStyle name="SAPBEXaggItem 3 2 3" xfId="6871" xr:uid="{3FED68D8-E0F2-4C47-A840-63ABDCC2BB44}"/>
    <cellStyle name="SAPBEXaggItem 3 2 3 2" xfId="12313" xr:uid="{A3B4DB26-E0F5-4EB9-8697-EF6CDFAC6C1D}"/>
    <cellStyle name="SAPBEXaggItem 3 2 3 3" xfId="14366" xr:uid="{1948EE4D-A5EF-4733-9299-31E922B3D69F}"/>
    <cellStyle name="SAPBEXaggItem 3 2 4" xfId="9252" xr:uid="{019197B5-F462-471D-837A-A1A84F223CBC}"/>
    <cellStyle name="SAPBEXaggItem 3 2 5" xfId="12969" xr:uid="{ABA0E546-37E6-4D3F-9F9A-15D4FD786ACD}"/>
    <cellStyle name="SAPBEXaggItem 3 3" xfId="3847" xr:uid="{20C2BF3B-938E-4B8B-BD2F-C685C82441EE}"/>
    <cellStyle name="SAPBEXaggItem 3 3 2" xfId="6254" xr:uid="{F06A6E77-A4F5-4D91-9E7F-D9D8013E68DB}"/>
    <cellStyle name="SAPBEXaggItem 3 3 2 2" xfId="11696" xr:uid="{8FDE77C5-4F3D-489D-9794-CAFFF690D03D}"/>
    <cellStyle name="SAPBEXaggItem 3 3 2 3" xfId="13770" xr:uid="{295A0F53-DFD7-4697-BB79-9791EC22417F}"/>
    <cellStyle name="SAPBEXaggItem 3 3 3" xfId="6934" xr:uid="{2B77C0C9-AF00-498B-BC59-2BD23C19DFF7}"/>
    <cellStyle name="SAPBEXaggItem 3 3 3 2" xfId="12376" xr:uid="{FB7E471B-8A4E-4BE2-973C-29497C3053A4}"/>
    <cellStyle name="SAPBEXaggItem 3 3 3 3" xfId="14428" xr:uid="{B829B4FD-85A7-4CFF-8E6C-95F7678608B6}"/>
    <cellStyle name="SAPBEXaggItem 3 3 4" xfId="9317" xr:uid="{5FE72156-7A2A-44C7-8F2D-ABF1BF92E843}"/>
    <cellStyle name="SAPBEXaggItem 3 3 5" xfId="13031" xr:uid="{3563D77B-54D3-4D09-AF2B-066D390A15E5}"/>
    <cellStyle name="SAPBEXaggItem 3 4" xfId="3932" xr:uid="{7CEC177F-9725-489C-A6C4-C6B15E413024}"/>
    <cellStyle name="SAPBEXaggItem 3 4 2" xfId="6337" xr:uid="{F1F37B53-1C91-47DD-8405-047969EB49E8}"/>
    <cellStyle name="SAPBEXaggItem 3 4 2 2" xfId="11779" xr:uid="{555C831F-519D-4E3E-AAB0-5FF98DD0E23C}"/>
    <cellStyle name="SAPBEXaggItem 3 4 2 3" xfId="13851" xr:uid="{99678822-FCC9-4CDF-9BB7-4665E71F1ECF}"/>
    <cellStyle name="SAPBEXaggItem 3 4 3" xfId="7015" xr:uid="{7E987FDD-0674-4A02-893D-554C125723EA}"/>
    <cellStyle name="SAPBEXaggItem 3 4 3 2" xfId="12457" xr:uid="{28AA6A81-D9E2-46A6-8400-5201A41AB6E1}"/>
    <cellStyle name="SAPBEXaggItem 3 4 3 3" xfId="14507" xr:uid="{2B949237-DC28-4DC8-8A82-C8965C584A50}"/>
    <cellStyle name="SAPBEXaggItem 3 4 4" xfId="9400" xr:uid="{04EBC36F-8C5E-4658-8C11-0684F7B0B837}"/>
    <cellStyle name="SAPBEXaggItem 3 4 5" xfId="13110" xr:uid="{7BC1EDB5-0EDD-4D54-9C59-06ECECF168EE}"/>
    <cellStyle name="SAPBEXaggItem 3 5" xfId="3999" xr:uid="{E7411369-2D5F-413E-B0BF-AD57C72AB74A}"/>
    <cellStyle name="SAPBEXaggItem 3 5 2" xfId="6402" xr:uid="{64590279-9347-48AF-BDDE-AEC75BB9ACC4}"/>
    <cellStyle name="SAPBEXaggItem 3 5 2 2" xfId="11844" xr:uid="{77FCD323-4162-415B-8CA6-67FEEB668B76}"/>
    <cellStyle name="SAPBEXaggItem 3 5 2 3" xfId="13915" xr:uid="{2A61891A-CADC-454F-BDB5-E596DD03929B}"/>
    <cellStyle name="SAPBEXaggItem 3 5 3" xfId="7078" xr:uid="{A4360128-7F96-428B-A822-451394B377EC}"/>
    <cellStyle name="SAPBEXaggItem 3 5 3 2" xfId="12520" xr:uid="{208CEEE5-26D9-4944-BFB7-8037E9C9BE8A}"/>
    <cellStyle name="SAPBEXaggItem 3 5 3 3" xfId="14569" xr:uid="{76BE7C1F-BF83-45CF-A937-8238B6693C0D}"/>
    <cellStyle name="SAPBEXaggItem 3 5 4" xfId="9465" xr:uid="{FA435E03-2A77-42AF-BCF1-FA2424C3D0B4}"/>
    <cellStyle name="SAPBEXaggItem 3 5 5" xfId="13172" xr:uid="{8FCBDA2D-3B08-47A8-9CE0-E5EAE1C06863}"/>
    <cellStyle name="SAPBEXaggItem 3 6" xfId="3715" xr:uid="{1D4568E1-DE55-4D7C-AEE6-EA3B1B796B48}"/>
    <cellStyle name="SAPBEXaggItem 3 6 2" xfId="6123" xr:uid="{6116CF09-7784-4159-980E-01899F7E662F}"/>
    <cellStyle name="SAPBEXaggItem 3 6 2 2" xfId="11565" xr:uid="{9C8AB6C3-1B78-42F9-A11D-A0D27ABB8658}"/>
    <cellStyle name="SAPBEXaggItem 3 6 2 3" xfId="13642" xr:uid="{37620407-BA27-4636-9B60-75EB0DE46BF9}"/>
    <cellStyle name="SAPBEXaggItem 3 6 3" xfId="6807" xr:uid="{2ED99FF9-3445-4DBE-A973-B6AFDDAC7085}"/>
    <cellStyle name="SAPBEXaggItem 3 6 3 2" xfId="12249" xr:uid="{5F2179C2-3FE1-4969-AFE3-745C2FFB8983}"/>
    <cellStyle name="SAPBEXaggItem 3 6 3 3" xfId="14304" xr:uid="{83D398B6-D193-463F-9550-337E5D51695A}"/>
    <cellStyle name="SAPBEXaggItem 3 6 4" xfId="9186" xr:uid="{37DF8167-024E-44D1-991C-6F61309778AB}"/>
    <cellStyle name="SAPBEXaggItem 3 6 5" xfId="12907" xr:uid="{AF74DCEB-88A2-45D7-9975-48F9A58513D1}"/>
    <cellStyle name="SAPBEXaggItem 3 7" xfId="5728" xr:uid="{46A0DE78-5886-4001-9F6F-334F3DEBB8D9}"/>
    <cellStyle name="SAPBEXaggItem 3 7 2" xfId="11170" xr:uid="{05454677-6626-49BD-B156-606B433210BB}"/>
    <cellStyle name="SAPBEXaggItem 3 7 3" xfId="13374" xr:uid="{7893D860-B6F1-43E4-AFA7-228B9260ABBB}"/>
    <cellStyle name="SAPBEXaggItem 3 8" xfId="6526" xr:uid="{817F6802-2679-4EA2-87CD-78D26945ACB9}"/>
    <cellStyle name="SAPBEXaggItem 3 8 2" xfId="11968" xr:uid="{77DDE517-8F4E-4E66-91C1-80B8B7A39223}"/>
    <cellStyle name="SAPBEXaggItem 3 8 3" xfId="14036" xr:uid="{7D8CCC27-85F4-412A-AE76-A333A681DFB5}"/>
    <cellStyle name="SAPBEXaggItem 3 9" xfId="8784" xr:uid="{01EC1712-589B-4AFD-89F1-261E8B7F2554}"/>
    <cellStyle name="SAPBEXaggItem 4" xfId="3163" xr:uid="{61AC5527-F6EB-44AE-AC48-0960CAA2A81B}"/>
    <cellStyle name="SAPBEXaggItem 4 2" xfId="3633" xr:uid="{4CE386D8-69EB-4F7D-B6EE-EC9489E17269}"/>
    <cellStyle name="SAPBEXaggItem 4 2 2" xfId="6042" xr:uid="{EB679AE4-406A-4977-AEFC-A18E3F86A386}"/>
    <cellStyle name="SAPBEXaggItem 4 2 2 2" xfId="11484" xr:uid="{365B4496-8A7A-4C7B-8ED3-127377D3846D}"/>
    <cellStyle name="SAPBEXaggItem 4 2 2 3" xfId="13566" xr:uid="{021C4BC9-C284-4D7A-8059-EFCC73532103}"/>
    <cellStyle name="SAPBEXaggItem 4 2 3" xfId="6726" xr:uid="{1C7616E2-C7AB-42BD-B86F-D8484C8CC895}"/>
    <cellStyle name="SAPBEXaggItem 4 2 3 2" xfId="12168" xr:uid="{C8D3F9AB-F9BC-4B34-97C7-AE1625256BA9}"/>
    <cellStyle name="SAPBEXaggItem 4 2 3 3" xfId="14228" xr:uid="{21CF7987-A8AF-4927-B664-2D4068B43F6A}"/>
    <cellStyle name="SAPBEXaggItem 4 2 4" xfId="9105" xr:uid="{A8CCEAEA-46CD-4F34-894C-89D0FCCCBCD9}"/>
    <cellStyle name="SAPBEXaggItem 4 2 5" xfId="12831" xr:uid="{F75C36D1-A203-43B1-B321-3E31B31DA057}"/>
    <cellStyle name="SAPBEXaggItem 4 3" xfId="5725" xr:uid="{48724AB9-384E-43FE-91A3-64DD9A0195F0}"/>
    <cellStyle name="SAPBEXaggItem 4 3 2" xfId="11167" xr:uid="{68A354B4-EC92-4D48-A21E-53A18A537E3D}"/>
    <cellStyle name="SAPBEXaggItem 4 3 3" xfId="13371" xr:uid="{5F57938C-70E0-449C-BF71-518E8D557FD9}"/>
    <cellStyle name="SAPBEXaggItem 4 4" xfId="6523" xr:uid="{E6958D68-A843-4B74-8B80-F43BEB5D0248}"/>
    <cellStyle name="SAPBEXaggItem 4 4 2" xfId="11965" xr:uid="{5C958D92-3DEA-4A58-AE68-2E534D3B760F}"/>
    <cellStyle name="SAPBEXaggItem 4 4 3" xfId="14033" xr:uid="{11CFDD7B-F009-429A-9719-1514777A3346}"/>
    <cellStyle name="SAPBEXaggItem 4 5" xfId="8781" xr:uid="{145FCAF1-744E-4075-A191-DD16F4E4C413}"/>
    <cellStyle name="SAPBEXaggItem 4 6" xfId="12636" xr:uid="{D6084499-93C4-4601-B1AA-00D1663D7CDA}"/>
    <cellStyle name="SAPBEXaggItem 5" xfId="3636" xr:uid="{F43804EC-0F3E-4FDF-9A4C-1D3E04BF7FD7}"/>
    <cellStyle name="SAPBEXaggItem 5 2" xfId="6045" xr:uid="{C07DAC44-128C-41DD-9336-53A2529C651B}"/>
    <cellStyle name="SAPBEXaggItem 5 2 2" xfId="11487" xr:uid="{D1ECB4A0-76C2-4A51-B131-34AA0FF4A1E3}"/>
    <cellStyle name="SAPBEXaggItem 5 2 3" xfId="13569" xr:uid="{E6FBADE6-1DA7-48E4-B3E1-8EF2577F0046}"/>
    <cellStyle name="SAPBEXaggItem 5 3" xfId="6729" xr:uid="{75D66AF7-3F12-4AB3-AEAE-311F315B12CB}"/>
    <cellStyle name="SAPBEXaggItem 5 3 2" xfId="12171" xr:uid="{0B35D86A-D170-4DFF-BEE6-C5D24F4E559C}"/>
    <cellStyle name="SAPBEXaggItem 5 3 3" xfId="14231" xr:uid="{7EAA414E-DD33-40C1-85EB-727892F3571F}"/>
    <cellStyle name="SAPBEXaggItem 5 4" xfId="9108" xr:uid="{9F26213C-40C3-4E63-A329-92111BD2AF4B}"/>
    <cellStyle name="SAPBEXaggItem 5 5" xfId="12834" xr:uid="{FB0F2548-E251-441A-BD42-AE44BF78085A}"/>
    <cellStyle name="SAPBEXaggItem 6" xfId="3563" xr:uid="{5E1D8769-7B7D-41C8-9A91-EEBE17C3E9B8}"/>
    <cellStyle name="SAPBEXaggItem 6 2" xfId="5974" xr:uid="{1760BF51-B9AD-42B6-909F-1E366112A63D}"/>
    <cellStyle name="SAPBEXaggItem 6 2 2" xfId="11416" xr:uid="{74570F98-9630-4E50-A7CA-DBC8E7DE2065}"/>
    <cellStyle name="SAPBEXaggItem 6 2 3" xfId="13501" xr:uid="{E9A94F53-AD1B-4228-90CE-1ABDDF4CAC67}"/>
    <cellStyle name="SAPBEXaggItem 6 3" xfId="6657" xr:uid="{7234C309-7D24-4D3C-82DE-D4CE20717138}"/>
    <cellStyle name="SAPBEXaggItem 6 3 2" xfId="12099" xr:uid="{500BA5F5-F679-47A7-AEC5-A13FB857D560}"/>
    <cellStyle name="SAPBEXaggItem 6 3 3" xfId="14162" xr:uid="{E99835AA-CA7D-4A45-8316-BFC7DD514304}"/>
    <cellStyle name="SAPBEXaggItem 6 4" xfId="9035" xr:uid="{F0E3926F-C2C9-40B0-B3A5-7353C08E47BE}"/>
    <cellStyle name="SAPBEXaggItem 6 5" xfId="12765" xr:uid="{2B137ACF-6AE8-4258-98A2-4B3C654D402E}"/>
    <cellStyle name="SAPBEXaggItem 7" xfId="4132" xr:uid="{19B8820F-55FA-4F47-BA2D-C014A418D4BA}"/>
    <cellStyle name="SAPBEXaggItem 7 2" xfId="9582" xr:uid="{09CE10F1-F972-4414-B1BF-C361EE339779}"/>
    <cellStyle name="SAPBEXaggItem 7 3" xfId="13211" xr:uid="{5B7B9064-BCF1-4972-B217-934188505871}"/>
    <cellStyle name="SAPBEXaggItem 8" xfId="5581" xr:uid="{56FDF269-2554-450A-BC29-F9543F83F623}"/>
    <cellStyle name="SAPBEXaggItem 8 2" xfId="11027" xr:uid="{E0B40897-8142-4039-B335-1F6B25E6E9F2}"/>
    <cellStyle name="SAPBEXaggItem 8 3" xfId="13264" xr:uid="{23505719-8FAC-452C-AF76-5BCB8FEE011D}"/>
    <cellStyle name="SAPBEXaggItem 9" xfId="7198" xr:uid="{E41F6EB4-5A3E-4D02-9914-58EA66374B42}"/>
    <cellStyle name="SAPBEXaggItem_2014 CLEAResult Invoices" xfId="3168" xr:uid="{E026BEBC-81FD-4216-8C8F-9C8A89DB2507}"/>
    <cellStyle name="SAPBEXaggItemX" xfId="251" xr:uid="{EE091DC2-3937-455F-89C0-2F2F7FDD44FE}"/>
    <cellStyle name="SAPBEXaggItemX 10" xfId="8727" xr:uid="{4787945C-8416-451A-9108-6BD1C30529DD}"/>
    <cellStyle name="SAPBEXaggItemX 2" xfId="3170" xr:uid="{50C937C0-3BA8-42BB-B0FD-F9FBAB193E1E}"/>
    <cellStyle name="SAPBEXaggItemX 2 10" xfId="8786" xr:uid="{534D9EBC-3A29-4FAE-9A10-A99DE21DFE0A}"/>
    <cellStyle name="SAPBEXaggItemX 2 11" xfId="12641" xr:uid="{87F1456F-B743-402A-8960-823B5ADF507C}"/>
    <cellStyle name="SAPBEXaggItemX 2 2" xfId="3707" xr:uid="{6863D6B0-1FAD-4D57-972E-B590930F31DD}"/>
    <cellStyle name="SAPBEXaggItemX 2 2 2" xfId="6115" xr:uid="{02E48454-1A54-4717-A8F0-6837502BD8FC}"/>
    <cellStyle name="SAPBEXaggItemX 2 2 2 2" xfId="11557" xr:uid="{75574784-24DA-435A-9D50-406F8F4AB511}"/>
    <cellStyle name="SAPBEXaggItemX 2 2 2 3" xfId="13634" xr:uid="{5FF1906D-BAE9-44AD-9055-1E15DEA0E43B}"/>
    <cellStyle name="SAPBEXaggItemX 2 2 3" xfId="6799" xr:uid="{9FA3F7A4-A25F-4E9A-A3E0-1058AEAB1E09}"/>
    <cellStyle name="SAPBEXaggItemX 2 2 3 2" xfId="12241" xr:uid="{99AA5940-179F-4F3D-8426-D86BBFC9C017}"/>
    <cellStyle name="SAPBEXaggItemX 2 2 3 3" xfId="14296" xr:uid="{AE513C14-7632-4F51-9C0E-B00EF986C3E3}"/>
    <cellStyle name="SAPBEXaggItemX 2 2 4" xfId="9178" xr:uid="{E04B5B53-B2C1-4226-B09C-216DC44440D4}"/>
    <cellStyle name="SAPBEXaggItemX 2 2 5" xfId="12899" xr:uid="{B1C13701-3FD1-41EE-939F-2ECB92FD6FB9}"/>
    <cellStyle name="SAPBEXaggItemX 2 3" xfId="3773" xr:uid="{6B25C2BD-717E-42BE-BE18-D8EC83D54A8A}"/>
    <cellStyle name="SAPBEXaggItemX 2 3 2" xfId="6181" xr:uid="{39B874A1-E43C-4643-B36A-3D422145D879}"/>
    <cellStyle name="SAPBEXaggItemX 2 3 2 2" xfId="11623" xr:uid="{52908635-8EEB-48FB-ADE3-497CD9D68042}"/>
    <cellStyle name="SAPBEXaggItemX 2 3 2 3" xfId="13698" xr:uid="{B96078BD-FB15-414E-88BF-23358A75BAFA}"/>
    <cellStyle name="SAPBEXaggItemX 2 3 3" xfId="6863" xr:uid="{B6E57F8D-B876-4424-9C99-36162A0DEC46}"/>
    <cellStyle name="SAPBEXaggItemX 2 3 3 2" xfId="12305" xr:uid="{439B0290-9ABA-4E2D-901F-BA2A47985EAE}"/>
    <cellStyle name="SAPBEXaggItemX 2 3 3 3" xfId="14358" xr:uid="{DAB74B5E-C2F8-4D80-B9FD-1AFD0D7A1EE9}"/>
    <cellStyle name="SAPBEXaggItemX 2 3 4" xfId="9244" xr:uid="{9ABC67AB-6341-46AF-B739-EAA95DA7BED3}"/>
    <cellStyle name="SAPBEXaggItemX 2 3 5" xfId="12961" xr:uid="{DCAAAB14-1890-474D-92E3-3BC7B4114F5F}"/>
    <cellStyle name="SAPBEXaggItemX 2 4" xfId="3839" xr:uid="{A50AE576-A332-4F09-BD6E-70D60BD5D119}"/>
    <cellStyle name="SAPBEXaggItemX 2 4 2" xfId="6246" xr:uid="{BA2B6E69-5AE6-476F-B462-DD817C4E32F3}"/>
    <cellStyle name="SAPBEXaggItemX 2 4 2 2" xfId="11688" xr:uid="{DBA36D45-B7EF-46AE-9643-211C61444C86}"/>
    <cellStyle name="SAPBEXaggItemX 2 4 2 3" xfId="13762" xr:uid="{3DFACB79-1CD9-470F-8876-297AFB3C263C}"/>
    <cellStyle name="SAPBEXaggItemX 2 4 3" xfId="6926" xr:uid="{60356EAC-024B-4629-B108-24689EF0748D}"/>
    <cellStyle name="SAPBEXaggItemX 2 4 3 2" xfId="12368" xr:uid="{FD85A3B0-91F1-416F-AB77-1426685A01CD}"/>
    <cellStyle name="SAPBEXaggItemX 2 4 3 3" xfId="14420" xr:uid="{0981CDCB-39F8-4FD9-BDE7-C64F181A658F}"/>
    <cellStyle name="SAPBEXaggItemX 2 4 4" xfId="9309" xr:uid="{9A20FFC3-7553-46F0-A09A-F0B041A34F79}"/>
    <cellStyle name="SAPBEXaggItemX 2 4 5" xfId="13023" xr:uid="{131F2913-165E-449D-8EC8-D89FC013870B}"/>
    <cellStyle name="SAPBEXaggItemX 2 5" xfId="3924" xr:uid="{F704E825-EAD4-4B6C-9DF2-C304C6CE91EF}"/>
    <cellStyle name="SAPBEXaggItemX 2 5 2" xfId="6329" xr:uid="{DE4F0DDF-C825-4FF0-947C-6BED6BC3877B}"/>
    <cellStyle name="SAPBEXaggItemX 2 5 2 2" xfId="11771" xr:uid="{43D4671F-DE16-4F31-8092-51D48A22577A}"/>
    <cellStyle name="SAPBEXaggItemX 2 5 2 3" xfId="13843" xr:uid="{2553E615-7198-4FB1-A282-95262D03AFE1}"/>
    <cellStyle name="SAPBEXaggItemX 2 5 3" xfId="7007" xr:uid="{1382F478-1384-4A8A-8769-EF09C56F6339}"/>
    <cellStyle name="SAPBEXaggItemX 2 5 3 2" xfId="12449" xr:uid="{B16FA652-E012-423A-A839-30F6259A9BA4}"/>
    <cellStyle name="SAPBEXaggItemX 2 5 3 3" xfId="14499" xr:uid="{8EDD0CE7-051D-4ED9-9E44-8F31C40679AA}"/>
    <cellStyle name="SAPBEXaggItemX 2 5 4" xfId="9392" xr:uid="{C61679E8-7DEE-4B8F-950E-D97CFE8C0C8F}"/>
    <cellStyle name="SAPBEXaggItemX 2 5 5" xfId="13102" xr:uid="{20A416FF-4A66-4B94-AED7-50E2409D4E16}"/>
    <cellStyle name="SAPBEXaggItemX 2 6" xfId="3991" xr:uid="{08A325D0-66F3-49C3-B782-B46732F2DF35}"/>
    <cellStyle name="SAPBEXaggItemX 2 6 2" xfId="6394" xr:uid="{8C25B4DD-8B88-4C80-8ACA-B38D78E55211}"/>
    <cellStyle name="SAPBEXaggItemX 2 6 2 2" xfId="11836" xr:uid="{6979DEFB-7177-4696-89EA-F171AE88F486}"/>
    <cellStyle name="SAPBEXaggItemX 2 6 2 3" xfId="13907" xr:uid="{6CF37CCD-E4E5-431F-A4B9-111C67BE3248}"/>
    <cellStyle name="SAPBEXaggItemX 2 6 3" xfId="7070" xr:uid="{7D8CFE98-608B-4592-9C0F-FF063E847D37}"/>
    <cellStyle name="SAPBEXaggItemX 2 6 3 2" xfId="12512" xr:uid="{94A667C8-B9C0-4F13-94CF-9E6CEC8254AD}"/>
    <cellStyle name="SAPBEXaggItemX 2 6 3 3" xfId="14561" xr:uid="{E6FBB93D-E4B9-485D-9861-8A472AD8F512}"/>
    <cellStyle name="SAPBEXaggItemX 2 6 4" xfId="9457" xr:uid="{26BD0922-66BE-475A-8E01-7DA4F1B8AA72}"/>
    <cellStyle name="SAPBEXaggItemX 2 6 5" xfId="13164" xr:uid="{56BEB9DB-83B4-46DE-AA03-5F1ACAD80DD7}"/>
    <cellStyle name="SAPBEXaggItemX 2 7" xfId="3625" xr:uid="{40021E5F-5DB3-42FA-9138-4F18C1939216}"/>
    <cellStyle name="SAPBEXaggItemX 2 7 2" xfId="6034" xr:uid="{05CBF7DF-0294-4FEA-A81E-36D457E61221}"/>
    <cellStyle name="SAPBEXaggItemX 2 7 2 2" xfId="11476" xr:uid="{8B5DD218-EDBE-4685-BA55-3D4643DAB107}"/>
    <cellStyle name="SAPBEXaggItemX 2 7 2 3" xfId="13558" xr:uid="{DE8576D3-C200-497D-8BB8-65670453858E}"/>
    <cellStyle name="SAPBEXaggItemX 2 7 3" xfId="6718" xr:uid="{6BCB4222-2BB8-4CB9-9B5C-880BD9335E3B}"/>
    <cellStyle name="SAPBEXaggItemX 2 7 3 2" xfId="12160" xr:uid="{672D0D53-885E-4E12-ADD5-FB3E0699F15E}"/>
    <cellStyle name="SAPBEXaggItemX 2 7 3 3" xfId="14220" xr:uid="{C9F0ECAA-521F-42C1-8C44-4AA00FDA3D7E}"/>
    <cellStyle name="SAPBEXaggItemX 2 7 4" xfId="9097" xr:uid="{588A4313-AAFF-428F-A595-6C70A5D539CB}"/>
    <cellStyle name="SAPBEXaggItemX 2 7 5" xfId="12823" xr:uid="{9C1D72D8-E93A-4E2A-B781-9D0F1CC6DEBF}"/>
    <cellStyle name="SAPBEXaggItemX 2 8" xfId="5730" xr:uid="{0F53E255-45F9-4246-85C4-973F38440D2F}"/>
    <cellStyle name="SAPBEXaggItemX 2 8 2" xfId="11172" xr:uid="{421F6CEE-EAAA-45BF-BF1C-1C019304B3E3}"/>
    <cellStyle name="SAPBEXaggItemX 2 8 3" xfId="13376" xr:uid="{ABDBAD98-493F-4035-BFDB-0EAA1BF074AE}"/>
    <cellStyle name="SAPBEXaggItemX 2 9" xfId="6528" xr:uid="{7364AD89-BA25-4B27-8201-61083972669A}"/>
    <cellStyle name="SAPBEXaggItemX 2 9 2" xfId="11970" xr:uid="{341B92FD-49EC-4AB2-B9DD-9549FC709595}"/>
    <cellStyle name="SAPBEXaggItemX 2 9 3" xfId="14038" xr:uid="{29385EE2-8436-457A-B212-2CD14246589F}"/>
    <cellStyle name="SAPBEXaggItemX 3" xfId="3169" xr:uid="{B24E5D59-7A35-48B8-9A3A-D7850236E300}"/>
    <cellStyle name="SAPBEXaggItemX 3 10" xfId="12640" xr:uid="{25852247-239E-4586-902A-9C50D1BE5C64}"/>
    <cellStyle name="SAPBEXaggItemX 3 2" xfId="3782" xr:uid="{BC8D09F0-DD88-4D4A-9931-DE135B73FB03}"/>
    <cellStyle name="SAPBEXaggItemX 3 2 2" xfId="6190" xr:uid="{7C0DB17F-4412-4B13-A9AB-534AD2A89F9A}"/>
    <cellStyle name="SAPBEXaggItemX 3 2 2 2" xfId="11632" xr:uid="{4AEC5250-E5E1-4922-B987-6C35073653E0}"/>
    <cellStyle name="SAPBEXaggItemX 3 2 2 3" xfId="13707" xr:uid="{EFA1592B-860D-4366-9200-03899DCAF4F9}"/>
    <cellStyle name="SAPBEXaggItemX 3 2 3" xfId="6872" xr:uid="{120259E4-48AC-4A6E-A957-CFDC5951E06E}"/>
    <cellStyle name="SAPBEXaggItemX 3 2 3 2" xfId="12314" xr:uid="{E0677030-261F-4E68-9F49-2CA3A3506495}"/>
    <cellStyle name="SAPBEXaggItemX 3 2 3 3" xfId="14367" xr:uid="{2F8BEE5B-CF93-4F33-8264-84449C7218D8}"/>
    <cellStyle name="SAPBEXaggItemX 3 2 4" xfId="9253" xr:uid="{9D2BBF81-6C49-41B8-A4F6-554061B192BF}"/>
    <cellStyle name="SAPBEXaggItemX 3 2 5" xfId="12970" xr:uid="{C5E09E49-9E60-4DB0-A315-80477CEBDA8A}"/>
    <cellStyle name="SAPBEXaggItemX 3 3" xfId="3848" xr:uid="{5E52A1D8-FEBB-4975-8618-84ED4055C166}"/>
    <cellStyle name="SAPBEXaggItemX 3 3 2" xfId="6255" xr:uid="{748DF9A7-D4C8-4710-95B8-A72F277AA00D}"/>
    <cellStyle name="SAPBEXaggItemX 3 3 2 2" xfId="11697" xr:uid="{231FDAC6-AA9D-46F4-B2DE-3C89475D2C2A}"/>
    <cellStyle name="SAPBEXaggItemX 3 3 2 3" xfId="13771" xr:uid="{7941C4EF-BED1-4B17-A2D4-79F8BDE499B7}"/>
    <cellStyle name="SAPBEXaggItemX 3 3 3" xfId="6935" xr:uid="{7433E6B3-4763-452C-BE54-985D9B1A85E1}"/>
    <cellStyle name="SAPBEXaggItemX 3 3 3 2" xfId="12377" xr:uid="{919826B6-544C-438F-9809-BC4E4196A367}"/>
    <cellStyle name="SAPBEXaggItemX 3 3 3 3" xfId="14429" xr:uid="{ADE569D6-A9BA-4927-8D85-F5E62F79C5AB}"/>
    <cellStyle name="SAPBEXaggItemX 3 3 4" xfId="9318" xr:uid="{054FE644-2C54-4C4C-B393-D23BFE0524FB}"/>
    <cellStyle name="SAPBEXaggItemX 3 3 5" xfId="13032" xr:uid="{B0570058-48F6-43C8-AFC3-1D989CAC4B7B}"/>
    <cellStyle name="SAPBEXaggItemX 3 4" xfId="3933" xr:uid="{5FE59FEB-560C-4204-A585-BD75539EE340}"/>
    <cellStyle name="SAPBEXaggItemX 3 4 2" xfId="6338" xr:uid="{2D66A4B4-FEE9-4FDB-A1C2-0C020063DB1F}"/>
    <cellStyle name="SAPBEXaggItemX 3 4 2 2" xfId="11780" xr:uid="{36584A62-1189-4E96-A0F5-DF7A992BA73A}"/>
    <cellStyle name="SAPBEXaggItemX 3 4 2 3" xfId="13852" xr:uid="{14EDC6F6-12ED-490B-8299-3F4657D72316}"/>
    <cellStyle name="SAPBEXaggItemX 3 4 3" xfId="7016" xr:uid="{8B1014EA-FDC2-4944-ACD7-330FC5EF5F98}"/>
    <cellStyle name="SAPBEXaggItemX 3 4 3 2" xfId="12458" xr:uid="{467E0F0A-AE17-49B2-9381-E80CF0631D61}"/>
    <cellStyle name="SAPBEXaggItemX 3 4 3 3" xfId="14508" xr:uid="{1613C8D3-5302-4E36-B455-EE4B796316D0}"/>
    <cellStyle name="SAPBEXaggItemX 3 4 4" xfId="9401" xr:uid="{6B5530AA-ABFB-4483-838A-8327A3B2508C}"/>
    <cellStyle name="SAPBEXaggItemX 3 4 5" xfId="13111" xr:uid="{3F688F4C-16A9-4999-99A2-8D455B5DDBF2}"/>
    <cellStyle name="SAPBEXaggItemX 3 5" xfId="4000" xr:uid="{0B5A518B-7E6A-440C-9124-B88D2BC8637E}"/>
    <cellStyle name="SAPBEXaggItemX 3 5 2" xfId="6403" xr:uid="{CAAF2E14-FA3E-4CD8-9DE0-37F6A8266683}"/>
    <cellStyle name="SAPBEXaggItemX 3 5 2 2" xfId="11845" xr:uid="{4DD99C6B-E77C-485A-B6BE-B4B84757A0F8}"/>
    <cellStyle name="SAPBEXaggItemX 3 5 2 3" xfId="13916" xr:uid="{721C804A-436B-4EAD-9F3B-7769A4EF6767}"/>
    <cellStyle name="SAPBEXaggItemX 3 5 3" xfId="7079" xr:uid="{3022ADAE-C2BE-406E-B2D7-F5D552AFC42E}"/>
    <cellStyle name="SAPBEXaggItemX 3 5 3 2" xfId="12521" xr:uid="{85BC512C-7797-487D-B8B2-30F4E12125C0}"/>
    <cellStyle name="SAPBEXaggItemX 3 5 3 3" xfId="14570" xr:uid="{4F8F8EE7-B776-4527-A887-1899328877E7}"/>
    <cellStyle name="SAPBEXaggItemX 3 5 4" xfId="9466" xr:uid="{1B519468-DBF1-4F14-9976-95FE758C356A}"/>
    <cellStyle name="SAPBEXaggItemX 3 5 5" xfId="13173" xr:uid="{B4F622D5-A496-4E75-A8D1-9A277D7D77BD}"/>
    <cellStyle name="SAPBEXaggItemX 3 6" xfId="3716" xr:uid="{A2066DF4-14AC-470F-AA9D-74C2A50B0CA2}"/>
    <cellStyle name="SAPBEXaggItemX 3 6 2" xfId="6124" xr:uid="{06F2C529-7EA7-4653-AFCC-6825DE796EFF}"/>
    <cellStyle name="SAPBEXaggItemX 3 6 2 2" xfId="11566" xr:uid="{A4AE4322-3F37-476D-A01B-10234520A621}"/>
    <cellStyle name="SAPBEXaggItemX 3 6 2 3" xfId="13643" xr:uid="{6657A2F0-7EAE-43CA-B3AF-7629747FE015}"/>
    <cellStyle name="SAPBEXaggItemX 3 6 3" xfId="6808" xr:uid="{F178EBA7-A6D4-4E02-B05E-7147B33BA679}"/>
    <cellStyle name="SAPBEXaggItemX 3 6 3 2" xfId="12250" xr:uid="{192C0094-A665-4088-9B16-832BC98226C2}"/>
    <cellStyle name="SAPBEXaggItemX 3 6 3 3" xfId="14305" xr:uid="{7FEAE653-BB6E-4B13-BB7C-17A2B151357C}"/>
    <cellStyle name="SAPBEXaggItemX 3 6 4" xfId="9187" xr:uid="{6FE7D218-6CE2-49DE-80FD-AB3AD8D00B50}"/>
    <cellStyle name="SAPBEXaggItemX 3 6 5" xfId="12908" xr:uid="{D288BAF5-83F1-4C5F-8E57-B615B90B0069}"/>
    <cellStyle name="SAPBEXaggItemX 3 7" xfId="5729" xr:uid="{970656DC-0458-4778-A9A9-E2B6DC366ABB}"/>
    <cellStyle name="SAPBEXaggItemX 3 7 2" xfId="11171" xr:uid="{CC965F58-2C37-45F7-ACD5-451B8982DD0E}"/>
    <cellStyle name="SAPBEXaggItemX 3 7 3" xfId="13375" xr:uid="{65DF9258-48CE-498E-B156-B1D97E347DDB}"/>
    <cellStyle name="SAPBEXaggItemX 3 8" xfId="6527" xr:uid="{8667A114-6AD1-4DF6-8F04-18EE55D71C8F}"/>
    <cellStyle name="SAPBEXaggItemX 3 8 2" xfId="11969" xr:uid="{E73FC39C-6D55-45A8-85AC-696E2E46CA25}"/>
    <cellStyle name="SAPBEXaggItemX 3 8 3" xfId="14037" xr:uid="{3E78BCED-816F-4ABC-8734-45DBF7C770E9}"/>
    <cellStyle name="SAPBEXaggItemX 3 9" xfId="8785" xr:uid="{47979D30-C22B-4744-878C-3599B163E796}"/>
    <cellStyle name="SAPBEXaggItemX 4" xfId="3653" xr:uid="{38D63768-2D2A-496D-8858-527F7EEC22FE}"/>
    <cellStyle name="SAPBEXaggItemX 4 2" xfId="6061" xr:uid="{8A93E2FC-6226-48C5-A16A-00275DBFAB76}"/>
    <cellStyle name="SAPBEXaggItemX 4 2 2" xfId="11503" xr:uid="{3B68CF57-8BB9-4A91-A1CD-4FA6AF4D513C}"/>
    <cellStyle name="SAPBEXaggItemX 4 2 3" xfId="13583" xr:uid="{F4231C5B-255E-48BC-B02F-0CF242620529}"/>
    <cellStyle name="SAPBEXaggItemX 4 3" xfId="6745" xr:uid="{AB2AC8B6-F93F-4885-A947-9D2D70824A83}"/>
    <cellStyle name="SAPBEXaggItemX 4 3 2" xfId="12187" xr:uid="{B2CB36B8-B22E-4215-BB30-BE8EFD981E70}"/>
    <cellStyle name="SAPBEXaggItemX 4 3 3" xfId="14245" xr:uid="{8A66F12C-3241-4003-8CAB-8C2C6271A33B}"/>
    <cellStyle name="SAPBEXaggItemX 4 4" xfId="9124" xr:uid="{B6334D39-EE95-4D1D-B679-11A7864F8017}"/>
    <cellStyle name="SAPBEXaggItemX 4 5" xfId="12848" xr:uid="{57E3FE20-AB88-4B78-AAEE-E4C4DDA8C8D4}"/>
    <cellStyle name="SAPBEXaggItemX 5" xfId="3645" xr:uid="{B6753CD1-358F-4C4E-A998-EB08FD66220E}"/>
    <cellStyle name="SAPBEXaggItemX 5 2" xfId="6054" xr:uid="{ED602E0F-058D-41DF-A015-6BE58F80205C}"/>
    <cellStyle name="SAPBEXaggItemX 5 2 2" xfId="11496" xr:uid="{51323CA5-1222-4A9F-B680-993FE7AA624C}"/>
    <cellStyle name="SAPBEXaggItemX 5 2 3" xfId="13578" xr:uid="{3C9818C4-7E3F-4A24-A070-76AEA7DE3DBF}"/>
    <cellStyle name="SAPBEXaggItemX 5 3" xfId="6738" xr:uid="{93225890-B27F-4E5A-9B4D-33EA82B7B1EC}"/>
    <cellStyle name="SAPBEXaggItemX 5 3 2" xfId="12180" xr:uid="{0EF0038E-AA7E-405E-AAEB-72B1903E6D89}"/>
    <cellStyle name="SAPBEXaggItemX 5 3 3" xfId="14240" xr:uid="{B0FC6D39-5D30-4B97-94E9-DA627007681D}"/>
    <cellStyle name="SAPBEXaggItemX 5 4" xfId="9117" xr:uid="{91D681E3-7172-40F5-A2FE-2BB2B1099362}"/>
    <cellStyle name="SAPBEXaggItemX 5 5" xfId="12843" xr:uid="{091BF70E-697D-4C09-9670-818C0E7B5839}"/>
    <cellStyle name="SAPBEXaggItemX 6" xfId="3564" xr:uid="{95494ACD-7B62-4618-AAFE-0A8B89DA261F}"/>
    <cellStyle name="SAPBEXaggItemX 6 2" xfId="5975" xr:uid="{7F69F38F-910C-46F1-B0D4-216CEEBF0877}"/>
    <cellStyle name="SAPBEXaggItemX 6 2 2" xfId="11417" xr:uid="{6C656ACA-7F0C-4C81-9C66-ED86125DF00F}"/>
    <cellStyle name="SAPBEXaggItemX 6 2 3" xfId="13502" xr:uid="{1AA95E89-C3B3-44D5-A421-589073B9686B}"/>
    <cellStyle name="SAPBEXaggItemX 6 3" xfId="6658" xr:uid="{EC5F8201-00A1-400E-BF6B-2F1B11CA6F06}"/>
    <cellStyle name="SAPBEXaggItemX 6 3 2" xfId="12100" xr:uid="{C2BDEC05-C0AF-4297-9A27-6CA8CE69AF15}"/>
    <cellStyle name="SAPBEXaggItemX 6 3 3" xfId="14163" xr:uid="{D3C3EE7D-7A66-4835-9814-0780C5AD1621}"/>
    <cellStyle name="SAPBEXaggItemX 6 4" xfId="9036" xr:uid="{5288F845-13E7-4ACF-8184-9E8C1A9AA9B8}"/>
    <cellStyle name="SAPBEXaggItemX 6 5" xfId="12766" xr:uid="{E26E69C4-DA42-432F-9035-E94E24C78F40}"/>
    <cellStyle name="SAPBEXaggItemX 7" xfId="4133" xr:uid="{79553468-4374-4AC4-8478-E7E13A427A39}"/>
    <cellStyle name="SAPBEXaggItemX 7 2" xfId="9583" xr:uid="{F6D63189-F201-49C1-8D4D-37494F0DF134}"/>
    <cellStyle name="SAPBEXaggItemX 7 3" xfId="13212" xr:uid="{F12B00A3-94D9-4D0E-BB0C-315C65D32152}"/>
    <cellStyle name="SAPBEXaggItemX 8" xfId="4061" xr:uid="{7D47C523-4368-4ED3-A592-B7AD4C005D6E}"/>
    <cellStyle name="SAPBEXaggItemX 8 2" xfId="9511" xr:uid="{3DAE01F8-0764-48BE-BE77-5B13582AF1D1}"/>
    <cellStyle name="SAPBEXaggItemX 8 3" xfId="13204" xr:uid="{17A5A5CA-6AB5-4E63-A737-8BF4B5D01715}"/>
    <cellStyle name="SAPBEXaggItemX 9" xfId="7199" xr:uid="{27C5BE5D-1ED8-4DBF-9B4D-07D38B1B484D}"/>
    <cellStyle name="SAPBEXaggItemX_2014 CLEAResult Invoices" xfId="3171" xr:uid="{711EB33D-637E-4320-ADA8-F0274803BB81}"/>
    <cellStyle name="SAPBEXchaText" xfId="252" xr:uid="{97159F86-62A9-4779-B216-F9271D2F50E5}"/>
    <cellStyle name="SAPBEXchaText 2" xfId="3173" xr:uid="{892827E7-87C3-42DD-A079-42233ADA3082}"/>
    <cellStyle name="SAPBEXchaText 2 2" xfId="3174" xr:uid="{411D1033-0C5F-46F9-981B-98E4CD8D78D0}"/>
    <cellStyle name="SAPBEXchaText 2 2 2" xfId="5733" xr:uid="{F0CDCE0A-C48A-4CA6-A064-3F4AB7039E6E}"/>
    <cellStyle name="SAPBEXchaText 2 2 2 2" xfId="11175" xr:uid="{2E785436-5B4D-4DB4-9924-BE4098EB28B1}"/>
    <cellStyle name="SAPBEXchaText 2 2 2 3" xfId="13379" xr:uid="{2807362A-EE23-4B88-BD86-0019A5F62E5D}"/>
    <cellStyle name="SAPBEXchaText 2 2 3" xfId="6531" xr:uid="{67802CE1-EC3D-4A5B-9124-E6BA3CDE2262}"/>
    <cellStyle name="SAPBEXchaText 2 2 3 2" xfId="11973" xr:uid="{10FE543A-9C36-4222-8771-6C222E8444F0}"/>
    <cellStyle name="SAPBEXchaText 2 2 3 3" xfId="14041" xr:uid="{48F5495E-9B47-4535-948F-42ABD24C78BA}"/>
    <cellStyle name="SAPBEXchaText 2 2 4" xfId="8789" xr:uid="{5654F498-57A3-4AE6-8213-54D2D0FA4C79}"/>
    <cellStyle name="SAPBEXchaText 2 2 5" xfId="12644" xr:uid="{6D705FF3-3CA0-4732-AF69-5FE317FD944B}"/>
    <cellStyle name="SAPBEXchaText 2 3" xfId="5732" xr:uid="{19E36101-D551-4DBF-9E66-59710CE4A455}"/>
    <cellStyle name="SAPBEXchaText 2 3 2" xfId="11174" xr:uid="{9012A1F0-D662-4E79-8C06-C0C9BF5105F8}"/>
    <cellStyle name="SAPBEXchaText 2 3 3" xfId="13378" xr:uid="{AEA42F49-5DFC-40B2-AC1D-BA4D5AD20769}"/>
    <cellStyle name="SAPBEXchaText 2 4" xfId="6530" xr:uid="{705300A5-3A50-434D-8064-A5F28BE01835}"/>
    <cellStyle name="SAPBEXchaText 2 4 2" xfId="11972" xr:uid="{6503E162-1EBA-44F4-80A0-DC47DFDFE735}"/>
    <cellStyle name="SAPBEXchaText 2 4 3" xfId="14040" xr:uid="{EA4F8C4B-D5D1-4B3C-B566-436F4B4F901F}"/>
    <cellStyle name="SAPBEXchaText 2 5" xfId="8788" xr:uid="{FCD7FE74-785A-494D-B72E-BEBF46C08676}"/>
    <cellStyle name="SAPBEXchaText 2 6" xfId="12643" xr:uid="{CBB0853B-E279-4DE8-B6F4-281955BD1A03}"/>
    <cellStyle name="SAPBEXchaText 2_2014 CLEAResult Invoices" xfId="3175" xr:uid="{BCBE7521-D997-46A7-ADC1-7BA661055EF3}"/>
    <cellStyle name="SAPBEXchaText 3" xfId="3176" xr:uid="{113853BC-650F-4692-8526-ED6D95765DF9}"/>
    <cellStyle name="SAPBEXchaText 3 2" xfId="5734" xr:uid="{9126E3ED-180F-47F0-A8A6-DA8188F2FF26}"/>
    <cellStyle name="SAPBEXchaText 3 2 2" xfId="11176" xr:uid="{6325D284-67F6-4951-A215-C82D8C5AECAE}"/>
    <cellStyle name="SAPBEXchaText 3 2 3" xfId="13380" xr:uid="{310AA85E-1241-4709-817C-F4312E4F7E75}"/>
    <cellStyle name="SAPBEXchaText 3 3" xfId="6532" xr:uid="{0A3792EC-054E-460E-B919-4BDD0C732E7C}"/>
    <cellStyle name="SAPBEXchaText 3 3 2" xfId="11974" xr:uid="{C03A21F5-1075-40E2-80ED-9D9354B624A6}"/>
    <cellStyle name="SAPBEXchaText 3 3 3" xfId="14042" xr:uid="{13E17387-C544-4E42-9E52-17CB9979CB34}"/>
    <cellStyle name="SAPBEXchaText 3 4" xfId="8790" xr:uid="{7C6D760F-4B33-4217-8319-5AD8A7399617}"/>
    <cellStyle name="SAPBEXchaText 3 5" xfId="12645" xr:uid="{F337E1DC-A3B4-4C32-B253-31DB1F46C933}"/>
    <cellStyle name="SAPBEXchaText 4" xfId="3172" xr:uid="{61D746E7-C2CC-47BE-B0B7-F01918EB1185}"/>
    <cellStyle name="SAPBEXchaText 4 2" xfId="5731" xr:uid="{EC3367A3-A080-48ED-BECA-A2BC51DB8635}"/>
    <cellStyle name="SAPBEXchaText 4 2 2" xfId="11173" xr:uid="{127A112E-12FD-4B1F-9015-E1C61A1E7472}"/>
    <cellStyle name="SAPBEXchaText 4 2 3" xfId="13377" xr:uid="{2D69833D-3E6F-4F91-9A32-8D117E89C42F}"/>
    <cellStyle name="SAPBEXchaText 4 3" xfId="6529" xr:uid="{879E0646-0CED-4BCA-BD59-F5D76F3649B3}"/>
    <cellStyle name="SAPBEXchaText 4 3 2" xfId="11971" xr:uid="{265AE734-29F7-4CFB-8FA6-96CCB6FAC020}"/>
    <cellStyle name="SAPBEXchaText 4 3 3" xfId="14039" xr:uid="{47503248-D56F-465A-95B7-76D3BE68B084}"/>
    <cellStyle name="SAPBEXchaText 4 4" xfId="8787" xr:uid="{ABA02AF2-79E6-4D58-B162-B82E8BD9F116}"/>
    <cellStyle name="SAPBEXchaText 4 5" xfId="12642" xr:uid="{DB51CDB9-8595-4A12-B167-5526C22655B8}"/>
    <cellStyle name="SAPBEXchaText_2014 CLEAResult Invoices" xfId="3177" xr:uid="{EC409308-5C56-44ED-BD4A-4506515C6B1D}"/>
    <cellStyle name="SAPBEXexcBad7" xfId="253" xr:uid="{C1D01073-BD75-4816-9869-B01111315823}"/>
    <cellStyle name="SAPBEXexcBad7 10" xfId="8725" xr:uid="{B5059C9B-3CF0-4C38-B277-BB297992BB06}"/>
    <cellStyle name="SAPBEXexcBad7 2" xfId="3179" xr:uid="{4D195631-4D0F-4454-B2D2-22ED2FDB6195}"/>
    <cellStyle name="SAPBEXexcBad7 2 10" xfId="8792" xr:uid="{7E6C8F44-BE65-4D26-BCEE-80E733E31201}"/>
    <cellStyle name="SAPBEXexcBad7 2 11" xfId="12647" xr:uid="{9A779474-C6CE-4C9F-A5D6-32FBA9F88490}"/>
    <cellStyle name="SAPBEXexcBad7 2 2" xfId="3706" xr:uid="{9C0BD59C-04B9-41BF-9236-8FF69AD98328}"/>
    <cellStyle name="SAPBEXexcBad7 2 2 2" xfId="6114" xr:uid="{34A00AA1-05C6-4BAA-874E-12A448C29B44}"/>
    <cellStyle name="SAPBEXexcBad7 2 2 2 2" xfId="11556" xr:uid="{CFDEADDA-9E5F-449A-9B27-313DBE79325F}"/>
    <cellStyle name="SAPBEXexcBad7 2 2 2 3" xfId="13633" xr:uid="{0EA00232-9282-4AD7-884F-09903D0D5839}"/>
    <cellStyle name="SAPBEXexcBad7 2 2 3" xfId="6798" xr:uid="{974835FA-D56B-4213-823B-D15E260D3723}"/>
    <cellStyle name="SAPBEXexcBad7 2 2 3 2" xfId="12240" xr:uid="{FD83D078-1550-44D1-837D-E85766AADE5D}"/>
    <cellStyle name="SAPBEXexcBad7 2 2 3 3" xfId="14295" xr:uid="{B4805639-51DF-462F-B95B-6C186EB88ADB}"/>
    <cellStyle name="SAPBEXexcBad7 2 2 4" xfId="9177" xr:uid="{516E3BF1-A957-4CC9-B397-8810787625DA}"/>
    <cellStyle name="SAPBEXexcBad7 2 2 5" xfId="12898" xr:uid="{E4F8C570-8E09-4FDA-9E21-C43D761AAE02}"/>
    <cellStyle name="SAPBEXexcBad7 2 3" xfId="3772" xr:uid="{EAB524D2-120B-495F-AEDC-120F0012D7AA}"/>
    <cellStyle name="SAPBEXexcBad7 2 3 2" xfId="6180" xr:uid="{DC55D0EC-D4F3-47D2-B260-BACC7B1BCE26}"/>
    <cellStyle name="SAPBEXexcBad7 2 3 2 2" xfId="11622" xr:uid="{B2F6A5FB-837C-41A8-845E-2EC420550708}"/>
    <cellStyle name="SAPBEXexcBad7 2 3 2 3" xfId="13697" xr:uid="{A39546FE-E85E-4C7E-BD86-00E9F3B0C3F2}"/>
    <cellStyle name="SAPBEXexcBad7 2 3 3" xfId="6862" xr:uid="{D03A45DD-95DA-4314-8E61-B0DC91CC3111}"/>
    <cellStyle name="SAPBEXexcBad7 2 3 3 2" xfId="12304" xr:uid="{EA0E08A1-2B5B-4E8B-83F4-2A7B85322043}"/>
    <cellStyle name="SAPBEXexcBad7 2 3 3 3" xfId="14357" xr:uid="{A0988B66-6749-410C-8525-AB84E0DB396D}"/>
    <cellStyle name="SAPBEXexcBad7 2 3 4" xfId="9243" xr:uid="{7EC40583-07CB-42F7-BE06-AB753DFF62BD}"/>
    <cellStyle name="SAPBEXexcBad7 2 3 5" xfId="12960" xr:uid="{A4268E0C-FBA5-4526-9F7F-06F6DD564229}"/>
    <cellStyle name="SAPBEXexcBad7 2 4" xfId="3838" xr:uid="{C79CC31C-FC9F-4523-A142-C72121641E68}"/>
    <cellStyle name="SAPBEXexcBad7 2 4 2" xfId="6245" xr:uid="{7DA895C0-F58C-45D4-9271-3465633E91FC}"/>
    <cellStyle name="SAPBEXexcBad7 2 4 2 2" xfId="11687" xr:uid="{56FF3A9E-58C1-4D3C-9258-3AE0CACD7666}"/>
    <cellStyle name="SAPBEXexcBad7 2 4 2 3" xfId="13761" xr:uid="{B19D4E15-81E7-477D-BDA0-DA1E5F1AFDC3}"/>
    <cellStyle name="SAPBEXexcBad7 2 4 3" xfId="6925" xr:uid="{37DD3D50-FC3B-4118-B4FF-33F51D15CED2}"/>
    <cellStyle name="SAPBEXexcBad7 2 4 3 2" xfId="12367" xr:uid="{FF35CE53-0305-4EBA-85AB-2456D619309E}"/>
    <cellStyle name="SAPBEXexcBad7 2 4 3 3" xfId="14419" xr:uid="{07FF7753-81D2-4428-8DD8-B5E6D45E4625}"/>
    <cellStyle name="SAPBEXexcBad7 2 4 4" xfId="9308" xr:uid="{7ACFA604-2952-498C-B86D-5E76D64C9028}"/>
    <cellStyle name="SAPBEXexcBad7 2 4 5" xfId="13022" xr:uid="{AC6C0F15-174B-4807-9560-EB89B00504F1}"/>
    <cellStyle name="SAPBEXexcBad7 2 5" xfId="3923" xr:uid="{4D6745A5-C1ED-4FAA-83B3-EA481817426E}"/>
    <cellStyle name="SAPBEXexcBad7 2 5 2" xfId="6328" xr:uid="{4CD41F08-A82D-49C3-9C75-15872C4F64CF}"/>
    <cellStyle name="SAPBEXexcBad7 2 5 2 2" xfId="11770" xr:uid="{EB6FC4ED-8178-4D78-8398-B062C996F185}"/>
    <cellStyle name="SAPBEXexcBad7 2 5 2 3" xfId="13842" xr:uid="{4C3D322C-211F-44A2-AAE3-AE893EA2BA2D}"/>
    <cellStyle name="SAPBEXexcBad7 2 5 3" xfId="7006" xr:uid="{1B263BF4-A926-49F1-AD8F-4EDC7CB5AB2A}"/>
    <cellStyle name="SAPBEXexcBad7 2 5 3 2" xfId="12448" xr:uid="{C8176E51-0087-4C8D-A5BD-CCA53E6271AE}"/>
    <cellStyle name="SAPBEXexcBad7 2 5 3 3" xfId="14498" xr:uid="{54A65551-3E76-4CD0-9E3F-AB881B056A7D}"/>
    <cellStyle name="SAPBEXexcBad7 2 5 4" xfId="9391" xr:uid="{F5DED9EC-4D43-4243-BA55-8D9A1487AC3D}"/>
    <cellStyle name="SAPBEXexcBad7 2 5 5" xfId="13101" xr:uid="{7ABBE4CB-711D-47C6-A756-7BDB6DD2EE5B}"/>
    <cellStyle name="SAPBEXexcBad7 2 6" xfId="3990" xr:uid="{6C98CCD3-5C65-4670-AAD1-D5E54A124646}"/>
    <cellStyle name="SAPBEXexcBad7 2 6 2" xfId="6393" xr:uid="{EB29E3AB-7EDA-41FA-90E2-3E001B2FF384}"/>
    <cellStyle name="SAPBEXexcBad7 2 6 2 2" xfId="11835" xr:uid="{8A70CDF8-6831-458B-A186-B33F2A5DECAB}"/>
    <cellStyle name="SAPBEXexcBad7 2 6 2 3" xfId="13906" xr:uid="{F1EA1471-F370-4DFF-97E0-5993F9305CF1}"/>
    <cellStyle name="SAPBEXexcBad7 2 6 3" xfId="7069" xr:uid="{8BE725E7-D010-466D-981A-39EB6C7683DA}"/>
    <cellStyle name="SAPBEXexcBad7 2 6 3 2" xfId="12511" xr:uid="{57B186DA-FE42-4DD5-852B-35C4BE93EE88}"/>
    <cellStyle name="SAPBEXexcBad7 2 6 3 3" xfId="14560" xr:uid="{B3D747E4-30A7-4767-923B-5B00682E4661}"/>
    <cellStyle name="SAPBEXexcBad7 2 6 4" xfId="9456" xr:uid="{0823B33B-6F57-4C12-8FAA-BDCD2DE1B257}"/>
    <cellStyle name="SAPBEXexcBad7 2 6 5" xfId="13163" xr:uid="{0ED459CC-905A-409B-905D-76B1B0216054}"/>
    <cellStyle name="SAPBEXexcBad7 2 7" xfId="3624" xr:uid="{4B2B27AC-B67A-4158-846F-CCD693468EA0}"/>
    <cellStyle name="SAPBEXexcBad7 2 7 2" xfId="6033" xr:uid="{ED078E4F-93DC-45A0-8237-E745BDBF08D9}"/>
    <cellStyle name="SAPBEXexcBad7 2 7 2 2" xfId="11475" xr:uid="{020BEA59-CF53-4F8C-9E88-B8E75CFF8140}"/>
    <cellStyle name="SAPBEXexcBad7 2 7 2 3" xfId="13557" xr:uid="{AC0C3EE9-96B2-40C6-9A0C-2DB1819DEFCA}"/>
    <cellStyle name="SAPBEXexcBad7 2 7 3" xfId="6717" xr:uid="{726C35D0-922A-4F41-B02A-37C4E2795562}"/>
    <cellStyle name="SAPBEXexcBad7 2 7 3 2" xfId="12159" xr:uid="{392C8DDA-E52C-4EDA-909F-D583EF008863}"/>
    <cellStyle name="SAPBEXexcBad7 2 7 3 3" xfId="14219" xr:uid="{4C5A62B9-E4BA-489C-8C03-9B550834EFB4}"/>
    <cellStyle name="SAPBEXexcBad7 2 7 4" xfId="9096" xr:uid="{0A10DCDC-F6FF-4DEE-A861-32E5A9CDE3AC}"/>
    <cellStyle name="SAPBEXexcBad7 2 7 5" xfId="12822" xr:uid="{991519A8-C9A9-4172-9C1F-7E5CAE56C773}"/>
    <cellStyle name="SAPBEXexcBad7 2 8" xfId="5736" xr:uid="{9BE61DFB-9C47-40AD-B68B-3BD1E7883165}"/>
    <cellStyle name="SAPBEXexcBad7 2 8 2" xfId="11178" xr:uid="{E45337B2-43C6-44D3-9F5F-8F0D210AFBE6}"/>
    <cellStyle name="SAPBEXexcBad7 2 8 3" xfId="13382" xr:uid="{6BF64AC0-DDCB-481A-9296-53D73FB53557}"/>
    <cellStyle name="SAPBEXexcBad7 2 9" xfId="6534" xr:uid="{F6EB7CE9-63E5-46E8-9B6E-47D9B8839DB1}"/>
    <cellStyle name="SAPBEXexcBad7 2 9 2" xfId="11976" xr:uid="{E98A7D6D-B6B4-4530-8E95-A6D6B9FE71F6}"/>
    <cellStyle name="SAPBEXexcBad7 2 9 3" xfId="14044" xr:uid="{4ECE717D-84EC-4642-8EDC-C9D5E123EFAD}"/>
    <cellStyle name="SAPBEXexcBad7 3" xfId="3178" xr:uid="{DC2E4228-1761-40C6-8BB6-1494C2732CD6}"/>
    <cellStyle name="SAPBEXexcBad7 3 10" xfId="12646" xr:uid="{FBF9CC8D-22C8-4CF1-B018-5D34D84E64EE}"/>
    <cellStyle name="SAPBEXexcBad7 3 2" xfId="3783" xr:uid="{6F05B407-5662-4AF0-8CD2-C22881056357}"/>
    <cellStyle name="SAPBEXexcBad7 3 2 2" xfId="6191" xr:uid="{C31C9B53-F611-448B-959A-5AE0E7727301}"/>
    <cellStyle name="SAPBEXexcBad7 3 2 2 2" xfId="11633" xr:uid="{A6FE6DA5-C948-4C49-BED9-5E5A03508D5E}"/>
    <cellStyle name="SAPBEXexcBad7 3 2 2 3" xfId="13708" xr:uid="{EF427399-D832-4BAA-A39C-9F99A1F6703D}"/>
    <cellStyle name="SAPBEXexcBad7 3 2 3" xfId="6873" xr:uid="{A83C33F6-6608-4806-93A7-BB87C3D0CCE9}"/>
    <cellStyle name="SAPBEXexcBad7 3 2 3 2" xfId="12315" xr:uid="{19BF6C0F-B803-40B4-800E-6FBF643ADF13}"/>
    <cellStyle name="SAPBEXexcBad7 3 2 3 3" xfId="14368" xr:uid="{31E98CCC-0C66-461D-977D-59B7846459CA}"/>
    <cellStyle name="SAPBEXexcBad7 3 2 4" xfId="9254" xr:uid="{D2DCC1B8-E208-47BC-B551-C2C572B0A6E1}"/>
    <cellStyle name="SAPBEXexcBad7 3 2 5" xfId="12971" xr:uid="{F2BC2C43-95D6-4060-B994-0788C1319ACF}"/>
    <cellStyle name="SAPBEXexcBad7 3 3" xfId="3849" xr:uid="{4ED0C3E7-4EBC-4C3F-AA86-632837A68838}"/>
    <cellStyle name="SAPBEXexcBad7 3 3 2" xfId="6256" xr:uid="{478BF66F-667B-4BA4-8E8A-705D850FFD9C}"/>
    <cellStyle name="SAPBEXexcBad7 3 3 2 2" xfId="11698" xr:uid="{A7A7B097-1160-43B1-A60B-D6E7FC96248C}"/>
    <cellStyle name="SAPBEXexcBad7 3 3 2 3" xfId="13772" xr:uid="{B64686C2-6597-4C4E-8A6C-BF8917DEF7A1}"/>
    <cellStyle name="SAPBEXexcBad7 3 3 3" xfId="6936" xr:uid="{C1B4631B-CE0D-4D9E-A742-BB4425085A1E}"/>
    <cellStyle name="SAPBEXexcBad7 3 3 3 2" xfId="12378" xr:uid="{15EEA3BF-D7FD-4C36-B385-AEC7B914DBFF}"/>
    <cellStyle name="SAPBEXexcBad7 3 3 3 3" xfId="14430" xr:uid="{1DE67D0F-BCE1-4682-9283-D93E90DDA37E}"/>
    <cellStyle name="SAPBEXexcBad7 3 3 4" xfId="9319" xr:uid="{62C16680-D4EE-4E45-B2B7-141D34A2023A}"/>
    <cellStyle name="SAPBEXexcBad7 3 3 5" xfId="13033" xr:uid="{FCE1061F-4DBE-4DF1-8633-A7FD1A608A56}"/>
    <cellStyle name="SAPBEXexcBad7 3 4" xfId="3934" xr:uid="{C33BBABE-1A73-407D-88EF-67EC1215300A}"/>
    <cellStyle name="SAPBEXexcBad7 3 4 2" xfId="6339" xr:uid="{41E147C0-4C69-4999-A4C4-096865F61EA9}"/>
    <cellStyle name="SAPBEXexcBad7 3 4 2 2" xfId="11781" xr:uid="{DF061B56-7121-47C9-8D87-8287B944236C}"/>
    <cellStyle name="SAPBEXexcBad7 3 4 2 3" xfId="13853" xr:uid="{CE066CB9-74FF-4D86-9D26-D52C5F291A57}"/>
    <cellStyle name="SAPBEXexcBad7 3 4 3" xfId="7017" xr:uid="{51544842-7E08-45F2-939E-938102A44707}"/>
    <cellStyle name="SAPBEXexcBad7 3 4 3 2" xfId="12459" xr:uid="{9171D22E-F2CB-434A-BE88-58340EAF4629}"/>
    <cellStyle name="SAPBEXexcBad7 3 4 3 3" xfId="14509" xr:uid="{0F0B11F9-8BD0-4471-9FA6-F2C9C9BF98C4}"/>
    <cellStyle name="SAPBEXexcBad7 3 4 4" xfId="9402" xr:uid="{AD3C50E0-3954-476F-B524-D7F43DE6E96F}"/>
    <cellStyle name="SAPBEXexcBad7 3 4 5" xfId="13112" xr:uid="{2E601532-CBDD-4D2E-8019-4B972F21ABEF}"/>
    <cellStyle name="SAPBEXexcBad7 3 5" xfId="4001" xr:uid="{DD7385BF-8015-4B4D-BACE-1DD08F9F4A9C}"/>
    <cellStyle name="SAPBEXexcBad7 3 5 2" xfId="6404" xr:uid="{EAC9A493-5B80-45F9-9EA3-FE60614F4EAD}"/>
    <cellStyle name="SAPBEXexcBad7 3 5 2 2" xfId="11846" xr:uid="{7FC3E145-0023-47DC-8285-83ECF36C05DF}"/>
    <cellStyle name="SAPBEXexcBad7 3 5 2 3" xfId="13917" xr:uid="{8540C85F-719B-4A35-9D8E-42F5E20EA735}"/>
    <cellStyle name="SAPBEXexcBad7 3 5 3" xfId="7080" xr:uid="{E5C2F948-456E-4EE7-B74D-0A975C4DC5E3}"/>
    <cellStyle name="SAPBEXexcBad7 3 5 3 2" xfId="12522" xr:uid="{6E50EA00-3298-4BA4-9F5B-E098563806B5}"/>
    <cellStyle name="SAPBEXexcBad7 3 5 3 3" xfId="14571" xr:uid="{89BDFAA5-8EC4-496D-A2FA-2DF0D79C73D0}"/>
    <cellStyle name="SAPBEXexcBad7 3 5 4" xfId="9467" xr:uid="{C712C487-9B46-4050-961B-E4913D4AEFFC}"/>
    <cellStyle name="SAPBEXexcBad7 3 5 5" xfId="13174" xr:uid="{ABFE0562-1131-47E0-BDFD-E5E6B7A59104}"/>
    <cellStyle name="SAPBEXexcBad7 3 6" xfId="3717" xr:uid="{99100B0F-2ACB-4DAD-89D8-9A4A003C8710}"/>
    <cellStyle name="SAPBEXexcBad7 3 6 2" xfId="6125" xr:uid="{36827097-FDD8-4EDB-B37C-2789ADD0EDBD}"/>
    <cellStyle name="SAPBEXexcBad7 3 6 2 2" xfId="11567" xr:uid="{FD4216C6-9D07-4482-A6DB-7D3478A76D53}"/>
    <cellStyle name="SAPBEXexcBad7 3 6 2 3" xfId="13644" xr:uid="{F8710927-FD61-4AFF-8FDD-EBBA231C5424}"/>
    <cellStyle name="SAPBEXexcBad7 3 6 3" xfId="6809" xr:uid="{2D7D556D-A65A-4084-8BD1-73C0B26D3F0B}"/>
    <cellStyle name="SAPBEXexcBad7 3 6 3 2" xfId="12251" xr:uid="{83277C2B-F2A6-42D5-BFC5-7B274946D179}"/>
    <cellStyle name="SAPBEXexcBad7 3 6 3 3" xfId="14306" xr:uid="{E0F86340-9C86-407D-8CD2-9CE9071051D6}"/>
    <cellStyle name="SAPBEXexcBad7 3 6 4" xfId="9188" xr:uid="{3A1E5DC5-B4F2-433F-9E5B-F3622EBF2120}"/>
    <cellStyle name="SAPBEXexcBad7 3 6 5" xfId="12909" xr:uid="{6CF2B91E-448C-437F-B9E2-75428990FC3E}"/>
    <cellStyle name="SAPBEXexcBad7 3 7" xfId="5735" xr:uid="{433FE3C3-8E0F-4BEB-8467-7DA3223CBD16}"/>
    <cellStyle name="SAPBEXexcBad7 3 7 2" xfId="11177" xr:uid="{0582CC15-7536-451D-B79F-F47EE32EB9E6}"/>
    <cellStyle name="SAPBEXexcBad7 3 7 3" xfId="13381" xr:uid="{E5600887-5659-4915-B212-56267CE20DD9}"/>
    <cellStyle name="SAPBEXexcBad7 3 8" xfId="6533" xr:uid="{B39F3EE0-1BF6-4828-866A-1BED18EB994D}"/>
    <cellStyle name="SAPBEXexcBad7 3 8 2" xfId="11975" xr:uid="{7E409AEF-ADA5-48A0-9F36-0CB7D58E3CB1}"/>
    <cellStyle name="SAPBEXexcBad7 3 8 3" xfId="14043" xr:uid="{D234E094-9AF2-425F-8A03-09D49417E9D5}"/>
    <cellStyle name="SAPBEXexcBad7 3 9" xfId="8791" xr:uid="{C8CEF1E2-E385-481C-8210-A15E9B01EC58}"/>
    <cellStyle name="SAPBEXexcBad7 4" xfId="3654" xr:uid="{9310009F-AEE3-4F2F-81DB-33989B29DF1E}"/>
    <cellStyle name="SAPBEXexcBad7 4 2" xfId="6062" xr:uid="{05F3329A-9F96-49E2-9A8C-A182A2DCBF08}"/>
    <cellStyle name="SAPBEXexcBad7 4 2 2" xfId="11504" xr:uid="{4FDBBF31-CA01-41FD-90E7-8E33F730823F}"/>
    <cellStyle name="SAPBEXexcBad7 4 2 3" xfId="13584" xr:uid="{EB68877A-6473-4368-91AB-15C82A5C8EBC}"/>
    <cellStyle name="SAPBEXexcBad7 4 3" xfId="6746" xr:uid="{257E08B5-D6FD-4D6C-9E4B-37638AB39EEF}"/>
    <cellStyle name="SAPBEXexcBad7 4 3 2" xfId="12188" xr:uid="{FD88082C-1BE5-455C-810C-427D495E24D0}"/>
    <cellStyle name="SAPBEXexcBad7 4 3 3" xfId="14246" xr:uid="{4AA2C82A-7B77-4375-935A-800B6A9E3E91}"/>
    <cellStyle name="SAPBEXexcBad7 4 4" xfId="9125" xr:uid="{8C9575C7-430F-4364-934E-B5E6EC92FB63}"/>
    <cellStyle name="SAPBEXexcBad7 4 5" xfId="12849" xr:uid="{B8683FD8-DDEF-4D25-980B-273CE1ABF46D}"/>
    <cellStyle name="SAPBEXexcBad7 5" xfId="3644" xr:uid="{CC88671E-0A60-4AFA-BC5D-2FB3DAEE1160}"/>
    <cellStyle name="SAPBEXexcBad7 5 2" xfId="6053" xr:uid="{4BD06B91-D424-42E6-9C06-FD35B98FE72E}"/>
    <cellStyle name="SAPBEXexcBad7 5 2 2" xfId="11495" xr:uid="{EFA81093-4C76-41F6-AF23-98123FD84AB6}"/>
    <cellStyle name="SAPBEXexcBad7 5 2 3" xfId="13577" xr:uid="{48162D2F-5A7D-490F-BD96-CCD77DA20D9C}"/>
    <cellStyle name="SAPBEXexcBad7 5 3" xfId="6737" xr:uid="{5035573E-1FB4-4C1E-902C-52AC12E9274F}"/>
    <cellStyle name="SAPBEXexcBad7 5 3 2" xfId="12179" xr:uid="{C46430DC-4994-4A02-AE70-1775D985ECE0}"/>
    <cellStyle name="SAPBEXexcBad7 5 3 3" xfId="14239" xr:uid="{954A97BE-FAB7-44E7-B94D-ECB4DCF809B1}"/>
    <cellStyle name="SAPBEXexcBad7 5 4" xfId="9116" xr:uid="{BD584F54-F0DE-453B-BEA7-7F9E8331E8DA}"/>
    <cellStyle name="SAPBEXexcBad7 5 5" xfId="12842" xr:uid="{BA80776D-8F73-4A88-9F87-B95C2466B32F}"/>
    <cellStyle name="SAPBEXexcBad7 6" xfId="3565" xr:uid="{A300F572-5332-4614-8457-2CF456B395E4}"/>
    <cellStyle name="SAPBEXexcBad7 6 2" xfId="5976" xr:uid="{9D2BF057-0266-4382-9238-EDD376F8BC0E}"/>
    <cellStyle name="SAPBEXexcBad7 6 2 2" xfId="11418" xr:uid="{D9AFDC06-108E-4FD9-8149-3E4500B47B80}"/>
    <cellStyle name="SAPBEXexcBad7 6 2 3" xfId="13503" xr:uid="{E32CE5A9-5437-4D8B-9CB5-02DE97C99957}"/>
    <cellStyle name="SAPBEXexcBad7 6 3" xfId="6659" xr:uid="{A618E730-8A92-4A36-867B-17BF41A4FE94}"/>
    <cellStyle name="SAPBEXexcBad7 6 3 2" xfId="12101" xr:uid="{4D1CE976-1669-4BA6-9A97-2E4895DB5D6B}"/>
    <cellStyle name="SAPBEXexcBad7 6 3 3" xfId="14164" xr:uid="{0228A239-8975-4A5F-B439-A8A257E857BF}"/>
    <cellStyle name="SAPBEXexcBad7 6 4" xfId="9037" xr:uid="{9881CD8F-DDE8-4C3A-BB0A-41B751531CB5}"/>
    <cellStyle name="SAPBEXexcBad7 6 5" xfId="12767" xr:uid="{34AB1A33-675A-4E12-8F5F-C9311A6B486E}"/>
    <cellStyle name="SAPBEXexcBad7 7" xfId="4134" xr:uid="{825385E8-F846-490C-82DE-656D720554E9}"/>
    <cellStyle name="SAPBEXexcBad7 7 2" xfId="9584" xr:uid="{91EDEE52-BA95-44A0-8ED0-64A3259BA2E0}"/>
    <cellStyle name="SAPBEXexcBad7 7 3" xfId="13213" xr:uid="{14DB7453-8EE7-4663-B264-38E6CA9B39CB}"/>
    <cellStyle name="SAPBEXexcBad7 8" xfId="6437" xr:uid="{C17ADDAA-4458-4D85-ACE8-C038AB801D7B}"/>
    <cellStyle name="SAPBEXexcBad7 8 2" xfId="11879" xr:uid="{DBD90160-37EA-40F0-B3CF-84676E062774}"/>
    <cellStyle name="SAPBEXexcBad7 8 3" xfId="13947" xr:uid="{92BAF6F8-C151-4BBC-AD8F-84A6C00810B9}"/>
    <cellStyle name="SAPBEXexcBad7 9" xfId="7200" xr:uid="{76CFFD46-5AD0-4943-9A1E-592F994128E3}"/>
    <cellStyle name="SAPBEXexcBad7_2014 CLEAResult Invoices" xfId="3180" xr:uid="{BD6B9553-3484-4DCF-8EE6-3F4863E97132}"/>
    <cellStyle name="SAPBEXexcBad8" xfId="254" xr:uid="{0C822B12-E494-42C0-8477-C760F02B3828}"/>
    <cellStyle name="SAPBEXexcBad8 10" xfId="8536" xr:uid="{7435DDE3-68A6-4356-9B85-A868EE898582}"/>
    <cellStyle name="SAPBEXexcBad8 2" xfId="3182" xr:uid="{2A2A93BB-4A16-4C3A-979B-1419042A315B}"/>
    <cellStyle name="SAPBEXexcBad8 2 10" xfId="8794" xr:uid="{9825F99B-A2E0-4296-8FE8-58FF4EAFBB05}"/>
    <cellStyle name="SAPBEXexcBad8 2 11" xfId="12649" xr:uid="{77F1E275-8670-47BA-873C-D13BAB67E529}"/>
    <cellStyle name="SAPBEXexcBad8 2 2" xfId="3705" xr:uid="{461390B8-F980-4E78-B124-0F40B0C37894}"/>
    <cellStyle name="SAPBEXexcBad8 2 2 2" xfId="6113" xr:uid="{F3576F7F-103A-4EFF-896B-B5FFE58296AA}"/>
    <cellStyle name="SAPBEXexcBad8 2 2 2 2" xfId="11555" xr:uid="{B28CAB79-8FEE-49C7-9C33-C3B3C69E6BEC}"/>
    <cellStyle name="SAPBEXexcBad8 2 2 2 3" xfId="13632" xr:uid="{F30E27A3-2A6F-4074-89EB-B454EB027FB3}"/>
    <cellStyle name="SAPBEXexcBad8 2 2 3" xfId="6797" xr:uid="{714F862C-A4CF-4B5A-BC22-BE527ABDE223}"/>
    <cellStyle name="SAPBEXexcBad8 2 2 3 2" xfId="12239" xr:uid="{87AA7FFC-74DA-4ADA-A57E-D88BA12077A8}"/>
    <cellStyle name="SAPBEXexcBad8 2 2 3 3" xfId="14294" xr:uid="{7771D741-283A-498C-A147-39F541A1313B}"/>
    <cellStyle name="SAPBEXexcBad8 2 2 4" xfId="9176" xr:uid="{1F8970F5-234B-4A8A-8295-EA4DE7F3A363}"/>
    <cellStyle name="SAPBEXexcBad8 2 2 5" xfId="12897" xr:uid="{3C2CCCD5-0878-468D-900E-42D73A4A5CEB}"/>
    <cellStyle name="SAPBEXexcBad8 2 3" xfId="3771" xr:uid="{8A3EBC47-AB83-4D8C-81FC-D5701F91FE0D}"/>
    <cellStyle name="SAPBEXexcBad8 2 3 2" xfId="6179" xr:uid="{B5A4A30B-509A-44A0-A388-8919AB69BACA}"/>
    <cellStyle name="SAPBEXexcBad8 2 3 2 2" xfId="11621" xr:uid="{16C16992-ABE1-4FAE-B66C-0D0387A59463}"/>
    <cellStyle name="SAPBEXexcBad8 2 3 2 3" xfId="13696" xr:uid="{B57F87E1-12BC-4836-B994-4A66C27A018E}"/>
    <cellStyle name="SAPBEXexcBad8 2 3 3" xfId="6861" xr:uid="{D2A345E2-A6C8-4DAC-9E54-B60DDD06C430}"/>
    <cellStyle name="SAPBEXexcBad8 2 3 3 2" xfId="12303" xr:uid="{6AB195B2-4DE9-4DC5-B35C-9700E084F5DF}"/>
    <cellStyle name="SAPBEXexcBad8 2 3 3 3" xfId="14356" xr:uid="{09D97953-C461-4E98-A73D-268C14151BF8}"/>
    <cellStyle name="SAPBEXexcBad8 2 3 4" xfId="9242" xr:uid="{502CFA46-40DB-435C-A319-2FB97A191152}"/>
    <cellStyle name="SAPBEXexcBad8 2 3 5" xfId="12959" xr:uid="{F797C5F2-48A3-4767-953D-CC295B393F4A}"/>
    <cellStyle name="SAPBEXexcBad8 2 4" xfId="3837" xr:uid="{2ABD9250-6FE2-428C-A1FF-46777F5D0F55}"/>
    <cellStyle name="SAPBEXexcBad8 2 4 2" xfId="6244" xr:uid="{C0CC90CC-78FE-4E62-9AA6-952F526D365B}"/>
    <cellStyle name="SAPBEXexcBad8 2 4 2 2" xfId="11686" xr:uid="{B9C76791-8AE9-47FA-A0F4-E964FFDE605A}"/>
    <cellStyle name="SAPBEXexcBad8 2 4 2 3" xfId="13760" xr:uid="{67C95D1F-504A-4CFE-BA68-8EF3DFD387A6}"/>
    <cellStyle name="SAPBEXexcBad8 2 4 3" xfId="6924" xr:uid="{BF04DFF4-3912-4391-A2E2-2ABBCC552549}"/>
    <cellStyle name="SAPBEXexcBad8 2 4 3 2" xfId="12366" xr:uid="{BC984EDC-A97D-4831-86C0-42582AF0708C}"/>
    <cellStyle name="SAPBEXexcBad8 2 4 3 3" xfId="14418" xr:uid="{A0D974A1-B602-4E43-A85F-81BBB992DECA}"/>
    <cellStyle name="SAPBEXexcBad8 2 4 4" xfId="9307" xr:uid="{E4739254-8DF6-4251-9282-E0438C530927}"/>
    <cellStyle name="SAPBEXexcBad8 2 4 5" xfId="13021" xr:uid="{A415F3EA-4A23-47D6-9A50-68EDF0248341}"/>
    <cellStyle name="SAPBEXexcBad8 2 5" xfId="3922" xr:uid="{3ABBC697-F51D-47FC-AF84-2846F06E0E20}"/>
    <cellStyle name="SAPBEXexcBad8 2 5 2" xfId="6327" xr:uid="{EBF3DE71-CE31-436E-BC39-65E1AEA7A808}"/>
    <cellStyle name="SAPBEXexcBad8 2 5 2 2" xfId="11769" xr:uid="{09638895-CCE5-4C5C-A2BD-7195A18B1D92}"/>
    <cellStyle name="SAPBEXexcBad8 2 5 2 3" xfId="13841" xr:uid="{90CF53F2-5CEC-4516-A7B4-3449C1781309}"/>
    <cellStyle name="SAPBEXexcBad8 2 5 3" xfId="7005" xr:uid="{B4E8AB91-F3BB-47FF-9AEE-1AA714BC135F}"/>
    <cellStyle name="SAPBEXexcBad8 2 5 3 2" xfId="12447" xr:uid="{1577AF14-01FA-44A6-9196-CC767ADF21DD}"/>
    <cellStyle name="SAPBEXexcBad8 2 5 3 3" xfId="14497" xr:uid="{CAF4DB05-7B9F-4810-8101-F677383AF943}"/>
    <cellStyle name="SAPBEXexcBad8 2 5 4" xfId="9390" xr:uid="{B2CC37A7-A908-47E2-A59E-3D7148E5E32F}"/>
    <cellStyle name="SAPBEXexcBad8 2 5 5" xfId="13100" xr:uid="{5D5DE25A-6142-4F86-87F2-28FAB1780D14}"/>
    <cellStyle name="SAPBEXexcBad8 2 6" xfId="3989" xr:uid="{CF9C2C58-D84D-4B05-BDEE-A91D7827F166}"/>
    <cellStyle name="SAPBEXexcBad8 2 6 2" xfId="6392" xr:uid="{2B131F7B-B98A-41B5-A621-47DF8E15810A}"/>
    <cellStyle name="SAPBEXexcBad8 2 6 2 2" xfId="11834" xr:uid="{4C60B849-5389-48BE-ADB3-5EB563F4FE32}"/>
    <cellStyle name="SAPBEXexcBad8 2 6 2 3" xfId="13905" xr:uid="{AFE44523-635B-439B-881A-E830868BBA66}"/>
    <cellStyle name="SAPBEXexcBad8 2 6 3" xfId="7068" xr:uid="{BE69A1B3-6784-4EAA-87AB-69844712A941}"/>
    <cellStyle name="SAPBEXexcBad8 2 6 3 2" xfId="12510" xr:uid="{5630738E-9D21-4BF8-BF1A-411879FDA9FE}"/>
    <cellStyle name="SAPBEXexcBad8 2 6 3 3" xfId="14559" xr:uid="{BAA67A72-0B94-407C-8F74-BBFA0BB8A654}"/>
    <cellStyle name="SAPBEXexcBad8 2 6 4" xfId="9455" xr:uid="{CC465852-BC79-4353-870B-1167369AA2F6}"/>
    <cellStyle name="SAPBEXexcBad8 2 6 5" xfId="13162" xr:uid="{4DAD9117-B3E6-41BA-A2EE-219C9DD9B1E5}"/>
    <cellStyle name="SAPBEXexcBad8 2 7" xfId="3623" xr:uid="{B0C57DC7-2BBC-42FE-9B79-47F9496377BE}"/>
    <cellStyle name="SAPBEXexcBad8 2 7 2" xfId="6032" xr:uid="{9CD079D4-0EFE-4BCD-AC3F-339A10B105A6}"/>
    <cellStyle name="SAPBEXexcBad8 2 7 2 2" xfId="11474" xr:uid="{71CFE186-314A-4A44-92EA-0BD72FFBAB78}"/>
    <cellStyle name="SAPBEXexcBad8 2 7 2 3" xfId="13556" xr:uid="{8FDC7841-51F0-476B-8F07-D5AAAE3B1392}"/>
    <cellStyle name="SAPBEXexcBad8 2 7 3" xfId="6716" xr:uid="{DECBECD2-779E-4975-A526-F0F39EFEFD48}"/>
    <cellStyle name="SAPBEXexcBad8 2 7 3 2" xfId="12158" xr:uid="{A7E4657A-30E3-48E6-96A0-71E57885584B}"/>
    <cellStyle name="SAPBEXexcBad8 2 7 3 3" xfId="14218" xr:uid="{8BA2B7F4-3307-4E5A-AC4E-3512DEFB3E1E}"/>
    <cellStyle name="SAPBEXexcBad8 2 7 4" xfId="9095" xr:uid="{252E8517-CE0F-40AF-81D0-528D7B1454A9}"/>
    <cellStyle name="SAPBEXexcBad8 2 7 5" xfId="12821" xr:uid="{1581AC36-38A8-4380-8DB3-8DDA1BDB02D4}"/>
    <cellStyle name="SAPBEXexcBad8 2 8" xfId="5738" xr:uid="{7E880897-E080-4FC7-8968-24D640B1622E}"/>
    <cellStyle name="SAPBEXexcBad8 2 8 2" xfId="11180" xr:uid="{35D4BC4D-0527-406F-BE55-15929811FBC9}"/>
    <cellStyle name="SAPBEXexcBad8 2 8 3" xfId="13384" xr:uid="{F6CA6074-DB5A-4A19-B5B6-CB772BDE4DBD}"/>
    <cellStyle name="SAPBEXexcBad8 2 9" xfId="6536" xr:uid="{72369576-1806-4FA0-9945-5961DA65B739}"/>
    <cellStyle name="SAPBEXexcBad8 2 9 2" xfId="11978" xr:uid="{2154430F-3887-43F6-A737-9B3E4EE1B4A6}"/>
    <cellStyle name="SAPBEXexcBad8 2 9 3" xfId="14046" xr:uid="{0CE85BF6-0E11-4D51-A77B-920F838199EA}"/>
    <cellStyle name="SAPBEXexcBad8 3" xfId="3181" xr:uid="{38862F90-E2AB-417B-BA1B-6C7DFF2BAB11}"/>
    <cellStyle name="SAPBEXexcBad8 3 10" xfId="12648" xr:uid="{23F0D2F5-4979-4F23-88B3-8DB07C3EB002}"/>
    <cellStyle name="SAPBEXexcBad8 3 2" xfId="3784" xr:uid="{E10F6FC0-AB82-4CF1-875D-C4EE029A8381}"/>
    <cellStyle name="SAPBEXexcBad8 3 2 2" xfId="6192" xr:uid="{96A8A4AF-0EF6-4AB0-A2D3-F048A0CDA957}"/>
    <cellStyle name="SAPBEXexcBad8 3 2 2 2" xfId="11634" xr:uid="{CB4591F6-E5F3-4D7E-B88A-AF8016287420}"/>
    <cellStyle name="SAPBEXexcBad8 3 2 2 3" xfId="13709" xr:uid="{950978B5-E08E-42A4-9091-964E22950925}"/>
    <cellStyle name="SAPBEXexcBad8 3 2 3" xfId="6874" xr:uid="{EFA94576-6C84-4C1B-9DD0-BE36B2F92D02}"/>
    <cellStyle name="SAPBEXexcBad8 3 2 3 2" xfId="12316" xr:uid="{DD762825-86B3-4B4F-8646-F12C5235B8DD}"/>
    <cellStyle name="SAPBEXexcBad8 3 2 3 3" xfId="14369" xr:uid="{BB36D018-B5D3-4622-B20E-822104BDA7DF}"/>
    <cellStyle name="SAPBEXexcBad8 3 2 4" xfId="9255" xr:uid="{D6C51191-87A1-48B4-B994-2178768A55A3}"/>
    <cellStyle name="SAPBEXexcBad8 3 2 5" xfId="12972" xr:uid="{AB6962E8-B9B8-4EAF-9288-7722FD355A76}"/>
    <cellStyle name="SAPBEXexcBad8 3 3" xfId="3850" xr:uid="{0B275951-8503-491B-BD8F-D629580AFBBC}"/>
    <cellStyle name="SAPBEXexcBad8 3 3 2" xfId="6257" xr:uid="{4E6D84E4-3889-496C-9CFC-C5155A1A5C93}"/>
    <cellStyle name="SAPBEXexcBad8 3 3 2 2" xfId="11699" xr:uid="{ECFBB9AB-AEA5-466E-807A-8154A9E73514}"/>
    <cellStyle name="SAPBEXexcBad8 3 3 2 3" xfId="13773" xr:uid="{8D040000-B61B-41E0-9466-8E3097945885}"/>
    <cellStyle name="SAPBEXexcBad8 3 3 3" xfId="6937" xr:uid="{5A6FD4FE-C2AE-4368-B4C1-6A3756A9404B}"/>
    <cellStyle name="SAPBEXexcBad8 3 3 3 2" xfId="12379" xr:uid="{1A501387-DE17-4791-AEAE-11C59A0E4D4A}"/>
    <cellStyle name="SAPBEXexcBad8 3 3 3 3" xfId="14431" xr:uid="{DCE7C476-AC43-4D13-9716-1213B1373871}"/>
    <cellStyle name="SAPBEXexcBad8 3 3 4" xfId="9320" xr:uid="{2801311B-09A7-4DBC-9D86-A9742B09E122}"/>
    <cellStyle name="SAPBEXexcBad8 3 3 5" xfId="13034" xr:uid="{9722919E-6665-40A0-849B-6F454CADCC2D}"/>
    <cellStyle name="SAPBEXexcBad8 3 4" xfId="3935" xr:uid="{9CD779CB-E351-4AC5-9477-D6BA090929E9}"/>
    <cellStyle name="SAPBEXexcBad8 3 4 2" xfId="6340" xr:uid="{C1DADA3B-A855-4A2F-BA13-93FDC67F296E}"/>
    <cellStyle name="SAPBEXexcBad8 3 4 2 2" xfId="11782" xr:uid="{834614D9-2A74-48E9-B27D-24836BD27B1D}"/>
    <cellStyle name="SAPBEXexcBad8 3 4 2 3" xfId="13854" xr:uid="{2D1C0E1A-33A3-456F-AC51-C2E5AC587D55}"/>
    <cellStyle name="SAPBEXexcBad8 3 4 3" xfId="7018" xr:uid="{2AFCE643-782D-4ED3-B2E3-564900F17C62}"/>
    <cellStyle name="SAPBEXexcBad8 3 4 3 2" xfId="12460" xr:uid="{60FA9AAC-E796-4E21-A89D-2724EEA7CBFA}"/>
    <cellStyle name="SAPBEXexcBad8 3 4 3 3" xfId="14510" xr:uid="{7CCDC3B4-BA68-4E73-ACDF-F9E7DD4E9BC3}"/>
    <cellStyle name="SAPBEXexcBad8 3 4 4" xfId="9403" xr:uid="{33219FC7-71FF-495D-9134-2B652A3DB488}"/>
    <cellStyle name="SAPBEXexcBad8 3 4 5" xfId="13113" xr:uid="{8D6B4CB4-54D0-4E7D-8D76-E86509DC2171}"/>
    <cellStyle name="SAPBEXexcBad8 3 5" xfId="4002" xr:uid="{D09CB17D-8195-48F1-9E07-27229A1682E6}"/>
    <cellStyle name="SAPBEXexcBad8 3 5 2" xfId="6405" xr:uid="{FDA2B48D-7811-4A0E-BF4F-A054332DF821}"/>
    <cellStyle name="SAPBEXexcBad8 3 5 2 2" xfId="11847" xr:uid="{F3F69E7A-8A7E-45E3-A742-744B198D7C0C}"/>
    <cellStyle name="SAPBEXexcBad8 3 5 2 3" xfId="13918" xr:uid="{D926D76B-E589-4822-AB0C-EF8EE3086FBF}"/>
    <cellStyle name="SAPBEXexcBad8 3 5 3" xfId="7081" xr:uid="{9A0C0781-6B59-4F96-8C8C-7E83B1AC65A5}"/>
    <cellStyle name="SAPBEXexcBad8 3 5 3 2" xfId="12523" xr:uid="{3FF0EB04-4304-40DF-A490-ED486C23F956}"/>
    <cellStyle name="SAPBEXexcBad8 3 5 3 3" xfId="14572" xr:uid="{21D55377-7A37-49EE-A0B0-5C18E962B9F3}"/>
    <cellStyle name="SAPBEXexcBad8 3 5 4" xfId="9468" xr:uid="{B4C7E403-E992-41FC-9AEF-5ED5D216C8DB}"/>
    <cellStyle name="SAPBEXexcBad8 3 5 5" xfId="13175" xr:uid="{FCB00BB0-F32F-49EE-B124-CE6CB9DD57B3}"/>
    <cellStyle name="SAPBEXexcBad8 3 6" xfId="3718" xr:uid="{D2DE49A5-86F7-46AE-BA76-C4132AFEF09E}"/>
    <cellStyle name="SAPBEXexcBad8 3 6 2" xfId="6126" xr:uid="{BFD96727-7050-4180-967D-56FFF1360248}"/>
    <cellStyle name="SAPBEXexcBad8 3 6 2 2" xfId="11568" xr:uid="{C8175A10-5B07-42BA-885B-2F98092ABFC6}"/>
    <cellStyle name="SAPBEXexcBad8 3 6 2 3" xfId="13645" xr:uid="{632EFE3F-6ED4-4556-BD7C-4543C4BC93F9}"/>
    <cellStyle name="SAPBEXexcBad8 3 6 3" xfId="6810" xr:uid="{37A9857C-11DC-46EC-BD34-557014B3EA0E}"/>
    <cellStyle name="SAPBEXexcBad8 3 6 3 2" xfId="12252" xr:uid="{49410628-11AD-4787-BBB0-9EB7DF2EB554}"/>
    <cellStyle name="SAPBEXexcBad8 3 6 3 3" xfId="14307" xr:uid="{9E958092-3018-40EC-9765-3B401F89A634}"/>
    <cellStyle name="SAPBEXexcBad8 3 6 4" xfId="9189" xr:uid="{065789B4-2A4D-4E5D-90FC-86B570786617}"/>
    <cellStyle name="SAPBEXexcBad8 3 6 5" xfId="12910" xr:uid="{251748EB-8E9E-448F-9401-C159C133EE0D}"/>
    <cellStyle name="SAPBEXexcBad8 3 7" xfId="5737" xr:uid="{6A0AE577-8293-478D-A030-0432FDB7E102}"/>
    <cellStyle name="SAPBEXexcBad8 3 7 2" xfId="11179" xr:uid="{C559DD66-56CD-419F-87E9-D8656F71AF22}"/>
    <cellStyle name="SAPBEXexcBad8 3 7 3" xfId="13383" xr:uid="{BC552EE6-5867-49FA-8979-7AC38825E887}"/>
    <cellStyle name="SAPBEXexcBad8 3 8" xfId="6535" xr:uid="{A3BE4B4F-02B3-4E5E-9522-DC97E3B709C8}"/>
    <cellStyle name="SAPBEXexcBad8 3 8 2" xfId="11977" xr:uid="{18158857-683D-4E6D-B2BC-E16322D3F227}"/>
    <cellStyle name="SAPBEXexcBad8 3 8 3" xfId="14045" xr:uid="{90CB404D-7543-4D85-B867-202D4BF2C1D6}"/>
    <cellStyle name="SAPBEXexcBad8 3 9" xfId="8793" xr:uid="{0F9E2700-40DA-4B49-BFB1-C63F85F73E55}"/>
    <cellStyle name="SAPBEXexcBad8 4" xfId="3634" xr:uid="{AAA549BC-A37D-45D9-9C85-B068BD5AE5EF}"/>
    <cellStyle name="SAPBEXexcBad8 4 2" xfId="6043" xr:uid="{86C729BB-E0EC-47A5-B83E-7061DE3496BE}"/>
    <cellStyle name="SAPBEXexcBad8 4 2 2" xfId="11485" xr:uid="{59C19A03-CC19-44CF-A053-C1262CF518B5}"/>
    <cellStyle name="SAPBEXexcBad8 4 2 3" xfId="13567" xr:uid="{A94900FD-73AB-415E-A9A5-7A7EA2DBCFFD}"/>
    <cellStyle name="SAPBEXexcBad8 4 3" xfId="6727" xr:uid="{7C93B0F9-9C49-4DDA-9F85-1ADA541F12E1}"/>
    <cellStyle name="SAPBEXexcBad8 4 3 2" xfId="12169" xr:uid="{AADD0F19-A038-4333-AFE7-A247865B17B4}"/>
    <cellStyle name="SAPBEXexcBad8 4 3 3" xfId="14229" xr:uid="{19E66ACF-9DA3-497D-BD85-DB20050D9DA3}"/>
    <cellStyle name="SAPBEXexcBad8 4 4" xfId="9106" xr:uid="{332CD94B-2DC3-4EBD-B84F-0F360C1E43BC}"/>
    <cellStyle name="SAPBEXexcBad8 4 5" xfId="12832" xr:uid="{149AF32A-8A90-47A9-926D-49EAD9623360}"/>
    <cellStyle name="SAPBEXexcBad8 5" xfId="3632" xr:uid="{97646D81-1DF7-438B-A168-43A1A6240DB1}"/>
    <cellStyle name="SAPBEXexcBad8 5 2" xfId="6041" xr:uid="{286AFA8E-D927-4AD5-B201-BF1F390FA070}"/>
    <cellStyle name="SAPBEXexcBad8 5 2 2" xfId="11483" xr:uid="{39A5985F-03E6-4FC3-B295-4FB3A8ABBA7E}"/>
    <cellStyle name="SAPBEXexcBad8 5 2 3" xfId="13565" xr:uid="{6DCFD23D-724C-4291-BA28-1C067774170C}"/>
    <cellStyle name="SAPBEXexcBad8 5 3" xfId="6725" xr:uid="{9E38954D-8920-45A7-AB54-92C714D09DE5}"/>
    <cellStyle name="SAPBEXexcBad8 5 3 2" xfId="12167" xr:uid="{F5317A1F-4CFC-470F-A995-49253C12BE86}"/>
    <cellStyle name="SAPBEXexcBad8 5 3 3" xfId="14227" xr:uid="{BBBC94D0-E1B5-40B8-9834-5D3F1AC08245}"/>
    <cellStyle name="SAPBEXexcBad8 5 4" xfId="9104" xr:uid="{2ED3C1EC-3371-4E61-B302-13E4547F2747}"/>
    <cellStyle name="SAPBEXexcBad8 5 5" xfId="12830" xr:uid="{6544FEA1-B803-498E-91A9-3545DCDC1B0D}"/>
    <cellStyle name="SAPBEXexcBad8 6" xfId="3566" xr:uid="{37EC3814-9F45-430E-9949-495A624660C3}"/>
    <cellStyle name="SAPBEXexcBad8 6 2" xfId="5977" xr:uid="{06AFD183-0E8A-499D-96B0-7592DB5FD5CE}"/>
    <cellStyle name="SAPBEXexcBad8 6 2 2" xfId="11419" xr:uid="{BA27C3DF-4050-48C8-9E08-73DBF5B01031}"/>
    <cellStyle name="SAPBEXexcBad8 6 2 3" xfId="13504" xr:uid="{E84D1F93-D8DF-4CE7-AA8A-03C73FC6AC72}"/>
    <cellStyle name="SAPBEXexcBad8 6 3" xfId="6660" xr:uid="{E0C3FCC0-71CC-4B94-A0D0-7BB95408C777}"/>
    <cellStyle name="SAPBEXexcBad8 6 3 2" xfId="12102" xr:uid="{0DDF4FBF-EA42-459C-9B97-70FC4BAAC502}"/>
    <cellStyle name="SAPBEXexcBad8 6 3 3" xfId="14165" xr:uid="{2BE21E07-BEE0-452A-87CF-789A83691C0E}"/>
    <cellStyle name="SAPBEXexcBad8 6 4" xfId="9038" xr:uid="{6BA78203-DFB3-4D35-A0AD-77D16A40864A}"/>
    <cellStyle name="SAPBEXexcBad8 6 5" xfId="12768" xr:uid="{1EF6F98E-1467-45C9-B089-EDC9FA4F92C8}"/>
    <cellStyle name="SAPBEXexcBad8 7" xfId="4135" xr:uid="{87F44447-46C1-4FB6-A0CE-B6891C3D4D4D}"/>
    <cellStyle name="SAPBEXexcBad8 7 2" xfId="9585" xr:uid="{CA9146AF-C643-45A4-B11C-D0F86E80C50D}"/>
    <cellStyle name="SAPBEXexcBad8 7 3" xfId="13214" xr:uid="{2F9DD29C-CE2C-4840-B56A-B81370F8FE7F}"/>
    <cellStyle name="SAPBEXexcBad8 8" xfId="6436" xr:uid="{46F1ABF6-B42B-414A-BD8A-C3922E13A71F}"/>
    <cellStyle name="SAPBEXexcBad8 8 2" xfId="11878" xr:uid="{7D72B071-4898-4974-B721-1AE62F2995B5}"/>
    <cellStyle name="SAPBEXexcBad8 8 3" xfId="13946" xr:uid="{B3DD4362-539D-4FC3-82DE-0D7004633337}"/>
    <cellStyle name="SAPBEXexcBad8 9" xfId="7201" xr:uid="{526A845A-C6B7-4089-B25E-2F2A9002A6E2}"/>
    <cellStyle name="SAPBEXexcBad8_2014 CLEAResult Invoices" xfId="3183" xr:uid="{A4E7CDC0-59B7-4B79-ABA4-88284B839743}"/>
    <cellStyle name="SAPBEXexcBad9" xfId="255" xr:uid="{0006A7AF-BB52-4113-A323-CCA6FF9C61E4}"/>
    <cellStyle name="SAPBEXexcBad9 10" xfId="7186" xr:uid="{28B41E9F-CAA6-45EA-8468-A9AA5F2AC6D7}"/>
    <cellStyle name="SAPBEXexcBad9 2" xfId="3185" xr:uid="{201592CC-8925-48D3-B551-338DDDF8CF14}"/>
    <cellStyle name="SAPBEXexcBad9 2 10" xfId="8796" xr:uid="{A93A2B91-4920-458D-9607-74785E2578A4}"/>
    <cellStyle name="SAPBEXexcBad9 2 11" xfId="12651" xr:uid="{453F0512-E9E6-43E0-86EB-305F166D6FA7}"/>
    <cellStyle name="SAPBEXexcBad9 2 2" xfId="3704" xr:uid="{940863E2-11C4-49F6-BCA1-89C38DC767AA}"/>
    <cellStyle name="SAPBEXexcBad9 2 2 2" xfId="6112" xr:uid="{EA67CE64-E4B7-4E18-BB93-CE9B78A21D35}"/>
    <cellStyle name="SAPBEXexcBad9 2 2 2 2" xfId="11554" xr:uid="{D12C2B2E-5A7E-4864-9F90-AE66F473D187}"/>
    <cellStyle name="SAPBEXexcBad9 2 2 2 3" xfId="13631" xr:uid="{EA574515-8862-4B2D-B4C8-F6D196334F65}"/>
    <cellStyle name="SAPBEXexcBad9 2 2 3" xfId="6796" xr:uid="{24BF8437-B28F-4106-8EF3-2762F867B6AA}"/>
    <cellStyle name="SAPBEXexcBad9 2 2 3 2" xfId="12238" xr:uid="{2B2CC701-EE87-42F0-AF9B-BB7D1A9812A3}"/>
    <cellStyle name="SAPBEXexcBad9 2 2 3 3" xfId="14293" xr:uid="{E8C9D6CB-2C2C-40C1-B739-BD12FC976D5C}"/>
    <cellStyle name="SAPBEXexcBad9 2 2 4" xfId="9175" xr:uid="{7544F77A-4487-4847-80A8-330C7948463C}"/>
    <cellStyle name="SAPBEXexcBad9 2 2 5" xfId="12896" xr:uid="{C5034909-60EC-4C05-AA7B-5DCC4EF7C7E3}"/>
    <cellStyle name="SAPBEXexcBad9 2 3" xfId="3770" xr:uid="{5BCBEDA9-D1D1-406D-87A7-ECE515D31CCA}"/>
    <cellStyle name="SAPBEXexcBad9 2 3 2" xfId="6178" xr:uid="{35485B72-F771-4ED6-80EF-87D87A53AC75}"/>
    <cellStyle name="SAPBEXexcBad9 2 3 2 2" xfId="11620" xr:uid="{829C89FB-56B8-40C4-B36E-761F031ABEDE}"/>
    <cellStyle name="SAPBEXexcBad9 2 3 2 3" xfId="13695" xr:uid="{DFA0B61B-F620-4F3B-9F78-B7509ABB0C1C}"/>
    <cellStyle name="SAPBEXexcBad9 2 3 3" xfId="6860" xr:uid="{84DBAA25-F22C-472B-A977-579E5BE39626}"/>
    <cellStyle name="SAPBEXexcBad9 2 3 3 2" xfId="12302" xr:uid="{45F19446-9BC8-4F72-993E-6FA63635BD36}"/>
    <cellStyle name="SAPBEXexcBad9 2 3 3 3" xfId="14355" xr:uid="{50F692D7-A5A6-4596-992B-DEDF7F39A171}"/>
    <cellStyle name="SAPBEXexcBad9 2 3 4" xfId="9241" xr:uid="{765372D4-D088-48AB-8839-2C326B5371A5}"/>
    <cellStyle name="SAPBEXexcBad9 2 3 5" xfId="12958" xr:uid="{D2B555A5-824E-4907-9BAB-C42FA9C2C8AE}"/>
    <cellStyle name="SAPBEXexcBad9 2 4" xfId="3836" xr:uid="{BD8B3625-2DB8-4459-B936-77B2D4512BBC}"/>
    <cellStyle name="SAPBEXexcBad9 2 4 2" xfId="6243" xr:uid="{37B4B3D9-4DDC-4713-A018-61E3EFA63A1D}"/>
    <cellStyle name="SAPBEXexcBad9 2 4 2 2" xfId="11685" xr:uid="{B118969B-F8C8-45AB-B1C3-AE329D2F4C7D}"/>
    <cellStyle name="SAPBEXexcBad9 2 4 2 3" xfId="13759" xr:uid="{8494B5A2-D70E-4D84-8BC3-E13E67041438}"/>
    <cellStyle name="SAPBEXexcBad9 2 4 3" xfId="6923" xr:uid="{5CA0BFFF-727D-405E-A499-F748DA392761}"/>
    <cellStyle name="SAPBEXexcBad9 2 4 3 2" xfId="12365" xr:uid="{D2C65B08-1A87-412B-9598-E530C03E2CD0}"/>
    <cellStyle name="SAPBEXexcBad9 2 4 3 3" xfId="14417" xr:uid="{6E923322-AB83-42A7-B0BA-78F1197889C4}"/>
    <cellStyle name="SAPBEXexcBad9 2 4 4" xfId="9306" xr:uid="{AF304AAC-1191-4C67-A456-FABD6C7BD3EF}"/>
    <cellStyle name="SAPBEXexcBad9 2 4 5" xfId="13020" xr:uid="{A6A3C471-DAD4-428E-B633-CF572D252CB1}"/>
    <cellStyle name="SAPBEXexcBad9 2 5" xfId="3921" xr:uid="{E88E49F6-54D4-48F8-B5F9-EB4A6BA39AA6}"/>
    <cellStyle name="SAPBEXexcBad9 2 5 2" xfId="6326" xr:uid="{1FDB0862-931F-44BC-AF53-ED776F942107}"/>
    <cellStyle name="SAPBEXexcBad9 2 5 2 2" xfId="11768" xr:uid="{15D0404A-CC0A-4A6B-9C0F-8FB77A20FB80}"/>
    <cellStyle name="SAPBEXexcBad9 2 5 2 3" xfId="13840" xr:uid="{029F90F9-B3C7-4B00-A7A2-16FB711573EA}"/>
    <cellStyle name="SAPBEXexcBad9 2 5 3" xfId="7004" xr:uid="{E4D50B29-C2ED-4367-A04D-BD099E23B78A}"/>
    <cellStyle name="SAPBEXexcBad9 2 5 3 2" xfId="12446" xr:uid="{D734E992-B39B-4E03-A75D-63F48BC6D0A1}"/>
    <cellStyle name="SAPBEXexcBad9 2 5 3 3" xfId="14496" xr:uid="{492449AA-EB1E-4630-B402-7EA4D3FBFB97}"/>
    <cellStyle name="SAPBEXexcBad9 2 5 4" xfId="9389" xr:uid="{B5A6A832-7C87-4C17-A33C-912BF0660F4D}"/>
    <cellStyle name="SAPBEXexcBad9 2 5 5" xfId="13099" xr:uid="{0C1DE7BA-9ED3-4682-A6B0-71944F5511B0}"/>
    <cellStyle name="SAPBEXexcBad9 2 6" xfId="3988" xr:uid="{42EC6B04-D925-4913-BEE6-608D8F93F9E9}"/>
    <cellStyle name="SAPBEXexcBad9 2 6 2" xfId="6391" xr:uid="{3660CDEA-7ABE-4224-8DCA-219F4219ED7E}"/>
    <cellStyle name="SAPBEXexcBad9 2 6 2 2" xfId="11833" xr:uid="{BD1BDC40-F60B-4378-B290-5D9DF308AA9E}"/>
    <cellStyle name="SAPBEXexcBad9 2 6 2 3" xfId="13904" xr:uid="{1F7C7FE9-317B-458D-A6FC-616A84A256A5}"/>
    <cellStyle name="SAPBEXexcBad9 2 6 3" xfId="7067" xr:uid="{E8C90460-485A-49F4-BD21-9E6E8B70EC40}"/>
    <cellStyle name="SAPBEXexcBad9 2 6 3 2" xfId="12509" xr:uid="{720BC67E-610A-4AAE-8A77-035EC8C8A989}"/>
    <cellStyle name="SAPBEXexcBad9 2 6 3 3" xfId="14558" xr:uid="{ACDF53CD-0F38-4BD1-BF69-037D2C626538}"/>
    <cellStyle name="SAPBEXexcBad9 2 6 4" xfId="9454" xr:uid="{D3058DB0-CE44-410D-840B-1EEF86E68C13}"/>
    <cellStyle name="SAPBEXexcBad9 2 6 5" xfId="13161" xr:uid="{9C864312-0D16-449A-8CA9-1862167D70CD}"/>
    <cellStyle name="SAPBEXexcBad9 2 7" xfId="3622" xr:uid="{303FA473-0660-484C-A155-482A86BE788A}"/>
    <cellStyle name="SAPBEXexcBad9 2 7 2" xfId="6031" xr:uid="{6395004A-F972-469C-A10C-4C7C4E0813BC}"/>
    <cellStyle name="SAPBEXexcBad9 2 7 2 2" xfId="11473" xr:uid="{83D683BC-217C-461B-AB2C-8D888F393CB9}"/>
    <cellStyle name="SAPBEXexcBad9 2 7 2 3" xfId="13555" xr:uid="{B0D38387-AE50-40EA-A050-08125C11862E}"/>
    <cellStyle name="SAPBEXexcBad9 2 7 3" xfId="6715" xr:uid="{FB02035E-73A6-45FE-9AF3-48AB252BDAE5}"/>
    <cellStyle name="SAPBEXexcBad9 2 7 3 2" xfId="12157" xr:uid="{C98E6917-D454-45E8-9D4F-84439BF989C9}"/>
    <cellStyle name="SAPBEXexcBad9 2 7 3 3" xfId="14217" xr:uid="{CC64E90D-0E20-465A-8C06-5E06B98DB789}"/>
    <cellStyle name="SAPBEXexcBad9 2 7 4" xfId="9094" xr:uid="{F65A17FB-FAA3-4569-9B72-93396D3522A9}"/>
    <cellStyle name="SAPBEXexcBad9 2 7 5" xfId="12820" xr:uid="{527C5660-0567-4687-804F-1F925FD60ABE}"/>
    <cellStyle name="SAPBEXexcBad9 2 8" xfId="5740" xr:uid="{B4888EA2-EA49-404E-BA36-144192CCEF7F}"/>
    <cellStyle name="SAPBEXexcBad9 2 8 2" xfId="11182" xr:uid="{E5510FDD-8960-4A9A-91E9-D6AF8A635885}"/>
    <cellStyle name="SAPBEXexcBad9 2 8 3" xfId="13386" xr:uid="{B83BCF90-290E-4225-A7BC-9411A74AC560}"/>
    <cellStyle name="SAPBEXexcBad9 2 9" xfId="6538" xr:uid="{4FC71302-93CF-4804-A78E-56BD5D4C1B31}"/>
    <cellStyle name="SAPBEXexcBad9 2 9 2" xfId="11980" xr:uid="{DB57C281-4840-44B8-8502-B04E6516731E}"/>
    <cellStyle name="SAPBEXexcBad9 2 9 3" xfId="14048" xr:uid="{A40AEDD2-AA1B-40E6-B794-16F404855480}"/>
    <cellStyle name="SAPBEXexcBad9 3" xfId="3184" xr:uid="{96EF672C-AF20-4B66-9BCE-3F40B2D2A633}"/>
    <cellStyle name="SAPBEXexcBad9 3 10" xfId="12650" xr:uid="{E9F8B65F-C846-4854-8D55-96F06D32F609}"/>
    <cellStyle name="SAPBEXexcBad9 3 2" xfId="3785" xr:uid="{9A318F8B-8C3A-43C0-8436-4A47D11026C9}"/>
    <cellStyle name="SAPBEXexcBad9 3 2 2" xfId="6193" xr:uid="{A0B87D75-E337-4136-92DA-94409EBB6F1A}"/>
    <cellStyle name="SAPBEXexcBad9 3 2 2 2" xfId="11635" xr:uid="{C59C70F0-4FE0-4591-9596-28A32395F410}"/>
    <cellStyle name="SAPBEXexcBad9 3 2 2 3" xfId="13710" xr:uid="{1F0CF2EB-C327-4405-8037-DCB7548BE7FF}"/>
    <cellStyle name="SAPBEXexcBad9 3 2 3" xfId="6875" xr:uid="{5B32BC65-36A9-445F-BFC4-37FD82D9B1EF}"/>
    <cellStyle name="SAPBEXexcBad9 3 2 3 2" xfId="12317" xr:uid="{655184C7-9411-41C4-B050-1C698133C5F4}"/>
    <cellStyle name="SAPBEXexcBad9 3 2 3 3" xfId="14370" xr:uid="{6346C43E-D7E5-4CF3-B8FF-B690D307D4FA}"/>
    <cellStyle name="SAPBEXexcBad9 3 2 4" xfId="9256" xr:uid="{69924C3B-01C8-4494-8525-C081F9C83B63}"/>
    <cellStyle name="SAPBEXexcBad9 3 2 5" xfId="12973" xr:uid="{4B9202F7-941A-4992-B6AB-78E73FE6545D}"/>
    <cellStyle name="SAPBEXexcBad9 3 3" xfId="3851" xr:uid="{08A69344-91BD-40EF-A859-10B6A74E36AF}"/>
    <cellStyle name="SAPBEXexcBad9 3 3 2" xfId="6258" xr:uid="{1A30ABD4-E4B0-4A27-904C-7C662EF2D2CD}"/>
    <cellStyle name="SAPBEXexcBad9 3 3 2 2" xfId="11700" xr:uid="{704485CB-99E0-49B2-9AD3-B2FCAD2435E1}"/>
    <cellStyle name="SAPBEXexcBad9 3 3 2 3" xfId="13774" xr:uid="{727C639E-620F-4C0A-A71D-804FB9EBFAC8}"/>
    <cellStyle name="SAPBEXexcBad9 3 3 3" xfId="6938" xr:uid="{4B316B1F-4EB8-486B-A7A3-FC1289C1590F}"/>
    <cellStyle name="SAPBEXexcBad9 3 3 3 2" xfId="12380" xr:uid="{01797083-019F-449A-A204-8F43104E817A}"/>
    <cellStyle name="SAPBEXexcBad9 3 3 3 3" xfId="14432" xr:uid="{5E259126-6720-442C-8F26-41E8FAAE8B1C}"/>
    <cellStyle name="SAPBEXexcBad9 3 3 4" xfId="9321" xr:uid="{FBAF9A15-7216-4162-AC14-0F9E62F332C5}"/>
    <cellStyle name="SAPBEXexcBad9 3 3 5" xfId="13035" xr:uid="{6FCE7020-E88A-4C89-80F2-FC730011281E}"/>
    <cellStyle name="SAPBEXexcBad9 3 4" xfId="3936" xr:uid="{76EFD7F1-88C5-4CEF-B6EB-0A696FDD5A0E}"/>
    <cellStyle name="SAPBEXexcBad9 3 4 2" xfId="6341" xr:uid="{EA399CF2-1291-4980-B21E-8011B8C27A7C}"/>
    <cellStyle name="SAPBEXexcBad9 3 4 2 2" xfId="11783" xr:uid="{82F1A004-F44D-4EEF-A032-67FDAD3C4385}"/>
    <cellStyle name="SAPBEXexcBad9 3 4 2 3" xfId="13855" xr:uid="{2F11687F-7063-4B27-9222-DFD6B8FBE13F}"/>
    <cellStyle name="SAPBEXexcBad9 3 4 3" xfId="7019" xr:uid="{F3D88992-7887-427F-A54C-CF7F19851195}"/>
    <cellStyle name="SAPBEXexcBad9 3 4 3 2" xfId="12461" xr:uid="{4C29FB39-6A77-4C9A-AABC-C7A19614D3D6}"/>
    <cellStyle name="SAPBEXexcBad9 3 4 3 3" xfId="14511" xr:uid="{3874A544-AA31-42CD-8B6C-473B3E04EC49}"/>
    <cellStyle name="SAPBEXexcBad9 3 4 4" xfId="9404" xr:uid="{0FCC24B8-5F7D-4AE7-95F7-291B9B6FFC96}"/>
    <cellStyle name="SAPBEXexcBad9 3 4 5" xfId="13114" xr:uid="{7DD12DE8-CBC4-4702-8DCC-852057ED95F8}"/>
    <cellStyle name="SAPBEXexcBad9 3 5" xfId="4003" xr:uid="{EC5E92B2-9B8D-4288-8EF3-8A17403A9C5F}"/>
    <cellStyle name="SAPBEXexcBad9 3 5 2" xfId="6406" xr:uid="{9ABE7DF0-5719-4923-8B07-EAEF812B8D26}"/>
    <cellStyle name="SAPBEXexcBad9 3 5 2 2" xfId="11848" xr:uid="{3EDD373A-59C2-4438-8D30-4D2E486530E1}"/>
    <cellStyle name="SAPBEXexcBad9 3 5 2 3" xfId="13919" xr:uid="{4E7B751C-E5F4-4857-A9A8-E50E0D14F5B6}"/>
    <cellStyle name="SAPBEXexcBad9 3 5 3" xfId="7082" xr:uid="{BA13CAAE-B7F8-4D40-9D96-DAD7C88C46CA}"/>
    <cellStyle name="SAPBEXexcBad9 3 5 3 2" xfId="12524" xr:uid="{33D209C4-362C-41F8-8DFD-E34A9C0E48F6}"/>
    <cellStyle name="SAPBEXexcBad9 3 5 3 3" xfId="14573" xr:uid="{BD40C5A4-F87B-40D2-9660-53DDF57BC833}"/>
    <cellStyle name="SAPBEXexcBad9 3 5 4" xfId="9469" xr:uid="{713DDFB2-68DC-4ECE-95DA-58D7ABD02BA6}"/>
    <cellStyle name="SAPBEXexcBad9 3 5 5" xfId="13176" xr:uid="{CE181609-B69A-405E-9E15-AB6500747A84}"/>
    <cellStyle name="SAPBEXexcBad9 3 6" xfId="3719" xr:uid="{0B0DA601-1B7A-49A0-8376-9EA8B2CED453}"/>
    <cellStyle name="SAPBEXexcBad9 3 6 2" xfId="6127" xr:uid="{0360A1B2-1478-4AEB-A51A-337FD2D3B285}"/>
    <cellStyle name="SAPBEXexcBad9 3 6 2 2" xfId="11569" xr:uid="{A4B296FF-7A05-43C8-9CD9-B04F7054BF12}"/>
    <cellStyle name="SAPBEXexcBad9 3 6 2 3" xfId="13646" xr:uid="{7A531FF1-1B70-48E7-A5D4-B2550E9F39DC}"/>
    <cellStyle name="SAPBEXexcBad9 3 6 3" xfId="6811" xr:uid="{67491EE5-9038-469B-BB17-D1662BA014C2}"/>
    <cellStyle name="SAPBEXexcBad9 3 6 3 2" xfId="12253" xr:uid="{69A14EDA-0CC5-4BAF-8138-C089C0F04B76}"/>
    <cellStyle name="SAPBEXexcBad9 3 6 3 3" xfId="14308" xr:uid="{02B0C443-4C08-48F1-93DE-D18551F01AB8}"/>
    <cellStyle name="SAPBEXexcBad9 3 6 4" xfId="9190" xr:uid="{B43616AF-4E65-4A80-855A-DDFE5D70BAC0}"/>
    <cellStyle name="SAPBEXexcBad9 3 6 5" xfId="12911" xr:uid="{B2B50E49-C3A9-49A4-8DD5-4FD857AF3832}"/>
    <cellStyle name="SAPBEXexcBad9 3 7" xfId="5739" xr:uid="{AF01D5BE-4FDF-4CFE-9D5D-B6D850894505}"/>
    <cellStyle name="SAPBEXexcBad9 3 7 2" xfId="11181" xr:uid="{F7F71077-3D3B-49A8-98D1-9F40923E7B5F}"/>
    <cellStyle name="SAPBEXexcBad9 3 7 3" xfId="13385" xr:uid="{D63B195D-BE4A-41B4-9217-696426A69F13}"/>
    <cellStyle name="SAPBEXexcBad9 3 8" xfId="6537" xr:uid="{C3516C63-50C0-4CF0-AC25-FDBF1F479C28}"/>
    <cellStyle name="SAPBEXexcBad9 3 8 2" xfId="11979" xr:uid="{CB12F21A-BA80-41AC-A631-A55128121634}"/>
    <cellStyle name="SAPBEXexcBad9 3 8 3" xfId="14047" xr:uid="{81AE2B1C-89DA-4F10-B899-55EB932668FC}"/>
    <cellStyle name="SAPBEXexcBad9 3 9" xfId="8795" xr:uid="{89B79B13-F069-4820-9677-72B5FA8A1D50}"/>
    <cellStyle name="SAPBEXexcBad9 4" xfId="3655" xr:uid="{CE1E3B82-2B07-49D1-8FF9-9B3663566879}"/>
    <cellStyle name="SAPBEXexcBad9 4 2" xfId="6063" xr:uid="{3F2AB6F7-DD03-40DA-AC10-8EC4BD902298}"/>
    <cellStyle name="SAPBEXexcBad9 4 2 2" xfId="11505" xr:uid="{913DB07C-1D2E-4E9F-9D1A-3A32356487F4}"/>
    <cellStyle name="SAPBEXexcBad9 4 2 3" xfId="13585" xr:uid="{B27E9D6C-DD5B-4D0E-8BC7-892BB7631515}"/>
    <cellStyle name="SAPBEXexcBad9 4 3" xfId="6747" xr:uid="{A30B7067-4D47-46F2-B3A7-90A0B9B8BBFF}"/>
    <cellStyle name="SAPBEXexcBad9 4 3 2" xfId="12189" xr:uid="{551D2CCE-6C47-4A65-A41C-987D0E233ED0}"/>
    <cellStyle name="SAPBEXexcBad9 4 3 3" xfId="14247" xr:uid="{02C8C633-64E3-4A2B-A79B-3C494E17E931}"/>
    <cellStyle name="SAPBEXexcBad9 4 4" xfId="9126" xr:uid="{F02050E1-885D-4341-9EC7-90DC9D488E8F}"/>
    <cellStyle name="SAPBEXexcBad9 4 5" xfId="12850" xr:uid="{39B0E7B2-8D11-427F-BDA3-D0FDDD817797}"/>
    <cellStyle name="SAPBEXexcBad9 5" xfId="3643" xr:uid="{A1C08444-CD42-4727-8415-09D33CAAFA7C}"/>
    <cellStyle name="SAPBEXexcBad9 5 2" xfId="6052" xr:uid="{306B1A7E-1F40-4FB6-97B2-6D5E2E1FE06C}"/>
    <cellStyle name="SAPBEXexcBad9 5 2 2" xfId="11494" xr:uid="{631C55AE-193A-4D1A-B5B1-F6678D772219}"/>
    <cellStyle name="SAPBEXexcBad9 5 2 3" xfId="13576" xr:uid="{E7221FFA-9419-477C-8A74-DE8359EF4BB9}"/>
    <cellStyle name="SAPBEXexcBad9 5 3" xfId="6736" xr:uid="{1739917E-8D0F-4809-ABB5-0CCC1AB43D98}"/>
    <cellStyle name="SAPBEXexcBad9 5 3 2" xfId="12178" xr:uid="{E75F9672-B4CD-4922-A811-2CE70F4D0F9C}"/>
    <cellStyle name="SAPBEXexcBad9 5 3 3" xfId="14238" xr:uid="{CF688353-9D36-4E5A-9B50-53A03BB61AA5}"/>
    <cellStyle name="SAPBEXexcBad9 5 4" xfId="9115" xr:uid="{9D52297A-A4E4-45D6-A766-F6B5DC5AFB25}"/>
    <cellStyle name="SAPBEXexcBad9 5 5" xfId="12841" xr:uid="{19FAA59C-EEAB-45FE-BBAB-1629906E63DC}"/>
    <cellStyle name="SAPBEXexcBad9 6" xfId="3567" xr:uid="{D7B59015-9270-4F81-82EC-A9E83715A06A}"/>
    <cellStyle name="SAPBEXexcBad9 6 2" xfId="5978" xr:uid="{45B4206F-5C3A-4032-854B-DA23B850E7E5}"/>
    <cellStyle name="SAPBEXexcBad9 6 2 2" xfId="11420" xr:uid="{DBECB16F-21B6-40E5-B1AC-FE0E80A848A4}"/>
    <cellStyle name="SAPBEXexcBad9 6 2 3" xfId="13505" xr:uid="{DE7FA92F-87BF-415E-8C36-631F5C3B3C59}"/>
    <cellStyle name="SAPBEXexcBad9 6 3" xfId="6661" xr:uid="{5864FBDC-2A6F-4B0D-BAB2-DDD3C4AE53F2}"/>
    <cellStyle name="SAPBEXexcBad9 6 3 2" xfId="12103" xr:uid="{425AFFBD-4BA9-4C3A-AAA7-0DF5F0A875CB}"/>
    <cellStyle name="SAPBEXexcBad9 6 3 3" xfId="14166" xr:uid="{9F66D6EC-E098-4F67-8862-D75E9C0F23B0}"/>
    <cellStyle name="SAPBEXexcBad9 6 4" xfId="9039" xr:uid="{7A6D658D-F8D7-4A6E-A21D-1C61E6F45902}"/>
    <cellStyle name="SAPBEXexcBad9 6 5" xfId="12769" xr:uid="{088134A2-B5FA-4232-961D-387C43F9DB1A}"/>
    <cellStyle name="SAPBEXexcBad9 7" xfId="4136" xr:uid="{145B6836-0D4A-46B6-A691-0EB15F2239BE}"/>
    <cellStyle name="SAPBEXexcBad9 7 2" xfId="9586" xr:uid="{459BEE47-D0D9-4F17-934A-68C1F5D11B80}"/>
    <cellStyle name="SAPBEXexcBad9 7 3" xfId="13215" xr:uid="{6EF5E136-27F7-41A2-90F8-D1D5224036E6}"/>
    <cellStyle name="SAPBEXexcBad9 8" xfId="5716" xr:uid="{85618E6E-4C2A-4C73-82FD-B1D99D08ED14}"/>
    <cellStyle name="SAPBEXexcBad9 8 2" xfId="11158" xr:uid="{D80A4E42-26A4-455A-B9D2-C9BF028FA9F2}"/>
    <cellStyle name="SAPBEXexcBad9 8 3" xfId="13364" xr:uid="{A83855CC-C098-4D88-8428-8106146F786D}"/>
    <cellStyle name="SAPBEXexcBad9 9" xfId="7202" xr:uid="{A436DBAA-6803-42AB-A205-DCDFC51F2913}"/>
    <cellStyle name="SAPBEXexcBad9_2014 CLEAResult Invoices" xfId="3186" xr:uid="{782DA744-D74E-42FE-8D1F-AC905AB51912}"/>
    <cellStyle name="SAPBEXexcCritical4" xfId="256" xr:uid="{0CBA0F67-6E55-44A1-93EA-9E1335000D0E}"/>
    <cellStyle name="SAPBEXexcCritical4 10" xfId="9503" xr:uid="{994ECFF6-05BB-4E81-9432-65E3F0DAB9A6}"/>
    <cellStyle name="SAPBEXexcCritical4 2" xfId="3188" xr:uid="{F35FD0A1-034C-4C1F-B51F-40AA79F2E3FD}"/>
    <cellStyle name="SAPBEXexcCritical4 2 10" xfId="8798" xr:uid="{D0927467-D3DD-4D93-9016-2EDAB192110D}"/>
    <cellStyle name="SAPBEXexcCritical4 2 11" xfId="12653" xr:uid="{248962D9-AEED-4730-938E-835A1D4A291F}"/>
    <cellStyle name="SAPBEXexcCritical4 2 2" xfId="3684" xr:uid="{C6794268-B143-435D-B5D3-12AD755F89A2}"/>
    <cellStyle name="SAPBEXexcCritical4 2 2 2" xfId="6092" xr:uid="{D2804A6C-D272-4C65-9519-B8AB9F497191}"/>
    <cellStyle name="SAPBEXexcCritical4 2 2 2 2" xfId="11534" xr:uid="{D0C692BA-A4B7-4CDF-8E10-50001F0C19E5}"/>
    <cellStyle name="SAPBEXexcCritical4 2 2 2 3" xfId="13611" xr:uid="{CE43BE4F-525A-4155-A4B3-D1F3F94ADC57}"/>
    <cellStyle name="SAPBEXexcCritical4 2 2 3" xfId="6776" xr:uid="{AC560E8E-B658-4D9E-8856-98184B15992C}"/>
    <cellStyle name="SAPBEXexcCritical4 2 2 3 2" xfId="12218" xr:uid="{6ECDF2D3-921B-4CC8-9608-FEDB3520F777}"/>
    <cellStyle name="SAPBEXexcCritical4 2 2 3 3" xfId="14273" xr:uid="{667A1FA1-3AEB-4DD3-881A-DF9FF6DC41C2}"/>
    <cellStyle name="SAPBEXexcCritical4 2 2 4" xfId="9155" xr:uid="{36EF8D28-38C1-46D1-A6C9-F1118C7ABE24}"/>
    <cellStyle name="SAPBEXexcCritical4 2 2 5" xfId="12876" xr:uid="{0C0A0704-A8BC-4E10-A379-38211A5399B4}"/>
    <cellStyle name="SAPBEXexcCritical4 2 3" xfId="3750" xr:uid="{094916CF-02F6-45A6-B94E-DA5EE6E6EBAA}"/>
    <cellStyle name="SAPBEXexcCritical4 2 3 2" xfId="6158" xr:uid="{105700A4-D2C5-4CB4-B684-D7DD891833E0}"/>
    <cellStyle name="SAPBEXexcCritical4 2 3 2 2" xfId="11600" xr:uid="{F034B244-7BBA-4AC9-B8B6-C81589BC3388}"/>
    <cellStyle name="SAPBEXexcCritical4 2 3 2 3" xfId="13675" xr:uid="{F0EF0F1D-4A32-4957-A274-5AA7918CF18B}"/>
    <cellStyle name="SAPBEXexcCritical4 2 3 3" xfId="6840" xr:uid="{217C5261-5110-46F7-9D0B-D7A69272F6C8}"/>
    <cellStyle name="SAPBEXexcCritical4 2 3 3 2" xfId="12282" xr:uid="{9A4120F9-0EF6-42CD-82FC-07480BD1197E}"/>
    <cellStyle name="SAPBEXexcCritical4 2 3 3 3" xfId="14335" xr:uid="{D7536042-E562-4EC1-B736-CBA1CC77FEE5}"/>
    <cellStyle name="SAPBEXexcCritical4 2 3 4" xfId="9221" xr:uid="{7D1070FF-864F-498D-ADA8-274D01A74F83}"/>
    <cellStyle name="SAPBEXexcCritical4 2 3 5" xfId="12938" xr:uid="{2E7977B6-2521-46C4-8B38-64989CC4F749}"/>
    <cellStyle name="SAPBEXexcCritical4 2 4" xfId="3816" xr:uid="{9A9ACC4A-2C47-4176-B367-FA110BCE28E3}"/>
    <cellStyle name="SAPBEXexcCritical4 2 4 2" xfId="6223" xr:uid="{6035BE5C-6D12-436A-81AE-E4AF5148F809}"/>
    <cellStyle name="SAPBEXexcCritical4 2 4 2 2" xfId="11665" xr:uid="{6923F23E-C505-4476-988E-1D0724910D30}"/>
    <cellStyle name="SAPBEXexcCritical4 2 4 2 3" xfId="13739" xr:uid="{C20D4E5F-5C90-4F54-9554-672649E253FC}"/>
    <cellStyle name="SAPBEXexcCritical4 2 4 3" xfId="6903" xr:uid="{749E11CA-3C25-44F1-8E87-90B6FEB0B971}"/>
    <cellStyle name="SAPBEXexcCritical4 2 4 3 2" xfId="12345" xr:uid="{D59BE033-B976-47F4-A122-51DAA80A69D0}"/>
    <cellStyle name="SAPBEXexcCritical4 2 4 3 3" xfId="14397" xr:uid="{DF47DB71-86F8-45B9-AB04-245914C8CEEB}"/>
    <cellStyle name="SAPBEXexcCritical4 2 4 4" xfId="9286" xr:uid="{B3820AD8-114D-453F-81EB-F85F5973B203}"/>
    <cellStyle name="SAPBEXexcCritical4 2 4 5" xfId="13000" xr:uid="{61FB2DB5-C2F5-421A-872F-07AAEAA5F420}"/>
    <cellStyle name="SAPBEXexcCritical4 2 5" xfId="3901" xr:uid="{41D58B43-0EC9-480F-98BE-FC6A97A2F9E8}"/>
    <cellStyle name="SAPBEXexcCritical4 2 5 2" xfId="6306" xr:uid="{A5D8D821-D2DA-454E-8667-5D79774E45D6}"/>
    <cellStyle name="SAPBEXexcCritical4 2 5 2 2" xfId="11748" xr:uid="{822316E2-0C4A-49AD-978C-408BFAEB139E}"/>
    <cellStyle name="SAPBEXexcCritical4 2 5 2 3" xfId="13820" xr:uid="{566D8346-140A-4CC8-AA5C-E5190445B994}"/>
    <cellStyle name="SAPBEXexcCritical4 2 5 3" xfId="6984" xr:uid="{403070BF-6179-432E-B044-38CEBB8FE97A}"/>
    <cellStyle name="SAPBEXexcCritical4 2 5 3 2" xfId="12426" xr:uid="{CE6EA104-CB36-4917-8D2B-31E59598C742}"/>
    <cellStyle name="SAPBEXexcCritical4 2 5 3 3" xfId="14476" xr:uid="{DEBAFBC1-2811-41EA-985F-99C104C804BC}"/>
    <cellStyle name="SAPBEXexcCritical4 2 5 4" xfId="9369" xr:uid="{1608D2EE-4474-497D-8C26-3615C393BBDD}"/>
    <cellStyle name="SAPBEXexcCritical4 2 5 5" xfId="13079" xr:uid="{FBD51A70-05C3-4CBC-9D21-877A9AA67068}"/>
    <cellStyle name="SAPBEXexcCritical4 2 6" xfId="3968" xr:uid="{BD0002A9-9DE1-4020-B6D8-DA09D7782BE3}"/>
    <cellStyle name="SAPBEXexcCritical4 2 6 2" xfId="6371" xr:uid="{75FD63F8-4130-40B4-831F-50511F03E821}"/>
    <cellStyle name="SAPBEXexcCritical4 2 6 2 2" xfId="11813" xr:uid="{8AB82BED-EE91-48C7-9FA7-AEB6A3D822D4}"/>
    <cellStyle name="SAPBEXexcCritical4 2 6 2 3" xfId="13884" xr:uid="{3B433B53-16F5-48E8-AA55-2CEEE8CCDB99}"/>
    <cellStyle name="SAPBEXexcCritical4 2 6 3" xfId="7047" xr:uid="{B50F32CA-3894-4EEF-91BD-CC86AA48D4BE}"/>
    <cellStyle name="SAPBEXexcCritical4 2 6 3 2" xfId="12489" xr:uid="{6691CD12-A347-4665-8147-79A09F5DDEB3}"/>
    <cellStyle name="SAPBEXexcCritical4 2 6 3 3" xfId="14538" xr:uid="{8B1E69EF-F91A-43A7-826A-1C3D1A9D583D}"/>
    <cellStyle name="SAPBEXexcCritical4 2 6 4" xfId="9434" xr:uid="{C6FD9C7E-4FE4-4A02-859C-EFAA688CA681}"/>
    <cellStyle name="SAPBEXexcCritical4 2 6 5" xfId="13141" xr:uid="{AE6B5CE3-6689-4A37-B012-4B18867D7FD0}"/>
    <cellStyle name="SAPBEXexcCritical4 2 7" xfId="3602" xr:uid="{04D7676F-4C72-49E7-A9FB-628D6294AC88}"/>
    <cellStyle name="SAPBEXexcCritical4 2 7 2" xfId="6011" xr:uid="{582AA453-6F68-4797-BE4D-4B63469B7DD0}"/>
    <cellStyle name="SAPBEXexcCritical4 2 7 2 2" xfId="11453" xr:uid="{2C0D59EE-17D1-4F8B-924F-D82EF42AA509}"/>
    <cellStyle name="SAPBEXexcCritical4 2 7 2 3" xfId="13535" xr:uid="{35A7C21D-8A34-4A9B-A793-7BBAAEAE34F1}"/>
    <cellStyle name="SAPBEXexcCritical4 2 7 3" xfId="6695" xr:uid="{20396E6D-E1BC-4BDD-A3F8-B9A80350553A}"/>
    <cellStyle name="SAPBEXexcCritical4 2 7 3 2" xfId="12137" xr:uid="{D401DB36-1EB0-46CB-9D15-A8E574421FC4}"/>
    <cellStyle name="SAPBEXexcCritical4 2 7 3 3" xfId="14197" xr:uid="{124C9BC6-6097-4C8B-9FBC-44B4EC131A8B}"/>
    <cellStyle name="SAPBEXexcCritical4 2 7 4" xfId="9074" xr:uid="{6340CAFF-9506-435A-A844-D15B5F92D916}"/>
    <cellStyle name="SAPBEXexcCritical4 2 7 5" xfId="12800" xr:uid="{7B6B48CB-4F24-472D-8355-75D0522F861D}"/>
    <cellStyle name="SAPBEXexcCritical4 2 8" xfId="5742" xr:uid="{FC369F47-2B10-4AD6-9BA4-BEAD89F63C59}"/>
    <cellStyle name="SAPBEXexcCritical4 2 8 2" xfId="11184" xr:uid="{FAC93746-2736-4FF0-8D9D-10A6E4D6E073}"/>
    <cellStyle name="SAPBEXexcCritical4 2 8 3" xfId="13388" xr:uid="{B1D41972-2BC2-40D7-A54C-CE85C5B2F99D}"/>
    <cellStyle name="SAPBEXexcCritical4 2 9" xfId="6540" xr:uid="{9BC987BF-EF74-4AE2-BED1-533F414474DA}"/>
    <cellStyle name="SAPBEXexcCritical4 2 9 2" xfId="11982" xr:uid="{EF3B1FDF-CB75-4BD3-961F-C63AF0A0D26F}"/>
    <cellStyle name="SAPBEXexcCritical4 2 9 3" xfId="14050" xr:uid="{B5AC8306-2747-40AE-B1AA-9B17C0EA55A8}"/>
    <cellStyle name="SAPBEXexcCritical4 3" xfId="3187" xr:uid="{DDDE36A5-336B-4F3E-A904-1B56C989924E}"/>
    <cellStyle name="SAPBEXexcCritical4 3 10" xfId="12652" xr:uid="{31D2A66F-4B8F-4D3A-97D6-4EDE8DB575AE}"/>
    <cellStyle name="SAPBEXexcCritical4 3 2" xfId="3786" xr:uid="{235355F3-C646-40A3-99E1-3FC6BE7219B9}"/>
    <cellStyle name="SAPBEXexcCritical4 3 2 2" xfId="6194" xr:uid="{E2210F08-D444-4A01-8A99-1B54CF7C4D26}"/>
    <cellStyle name="SAPBEXexcCritical4 3 2 2 2" xfId="11636" xr:uid="{7F7CED1F-E970-4428-91EC-EBCB28A1123E}"/>
    <cellStyle name="SAPBEXexcCritical4 3 2 2 3" xfId="13711" xr:uid="{BF86B732-8E66-4493-A55C-87EF435FCC4E}"/>
    <cellStyle name="SAPBEXexcCritical4 3 2 3" xfId="6876" xr:uid="{596B9F24-89C5-4DC0-816E-2C5E1337929C}"/>
    <cellStyle name="SAPBEXexcCritical4 3 2 3 2" xfId="12318" xr:uid="{DDE8EADC-BB4C-4904-95F7-A777CE9A0168}"/>
    <cellStyle name="SAPBEXexcCritical4 3 2 3 3" xfId="14371" xr:uid="{8C585E83-9D7A-46B1-A3E1-D662F126BB83}"/>
    <cellStyle name="SAPBEXexcCritical4 3 2 4" xfId="9257" xr:uid="{1BF85BAE-7701-4E3C-8770-06C9BAEA7B18}"/>
    <cellStyle name="SAPBEXexcCritical4 3 2 5" xfId="12974" xr:uid="{8323BE32-AF95-44C8-9DC3-8C9F11C29536}"/>
    <cellStyle name="SAPBEXexcCritical4 3 3" xfId="3852" xr:uid="{C731ABF9-DFD7-413C-9323-5B7F0D3F5BB8}"/>
    <cellStyle name="SAPBEXexcCritical4 3 3 2" xfId="6259" xr:uid="{A684CBEA-5E3D-4DE0-B697-37245871117F}"/>
    <cellStyle name="SAPBEXexcCritical4 3 3 2 2" xfId="11701" xr:uid="{57BC421C-A8F7-459C-9E6C-E5281CF9A980}"/>
    <cellStyle name="SAPBEXexcCritical4 3 3 2 3" xfId="13775" xr:uid="{1717F4E3-CA31-414A-A028-19E4CC8FBD4A}"/>
    <cellStyle name="SAPBEXexcCritical4 3 3 3" xfId="6939" xr:uid="{B5489029-398E-4E35-BF31-A7DB9B13DFBE}"/>
    <cellStyle name="SAPBEXexcCritical4 3 3 3 2" xfId="12381" xr:uid="{764EF109-A7CA-41E6-A261-D109F353D1FC}"/>
    <cellStyle name="SAPBEXexcCritical4 3 3 3 3" xfId="14433" xr:uid="{FF6FAE6B-E260-4E62-BF4D-756DFFF17A1E}"/>
    <cellStyle name="SAPBEXexcCritical4 3 3 4" xfId="9322" xr:uid="{13C74E5D-501F-4A23-8B46-47258B65490C}"/>
    <cellStyle name="SAPBEXexcCritical4 3 3 5" xfId="13036" xr:uid="{BB8FC22A-D804-48A1-98A6-9A3E054FFFD4}"/>
    <cellStyle name="SAPBEXexcCritical4 3 4" xfId="3937" xr:uid="{85276516-CF95-4911-AC96-DDD4863137E4}"/>
    <cellStyle name="SAPBEXexcCritical4 3 4 2" xfId="6342" xr:uid="{2097D668-5629-45FE-A8DF-F5BD64600714}"/>
    <cellStyle name="SAPBEXexcCritical4 3 4 2 2" xfId="11784" xr:uid="{BE05DE3F-84AE-4C66-B72A-06F95806AFEA}"/>
    <cellStyle name="SAPBEXexcCritical4 3 4 2 3" xfId="13856" xr:uid="{3126D1FD-0269-4D5A-A417-C88495B93E20}"/>
    <cellStyle name="SAPBEXexcCritical4 3 4 3" xfId="7020" xr:uid="{33ED37D6-52F9-40D8-ABC9-FED2AE6E3F41}"/>
    <cellStyle name="SAPBEXexcCritical4 3 4 3 2" xfId="12462" xr:uid="{28301F9F-E9E7-4B87-8EC9-D06D06AB7AC2}"/>
    <cellStyle name="SAPBEXexcCritical4 3 4 3 3" xfId="14512" xr:uid="{EF837F43-E8A6-43C7-AFA2-43FEF7851C19}"/>
    <cellStyle name="SAPBEXexcCritical4 3 4 4" xfId="9405" xr:uid="{6F80F446-09E2-497D-B568-5B5E5D293DE4}"/>
    <cellStyle name="SAPBEXexcCritical4 3 4 5" xfId="13115" xr:uid="{C1220B20-C0BE-48A8-85CA-283627B9F59F}"/>
    <cellStyle name="SAPBEXexcCritical4 3 5" xfId="4004" xr:uid="{479074A2-1026-4D77-9D67-25DBCCC15321}"/>
    <cellStyle name="SAPBEXexcCritical4 3 5 2" xfId="6407" xr:uid="{EFD408D8-0F57-4689-8A2C-48EDDC6A0976}"/>
    <cellStyle name="SAPBEXexcCritical4 3 5 2 2" xfId="11849" xr:uid="{8E7B0736-218D-44DF-B73B-BA138BB6C88E}"/>
    <cellStyle name="SAPBEXexcCritical4 3 5 2 3" xfId="13920" xr:uid="{B8B5F5B1-780F-4290-87AE-8D7FA25DC876}"/>
    <cellStyle name="SAPBEXexcCritical4 3 5 3" xfId="7083" xr:uid="{74125CAF-D496-4E9A-A8E3-7D4624D5E363}"/>
    <cellStyle name="SAPBEXexcCritical4 3 5 3 2" xfId="12525" xr:uid="{2998A553-5188-4415-AADD-473E6A36F61C}"/>
    <cellStyle name="SAPBEXexcCritical4 3 5 3 3" xfId="14574" xr:uid="{DFC22863-7D76-46F9-B83B-B57B33F2E741}"/>
    <cellStyle name="SAPBEXexcCritical4 3 5 4" xfId="9470" xr:uid="{33BA319C-587D-4D8B-B4E7-CEEA767CE3A3}"/>
    <cellStyle name="SAPBEXexcCritical4 3 5 5" xfId="13177" xr:uid="{1D1DAAE1-8468-4934-BDBE-21B4226AF835}"/>
    <cellStyle name="SAPBEXexcCritical4 3 6" xfId="3720" xr:uid="{E0B1ED53-AFBF-4F6D-8B25-7F171E46F96B}"/>
    <cellStyle name="SAPBEXexcCritical4 3 6 2" xfId="6128" xr:uid="{6AB47C7F-A97E-423A-AB4F-3336AB7F7398}"/>
    <cellStyle name="SAPBEXexcCritical4 3 6 2 2" xfId="11570" xr:uid="{B0A5CCB5-A871-4067-BB5C-8D4DFEEF4F69}"/>
    <cellStyle name="SAPBEXexcCritical4 3 6 2 3" xfId="13647" xr:uid="{EDF6FB97-E6EE-47FF-B9AF-617E5F3E6E11}"/>
    <cellStyle name="SAPBEXexcCritical4 3 6 3" xfId="6812" xr:uid="{6BA9062B-84B1-44BF-BB85-C134DAC9D585}"/>
    <cellStyle name="SAPBEXexcCritical4 3 6 3 2" xfId="12254" xr:uid="{91A2AAA1-C67E-4582-9312-A820C80708BB}"/>
    <cellStyle name="SAPBEXexcCritical4 3 6 3 3" xfId="14309" xr:uid="{3DF355BA-E0CA-4399-9E90-199FB68BDF03}"/>
    <cellStyle name="SAPBEXexcCritical4 3 6 4" xfId="9191" xr:uid="{5A27ED8E-4854-448B-9D10-C0B8E39DEFEE}"/>
    <cellStyle name="SAPBEXexcCritical4 3 6 5" xfId="12912" xr:uid="{EDFDDDA9-5B74-4F31-933C-289B521C4EF5}"/>
    <cellStyle name="SAPBEXexcCritical4 3 7" xfId="5741" xr:uid="{FDD4E9F8-258D-4709-96BF-CE82C1325096}"/>
    <cellStyle name="SAPBEXexcCritical4 3 7 2" xfId="11183" xr:uid="{AA3588EF-2242-44D9-9EAB-D295862BF330}"/>
    <cellStyle name="SAPBEXexcCritical4 3 7 3" xfId="13387" xr:uid="{5A061644-A353-4FB7-A1E7-AADDA85DD6B9}"/>
    <cellStyle name="SAPBEXexcCritical4 3 8" xfId="6539" xr:uid="{805136B0-F016-48DA-BC49-67F50CC311CF}"/>
    <cellStyle name="SAPBEXexcCritical4 3 8 2" xfId="11981" xr:uid="{64055BEB-28D3-4E52-B9FB-C419B3D3489A}"/>
    <cellStyle name="SAPBEXexcCritical4 3 8 3" xfId="14049" xr:uid="{47C60D2E-4235-4B75-ADD9-480999996823}"/>
    <cellStyle name="SAPBEXexcCritical4 3 9" xfId="8797" xr:uid="{4AB497FF-70F7-456B-9A35-2C94A4C48307}"/>
    <cellStyle name="SAPBEXexcCritical4 4" xfId="3677" xr:uid="{D00803EA-7BE6-4233-893C-75730AB5A624}"/>
    <cellStyle name="SAPBEXexcCritical4 4 2" xfId="6085" xr:uid="{81096FE5-1997-4176-8A12-B062CDF774AF}"/>
    <cellStyle name="SAPBEXexcCritical4 4 2 2" xfId="11527" xr:uid="{71D3A708-9630-4E75-AC62-E42A9CB29562}"/>
    <cellStyle name="SAPBEXexcCritical4 4 2 3" xfId="13606" xr:uid="{402E4363-DB92-42B9-846C-D2A084BE8C98}"/>
    <cellStyle name="SAPBEXexcCritical4 4 3" xfId="6769" xr:uid="{CEEC1E6D-ADFD-49A4-98B1-40BB3E39A1CD}"/>
    <cellStyle name="SAPBEXexcCritical4 4 3 2" xfId="12211" xr:uid="{F3EDB8C0-D33A-421C-8279-A8A6929E3AD4}"/>
    <cellStyle name="SAPBEXexcCritical4 4 3 3" xfId="14268" xr:uid="{DC3B651A-39BA-40AC-B3C7-E5853C464179}"/>
    <cellStyle name="SAPBEXexcCritical4 4 4" xfId="9148" xr:uid="{0C2F82FA-8269-401A-A407-7A7C1A429B60}"/>
    <cellStyle name="SAPBEXexcCritical4 4 5" xfId="12871" xr:uid="{FB2CC12F-0F51-48B7-AB5C-730C14A14E86}"/>
    <cellStyle name="SAPBEXexcCritical4 5" xfId="3642" xr:uid="{FD74E795-C6E1-493E-ADD0-9B5474A7D517}"/>
    <cellStyle name="SAPBEXexcCritical4 5 2" xfId="6051" xr:uid="{0697C4F1-3131-4A52-9997-81A08C87129C}"/>
    <cellStyle name="SAPBEXexcCritical4 5 2 2" xfId="11493" xr:uid="{45E1497E-5FCC-4171-AE55-844D2ADD8B15}"/>
    <cellStyle name="SAPBEXexcCritical4 5 2 3" xfId="13575" xr:uid="{BE275989-8C90-4172-BE2D-75DBA949535E}"/>
    <cellStyle name="SAPBEXexcCritical4 5 3" xfId="6735" xr:uid="{7A9B0F5A-3179-4848-9F71-484285AC766B}"/>
    <cellStyle name="SAPBEXexcCritical4 5 3 2" xfId="12177" xr:uid="{A605489D-851E-43F1-A6F3-181C9615B734}"/>
    <cellStyle name="SAPBEXexcCritical4 5 3 3" xfId="14237" xr:uid="{6C3507B4-5CC5-4C23-919E-682CD5385FCA}"/>
    <cellStyle name="SAPBEXexcCritical4 5 4" xfId="9114" xr:uid="{DB25966E-C310-46A8-95F7-197530A7FDB0}"/>
    <cellStyle name="SAPBEXexcCritical4 5 5" xfId="12840" xr:uid="{6CC24D80-3A17-4344-9237-18C8CDBF4B3B}"/>
    <cellStyle name="SAPBEXexcCritical4 6" xfId="3568" xr:uid="{F98914F2-3BFF-441E-ACFA-5F922C4FD1F9}"/>
    <cellStyle name="SAPBEXexcCritical4 6 2" xfId="5979" xr:uid="{A2CCAEE2-61D2-48D6-BE32-BBF862E513BA}"/>
    <cellStyle name="SAPBEXexcCritical4 6 2 2" xfId="11421" xr:uid="{0E5AC955-F0AF-4953-9C98-FE8784D335BA}"/>
    <cellStyle name="SAPBEXexcCritical4 6 2 3" xfId="13506" xr:uid="{1B5BD7D3-6898-4F61-A35D-59F266C8D6EA}"/>
    <cellStyle name="SAPBEXexcCritical4 6 3" xfId="6662" xr:uid="{70FCA990-F1AC-4734-A54F-3F23E7A365AD}"/>
    <cellStyle name="SAPBEXexcCritical4 6 3 2" xfId="12104" xr:uid="{B8D160B4-7ADD-46A3-AFD5-9BA416E7A758}"/>
    <cellStyle name="SAPBEXexcCritical4 6 3 3" xfId="14167" xr:uid="{83BC01E3-E28B-40D9-932B-F780A73D11F4}"/>
    <cellStyle name="SAPBEXexcCritical4 6 4" xfId="9040" xr:uid="{626F187D-7731-45B2-A202-108C52BBBDB6}"/>
    <cellStyle name="SAPBEXexcCritical4 6 5" xfId="12770" xr:uid="{2312E2BD-267A-41AB-AADF-9527416F7590}"/>
    <cellStyle name="SAPBEXexcCritical4 7" xfId="4137" xr:uid="{54D662F8-B2B9-47E1-887C-250499F957B5}"/>
    <cellStyle name="SAPBEXexcCritical4 7 2" xfId="9587" xr:uid="{75F66A7C-ADCF-4259-8A51-DB46522B09D2}"/>
    <cellStyle name="SAPBEXexcCritical4 7 3" xfId="13216" xr:uid="{56CC178A-E6A2-4A81-A26B-98CC87698510}"/>
    <cellStyle name="SAPBEXexcCritical4 8" xfId="5580" xr:uid="{970D7342-D666-4153-9691-61E61C1960C4}"/>
    <cellStyle name="SAPBEXexcCritical4 8 2" xfId="11026" xr:uid="{192A83D5-CA26-4E5B-8741-CB7959FDD657}"/>
    <cellStyle name="SAPBEXexcCritical4 8 3" xfId="13263" xr:uid="{4D07466A-3541-4297-A68E-136047382ED2}"/>
    <cellStyle name="SAPBEXexcCritical4 9" xfId="7203" xr:uid="{0ADDCFC0-0DCA-4458-8D15-B05F75DF14F5}"/>
    <cellStyle name="SAPBEXexcCritical4_2014 CLEAResult Invoices" xfId="3189" xr:uid="{8D08BCA7-D6CB-4B9C-B6D3-05307AA5076D}"/>
    <cellStyle name="SAPBEXexcCritical5" xfId="257" xr:uid="{0DF46903-9198-4ECA-A945-B18F8DD12F64}"/>
    <cellStyle name="SAPBEXexcCritical5 10" xfId="9501" xr:uid="{2BA36A1C-03A0-4916-A181-1824C0D6C744}"/>
    <cellStyle name="SAPBEXexcCritical5 2" xfId="3191" xr:uid="{5B6F1C4E-6B53-43FE-8EFE-C80DBC2B48A9}"/>
    <cellStyle name="SAPBEXexcCritical5 2 10" xfId="8800" xr:uid="{1FE06A7E-580A-4732-A2F5-DBA7E7D81668}"/>
    <cellStyle name="SAPBEXexcCritical5 2 11" xfId="12655" xr:uid="{D560CE03-0A5B-4600-8B05-3D0F71CCA58E}"/>
    <cellStyle name="SAPBEXexcCritical5 2 2" xfId="3703" xr:uid="{B5D90D8D-2A98-4470-9C71-A86F56E470F7}"/>
    <cellStyle name="SAPBEXexcCritical5 2 2 2" xfId="6111" xr:uid="{FAFE02D0-E2E5-4E69-AB7E-3E2A5F7C1FB2}"/>
    <cellStyle name="SAPBEXexcCritical5 2 2 2 2" xfId="11553" xr:uid="{DBEBE8AA-22D4-489A-BE6C-B3A1D2B0449F}"/>
    <cellStyle name="SAPBEXexcCritical5 2 2 2 3" xfId="13630" xr:uid="{B6636272-64C2-4AC3-BA75-59DB732E3E7F}"/>
    <cellStyle name="SAPBEXexcCritical5 2 2 3" xfId="6795" xr:uid="{C96FBC67-3DB1-41D5-8042-5E4D648FE636}"/>
    <cellStyle name="SAPBEXexcCritical5 2 2 3 2" xfId="12237" xr:uid="{19A5BDD1-9D57-4CAC-9162-2BD76CAB9853}"/>
    <cellStyle name="SAPBEXexcCritical5 2 2 3 3" xfId="14292" xr:uid="{DAA87B59-DF0F-43B8-8996-A19AD8BF0018}"/>
    <cellStyle name="SAPBEXexcCritical5 2 2 4" xfId="9174" xr:uid="{75FD4211-C167-4730-9523-204BEFA541F4}"/>
    <cellStyle name="SAPBEXexcCritical5 2 2 5" xfId="12895" xr:uid="{2E7AC9D9-7D19-4113-8352-231F45EECC9E}"/>
    <cellStyle name="SAPBEXexcCritical5 2 3" xfId="3769" xr:uid="{6E62E935-7320-43C5-A35A-08092CA64370}"/>
    <cellStyle name="SAPBEXexcCritical5 2 3 2" xfId="6177" xr:uid="{7F4BAE00-F6F8-4907-8B4A-C694B2EC04C3}"/>
    <cellStyle name="SAPBEXexcCritical5 2 3 2 2" xfId="11619" xr:uid="{54269BED-9050-4E06-B2F9-A631B1CF2A7F}"/>
    <cellStyle name="SAPBEXexcCritical5 2 3 2 3" xfId="13694" xr:uid="{85F68C4E-9094-4EB7-B96E-D6BE2191E05B}"/>
    <cellStyle name="SAPBEXexcCritical5 2 3 3" xfId="6859" xr:uid="{C705E3C9-78F4-4680-8D06-15BF80F0AD63}"/>
    <cellStyle name="SAPBEXexcCritical5 2 3 3 2" xfId="12301" xr:uid="{DDE8025F-055F-40C6-80E3-8BBDFCB895BD}"/>
    <cellStyle name="SAPBEXexcCritical5 2 3 3 3" xfId="14354" xr:uid="{BF896E84-6E97-4DED-BB62-5CFC702FCE32}"/>
    <cellStyle name="SAPBEXexcCritical5 2 3 4" xfId="9240" xr:uid="{67CB7FD4-BFE6-46AF-9E75-CE08D61D9398}"/>
    <cellStyle name="SAPBEXexcCritical5 2 3 5" xfId="12957" xr:uid="{1FEED2E6-F4F3-4CB3-A85C-1EF2192C0A07}"/>
    <cellStyle name="SAPBEXexcCritical5 2 4" xfId="3835" xr:uid="{3F555F37-7EBC-446D-B46E-2861C17DA564}"/>
    <cellStyle name="SAPBEXexcCritical5 2 4 2" xfId="6242" xr:uid="{8AD105B0-B0F3-49B7-8390-395358E7C819}"/>
    <cellStyle name="SAPBEXexcCritical5 2 4 2 2" xfId="11684" xr:uid="{D5D26C05-71A5-4EA9-90A4-769206BBCE9B}"/>
    <cellStyle name="SAPBEXexcCritical5 2 4 2 3" xfId="13758" xr:uid="{485BBC0C-3C3E-47BA-9B55-F3940EEAD60F}"/>
    <cellStyle name="SAPBEXexcCritical5 2 4 3" xfId="6922" xr:uid="{F4A6ED8E-B11B-4B4E-9B62-6ED2FFDD8251}"/>
    <cellStyle name="SAPBEXexcCritical5 2 4 3 2" xfId="12364" xr:uid="{AC6893CF-CE5D-4BAB-BE0B-099FC1A036D0}"/>
    <cellStyle name="SAPBEXexcCritical5 2 4 3 3" xfId="14416" xr:uid="{A030F72A-333E-434D-85D9-9F82BC2E6F37}"/>
    <cellStyle name="SAPBEXexcCritical5 2 4 4" xfId="9305" xr:uid="{55C780A2-C0F8-4FD1-BF3E-C149AC9A4A1E}"/>
    <cellStyle name="SAPBEXexcCritical5 2 4 5" xfId="13019" xr:uid="{5B8A1CA9-309D-41FE-A039-7D3E800E7C3D}"/>
    <cellStyle name="SAPBEXexcCritical5 2 5" xfId="3920" xr:uid="{83F25238-1CC4-42C5-9CD4-8EE8CBA9522F}"/>
    <cellStyle name="SAPBEXexcCritical5 2 5 2" xfId="6325" xr:uid="{4BE6B75A-ECC7-4BDD-83CF-6D2F2D19F39F}"/>
    <cellStyle name="SAPBEXexcCritical5 2 5 2 2" xfId="11767" xr:uid="{6C9F3EA2-25FA-4630-92F5-41750B5CC7D6}"/>
    <cellStyle name="SAPBEXexcCritical5 2 5 2 3" xfId="13839" xr:uid="{12F7EF22-C469-41E1-9626-0D8BDE5620A7}"/>
    <cellStyle name="SAPBEXexcCritical5 2 5 3" xfId="7003" xr:uid="{E96C1D9B-D218-45EB-AD21-139332A4C0C2}"/>
    <cellStyle name="SAPBEXexcCritical5 2 5 3 2" xfId="12445" xr:uid="{D78DB1AB-8D9E-49CE-A214-5465EDAA105D}"/>
    <cellStyle name="SAPBEXexcCritical5 2 5 3 3" xfId="14495" xr:uid="{72DCF665-3820-4484-A068-6D5FDAB84C21}"/>
    <cellStyle name="SAPBEXexcCritical5 2 5 4" xfId="9388" xr:uid="{3B0B0BA0-9C71-49AC-868C-4A2DE5905A00}"/>
    <cellStyle name="SAPBEXexcCritical5 2 5 5" xfId="13098" xr:uid="{35F35CF0-93D7-41A8-9633-374FF9C7B605}"/>
    <cellStyle name="SAPBEXexcCritical5 2 6" xfId="3987" xr:uid="{CC5474FE-E067-4BAD-ACCE-DF807F9F7EB9}"/>
    <cellStyle name="SAPBEXexcCritical5 2 6 2" xfId="6390" xr:uid="{BFE1096B-93DC-4172-842A-460FCDB002FF}"/>
    <cellStyle name="SAPBEXexcCritical5 2 6 2 2" xfId="11832" xr:uid="{7DC6161E-0431-4109-B0D3-E2ABB695C10B}"/>
    <cellStyle name="SAPBEXexcCritical5 2 6 2 3" xfId="13903" xr:uid="{5CA9720F-4958-4316-8159-09D75A84D61D}"/>
    <cellStyle name="SAPBEXexcCritical5 2 6 3" xfId="7066" xr:uid="{F2F82741-F2CF-4ED7-AAE8-C097CC71BA12}"/>
    <cellStyle name="SAPBEXexcCritical5 2 6 3 2" xfId="12508" xr:uid="{B0A211CB-DF59-4AE8-AEFE-B9C0451D2C02}"/>
    <cellStyle name="SAPBEXexcCritical5 2 6 3 3" xfId="14557" xr:uid="{02DBDBAF-514F-47D7-9DBE-0CD0D1D4B3EC}"/>
    <cellStyle name="SAPBEXexcCritical5 2 6 4" xfId="9453" xr:uid="{A461989F-4D78-44D7-8290-0F103AC2F054}"/>
    <cellStyle name="SAPBEXexcCritical5 2 6 5" xfId="13160" xr:uid="{EE3E5B72-4C9F-4CF0-988A-28FD8A22AE55}"/>
    <cellStyle name="SAPBEXexcCritical5 2 7" xfId="3621" xr:uid="{241F219F-DDFA-49A6-BA31-D609F1485CD2}"/>
    <cellStyle name="SAPBEXexcCritical5 2 7 2" xfId="6030" xr:uid="{E621F7D4-E39F-4654-9244-812AFFC374FD}"/>
    <cellStyle name="SAPBEXexcCritical5 2 7 2 2" xfId="11472" xr:uid="{C0D428BD-7DFF-45B1-9ADD-0B402A69F7A9}"/>
    <cellStyle name="SAPBEXexcCritical5 2 7 2 3" xfId="13554" xr:uid="{220FE639-BF62-404C-9572-1CD5933FD600}"/>
    <cellStyle name="SAPBEXexcCritical5 2 7 3" xfId="6714" xr:uid="{8C54D54A-8092-4BD4-A4F7-BC3127C02065}"/>
    <cellStyle name="SAPBEXexcCritical5 2 7 3 2" xfId="12156" xr:uid="{550551B9-00A6-488D-9785-00305F5A4932}"/>
    <cellStyle name="SAPBEXexcCritical5 2 7 3 3" xfId="14216" xr:uid="{AA5041C1-7ED5-4F85-AD1C-685C4B47629B}"/>
    <cellStyle name="SAPBEXexcCritical5 2 7 4" xfId="9093" xr:uid="{2A7F8611-C544-42C3-A805-B003F1C85CD8}"/>
    <cellStyle name="SAPBEXexcCritical5 2 7 5" xfId="12819" xr:uid="{4F566DA1-D307-410C-A65A-A975E9FA8822}"/>
    <cellStyle name="SAPBEXexcCritical5 2 8" xfId="5744" xr:uid="{84E040F5-D9D2-4549-8E7C-09FC266E7D4D}"/>
    <cellStyle name="SAPBEXexcCritical5 2 8 2" xfId="11186" xr:uid="{9D692B63-C24F-4967-8985-6DB9B20FE909}"/>
    <cellStyle name="SAPBEXexcCritical5 2 8 3" xfId="13390" xr:uid="{62BC7A7A-1DE7-47C1-9C5A-0897C0E53B84}"/>
    <cellStyle name="SAPBEXexcCritical5 2 9" xfId="6542" xr:uid="{E9B74C70-5DAC-4F8E-8836-6694AC9D476F}"/>
    <cellStyle name="SAPBEXexcCritical5 2 9 2" xfId="11984" xr:uid="{C65F3F78-8602-4D48-BF23-E90C63E17E47}"/>
    <cellStyle name="SAPBEXexcCritical5 2 9 3" xfId="14052" xr:uid="{15D8EAD3-D37B-49F6-B6D2-8EC16BD05B98}"/>
    <cellStyle name="SAPBEXexcCritical5 3" xfId="3190" xr:uid="{BB821B82-AA60-4C4C-9B73-0BB059D53F28}"/>
    <cellStyle name="SAPBEXexcCritical5 3 10" xfId="12654" xr:uid="{9E09C6E7-4766-42BC-8E6F-9A6E6F166138}"/>
    <cellStyle name="SAPBEXexcCritical5 3 2" xfId="3787" xr:uid="{CA75D705-1296-46FD-82E4-68095297AFC6}"/>
    <cellStyle name="SAPBEXexcCritical5 3 2 2" xfId="6195" xr:uid="{5074F0A5-75D2-4472-A7F8-71A2E29F4399}"/>
    <cellStyle name="SAPBEXexcCritical5 3 2 2 2" xfId="11637" xr:uid="{2ABFAC82-9AA4-40F5-B93C-409E96A62962}"/>
    <cellStyle name="SAPBEXexcCritical5 3 2 2 3" xfId="13712" xr:uid="{750FBAF6-DFDE-4599-B61E-E10173011BD1}"/>
    <cellStyle name="SAPBEXexcCritical5 3 2 3" xfId="6877" xr:uid="{58D05A12-7D1E-43DC-9B9B-74194487D18C}"/>
    <cellStyle name="SAPBEXexcCritical5 3 2 3 2" xfId="12319" xr:uid="{41CDE30A-D882-413D-AC28-3C1274E14D94}"/>
    <cellStyle name="SAPBEXexcCritical5 3 2 3 3" xfId="14372" xr:uid="{1D374593-A907-44EC-A6D4-F95015512187}"/>
    <cellStyle name="SAPBEXexcCritical5 3 2 4" xfId="9258" xr:uid="{9E9594A6-A4B5-4942-B2A2-310BF41EE934}"/>
    <cellStyle name="SAPBEXexcCritical5 3 2 5" xfId="12975" xr:uid="{07936F93-636A-470A-95B2-4B1659A0A070}"/>
    <cellStyle name="SAPBEXexcCritical5 3 3" xfId="3853" xr:uid="{374DF6E6-42AD-4AD4-866B-5FC4F6787417}"/>
    <cellStyle name="SAPBEXexcCritical5 3 3 2" xfId="6260" xr:uid="{4E4D52E8-6995-4B36-8825-A9FCB9F24416}"/>
    <cellStyle name="SAPBEXexcCritical5 3 3 2 2" xfId="11702" xr:uid="{C48E2767-BF41-4401-93A2-6DF0243557DF}"/>
    <cellStyle name="SAPBEXexcCritical5 3 3 2 3" xfId="13776" xr:uid="{FA74E629-D850-46BE-B332-33D2D7FAB509}"/>
    <cellStyle name="SAPBEXexcCritical5 3 3 3" xfId="6940" xr:uid="{ED8BA265-DBD0-47B0-A5B0-D5A04CFF96D3}"/>
    <cellStyle name="SAPBEXexcCritical5 3 3 3 2" xfId="12382" xr:uid="{FD5FCC0A-C93A-4B8C-99E8-2BC34EB972A0}"/>
    <cellStyle name="SAPBEXexcCritical5 3 3 3 3" xfId="14434" xr:uid="{5A1C0C15-FF0C-4DC6-9547-B83FD4E881F9}"/>
    <cellStyle name="SAPBEXexcCritical5 3 3 4" xfId="9323" xr:uid="{9C531B4A-ACF6-41F5-95FB-9CD13C514571}"/>
    <cellStyle name="SAPBEXexcCritical5 3 3 5" xfId="13037" xr:uid="{416A44B9-27EE-4DF5-92F6-527D4F4433BC}"/>
    <cellStyle name="SAPBEXexcCritical5 3 4" xfId="3938" xr:uid="{BAB6199E-AC79-4E25-873B-0B138DF93196}"/>
    <cellStyle name="SAPBEXexcCritical5 3 4 2" xfId="6343" xr:uid="{8A6FCBC7-99BB-4A63-9EE2-00F2FADD1B8B}"/>
    <cellStyle name="SAPBEXexcCritical5 3 4 2 2" xfId="11785" xr:uid="{FD8DCD50-AF65-4F8C-8F24-AA8BA6BCA650}"/>
    <cellStyle name="SAPBEXexcCritical5 3 4 2 3" xfId="13857" xr:uid="{DB0A0070-DCE9-40D2-B740-B2A5F8453D6A}"/>
    <cellStyle name="SAPBEXexcCritical5 3 4 3" xfId="7021" xr:uid="{44A3BD85-07AD-4D58-9DEC-0F5343D499F0}"/>
    <cellStyle name="SAPBEXexcCritical5 3 4 3 2" xfId="12463" xr:uid="{15213C8B-D238-485A-BF24-D6D0ED5451AB}"/>
    <cellStyle name="SAPBEXexcCritical5 3 4 3 3" xfId="14513" xr:uid="{07F4ECC7-2FC8-472A-8D2F-20D37196E9D9}"/>
    <cellStyle name="SAPBEXexcCritical5 3 4 4" xfId="9406" xr:uid="{F403EFF3-F75A-4146-B94E-20385E1BE1BC}"/>
    <cellStyle name="SAPBEXexcCritical5 3 4 5" xfId="13116" xr:uid="{78F48DA1-7041-4BBC-9044-41B4F7CF781C}"/>
    <cellStyle name="SAPBEXexcCritical5 3 5" xfId="4005" xr:uid="{420517E2-12F4-433B-830B-E044CD077110}"/>
    <cellStyle name="SAPBEXexcCritical5 3 5 2" xfId="6408" xr:uid="{13DDC62E-CDE6-4E75-8282-B324CDFEF81B}"/>
    <cellStyle name="SAPBEXexcCritical5 3 5 2 2" xfId="11850" xr:uid="{E058E2BD-09D4-46F3-9755-4719AC5FAD74}"/>
    <cellStyle name="SAPBEXexcCritical5 3 5 2 3" xfId="13921" xr:uid="{F2463C73-8E14-4936-9C55-5EC9BEBC2140}"/>
    <cellStyle name="SAPBEXexcCritical5 3 5 3" xfId="7084" xr:uid="{B3F92BA2-CF03-4207-8740-5B2287B44A08}"/>
    <cellStyle name="SAPBEXexcCritical5 3 5 3 2" xfId="12526" xr:uid="{29176268-8FC3-4FEF-90C9-63294EDE10FE}"/>
    <cellStyle name="SAPBEXexcCritical5 3 5 3 3" xfId="14575" xr:uid="{E2A9AAE1-DD1A-49D0-B430-D24BB4520818}"/>
    <cellStyle name="SAPBEXexcCritical5 3 5 4" xfId="9471" xr:uid="{64C91885-A988-4515-87A7-9BFEFD38325D}"/>
    <cellStyle name="SAPBEXexcCritical5 3 5 5" xfId="13178" xr:uid="{6A29B717-08CE-4481-854C-FD2C479C2652}"/>
    <cellStyle name="SAPBEXexcCritical5 3 6" xfId="3721" xr:uid="{F3C39552-DE2E-4746-A34D-6091D6F9ECD5}"/>
    <cellStyle name="SAPBEXexcCritical5 3 6 2" xfId="6129" xr:uid="{608A73B7-39B3-48BC-B5C6-00DC3FA785EB}"/>
    <cellStyle name="SAPBEXexcCritical5 3 6 2 2" xfId="11571" xr:uid="{1315DC05-3B88-4805-8E75-0250AA785D56}"/>
    <cellStyle name="SAPBEXexcCritical5 3 6 2 3" xfId="13648" xr:uid="{B5C81133-3CB8-4A7D-8A7E-1776F665743F}"/>
    <cellStyle name="SAPBEXexcCritical5 3 6 3" xfId="6813" xr:uid="{55CA4472-2E9D-47A2-9396-ECD9CED0BD78}"/>
    <cellStyle name="SAPBEXexcCritical5 3 6 3 2" xfId="12255" xr:uid="{6B194C7E-26B9-4BE7-9990-D93A8BC5CEC9}"/>
    <cellStyle name="SAPBEXexcCritical5 3 6 3 3" xfId="14310" xr:uid="{DB883AD9-054B-4E0C-9BB7-7158DF4CE74F}"/>
    <cellStyle name="SAPBEXexcCritical5 3 6 4" xfId="9192" xr:uid="{4E7D0AAB-5E1D-469A-856F-7D71A004415B}"/>
    <cellStyle name="SAPBEXexcCritical5 3 6 5" xfId="12913" xr:uid="{B611A7A1-C843-42BB-8718-562544D27CD2}"/>
    <cellStyle name="SAPBEXexcCritical5 3 7" xfId="5743" xr:uid="{D30F9458-CF81-4C03-ACEA-59659743FF6F}"/>
    <cellStyle name="SAPBEXexcCritical5 3 7 2" xfId="11185" xr:uid="{5D8281F8-297D-49C5-B156-418FF3DDA1D0}"/>
    <cellStyle name="SAPBEXexcCritical5 3 7 3" xfId="13389" xr:uid="{80091FF0-6486-412F-9F57-4F008D532DEF}"/>
    <cellStyle name="SAPBEXexcCritical5 3 8" xfId="6541" xr:uid="{66720843-E423-4B60-9F5D-56E8A77B5D50}"/>
    <cellStyle name="SAPBEXexcCritical5 3 8 2" xfId="11983" xr:uid="{CF3F6C27-B60F-4F0F-9F67-3F048D1AF828}"/>
    <cellStyle name="SAPBEXexcCritical5 3 8 3" xfId="14051" xr:uid="{48E0F311-E2B7-4B1D-BBDF-6B0867F94171}"/>
    <cellStyle name="SAPBEXexcCritical5 3 9" xfId="8799" xr:uid="{0AD46AAE-135B-4209-A854-525B5FFE0293}"/>
    <cellStyle name="SAPBEXexcCritical5 4" xfId="3635" xr:uid="{8D2BD1D0-2CC2-472C-8D98-59A6D69CD8D6}"/>
    <cellStyle name="SAPBEXexcCritical5 4 2" xfId="6044" xr:uid="{5C1F8723-CC14-43E3-92E7-508170CB0D5C}"/>
    <cellStyle name="SAPBEXexcCritical5 4 2 2" xfId="11486" xr:uid="{3A6B0DFC-1B14-4B71-BF3F-8561494553E9}"/>
    <cellStyle name="SAPBEXexcCritical5 4 2 3" xfId="13568" xr:uid="{ACABE193-DABD-4D02-A0A5-91435562A67A}"/>
    <cellStyle name="SAPBEXexcCritical5 4 3" xfId="6728" xr:uid="{F054FD6A-9074-4FA9-9346-BB1FC9EC7989}"/>
    <cellStyle name="SAPBEXexcCritical5 4 3 2" xfId="12170" xr:uid="{90761F25-1370-4130-B51F-64CDD493E4AC}"/>
    <cellStyle name="SAPBEXexcCritical5 4 3 3" xfId="14230" xr:uid="{0FABE8DC-44DC-4D2D-A55E-009DC5CB2DD4}"/>
    <cellStyle name="SAPBEXexcCritical5 4 4" xfId="9107" xr:uid="{B7AA63FA-7869-4F00-A762-8A9C6FAFE202}"/>
    <cellStyle name="SAPBEXexcCritical5 4 5" xfId="12833" xr:uid="{6A11A34A-8002-4FB9-B8F2-937D06761659}"/>
    <cellStyle name="SAPBEXexcCritical5 5" xfId="3641" xr:uid="{030BD6FB-D00F-43D7-9EE9-D08D3B5A5C34}"/>
    <cellStyle name="SAPBEXexcCritical5 5 2" xfId="6050" xr:uid="{AD275190-7B52-46A9-8005-5F63F9CB476A}"/>
    <cellStyle name="SAPBEXexcCritical5 5 2 2" xfId="11492" xr:uid="{3E00EF90-6CAD-4C8F-862B-A11AF32169BA}"/>
    <cellStyle name="SAPBEXexcCritical5 5 2 3" xfId="13574" xr:uid="{5E139D6D-063A-4F1B-A39B-8ED5C0ED6337}"/>
    <cellStyle name="SAPBEXexcCritical5 5 3" xfId="6734" xr:uid="{7380529E-0BC8-4726-91C1-328A6ABF463A}"/>
    <cellStyle name="SAPBEXexcCritical5 5 3 2" xfId="12176" xr:uid="{E4C7F0F4-E5B3-4221-986F-D256525F8EC8}"/>
    <cellStyle name="SAPBEXexcCritical5 5 3 3" xfId="14236" xr:uid="{63D3AF1B-D858-44CC-8B3B-FF6631A743EA}"/>
    <cellStyle name="SAPBEXexcCritical5 5 4" xfId="9113" xr:uid="{C5E9C985-6166-4C34-822B-383A7772A982}"/>
    <cellStyle name="SAPBEXexcCritical5 5 5" xfId="12839" xr:uid="{2C31A53C-2F80-4CBF-8B9F-ADFE1605CFD0}"/>
    <cellStyle name="SAPBEXexcCritical5 6" xfId="3569" xr:uid="{767549A9-13F1-4703-BC54-F80F559E3827}"/>
    <cellStyle name="SAPBEXexcCritical5 6 2" xfId="5980" xr:uid="{F773BA98-C6FE-4D2C-89B7-81530A6AA016}"/>
    <cellStyle name="SAPBEXexcCritical5 6 2 2" xfId="11422" xr:uid="{6CCA79EC-7552-4AF9-835A-767B8AE2C7D3}"/>
    <cellStyle name="SAPBEXexcCritical5 6 2 3" xfId="13507" xr:uid="{D8092CD9-4855-4122-A9C6-04D5E1EEE959}"/>
    <cellStyle name="SAPBEXexcCritical5 6 3" xfId="6663" xr:uid="{68AA15CB-2C48-4850-BE45-39B5791217AE}"/>
    <cellStyle name="SAPBEXexcCritical5 6 3 2" xfId="12105" xr:uid="{CAB3D887-4269-4113-A0A3-03E29F9F456A}"/>
    <cellStyle name="SAPBEXexcCritical5 6 3 3" xfId="14168" xr:uid="{6E86EF21-0F6E-4903-B756-BA68C423388C}"/>
    <cellStyle name="SAPBEXexcCritical5 6 4" xfId="9041" xr:uid="{D2CA8A67-46E0-4151-8A83-B242A5FE09E3}"/>
    <cellStyle name="SAPBEXexcCritical5 6 5" xfId="12771" xr:uid="{9D9561A8-5F8A-4A49-BBFB-E8C3FF370C2F}"/>
    <cellStyle name="SAPBEXexcCritical5 7" xfId="4138" xr:uid="{0B9BE42C-EC89-446F-A0FF-E18180D90794}"/>
    <cellStyle name="SAPBEXexcCritical5 7 2" xfId="9588" xr:uid="{CC5AB898-837D-4E48-9299-F17C3A53F5E4}"/>
    <cellStyle name="SAPBEXexcCritical5 7 3" xfId="13217" xr:uid="{04843C3B-7778-4D14-9B14-6604D5E867AA}"/>
    <cellStyle name="SAPBEXexcCritical5 8" xfId="4122" xr:uid="{CCC4A833-B3EC-4015-962D-8B194B677F49}"/>
    <cellStyle name="SAPBEXexcCritical5 8 2" xfId="9572" xr:uid="{C3F11A35-63AB-4068-A444-0BF4A19693A3}"/>
    <cellStyle name="SAPBEXexcCritical5 8 3" xfId="13208" xr:uid="{5D6F861E-6D92-4FB2-8E2B-8FFE7C0AE9F0}"/>
    <cellStyle name="SAPBEXexcCritical5 9" xfId="7204" xr:uid="{019A732D-1D2A-4C3F-8CE0-A2742F5FB37B}"/>
    <cellStyle name="SAPBEXexcCritical5_2014 CLEAResult Invoices" xfId="3192" xr:uid="{3D87E322-4A59-4FA5-B2A8-4C6E1FBAAC3A}"/>
    <cellStyle name="SAPBEXexcCritical6" xfId="258" xr:uid="{EB2ACA9B-CCD9-4B2D-A280-EA0C403021D2}"/>
    <cellStyle name="SAPBEXexcCritical6 10" xfId="9502" xr:uid="{207D111E-FBC9-4ABB-B81C-5FF74B9558CA}"/>
    <cellStyle name="SAPBEXexcCritical6 2" xfId="3194" xr:uid="{3D5E75AD-D55E-4318-BC90-9484145BF876}"/>
    <cellStyle name="SAPBEXexcCritical6 2 10" xfId="8802" xr:uid="{3FA0B4FC-3BDF-4911-93B9-0515543E8EA9}"/>
    <cellStyle name="SAPBEXexcCritical6 2 11" xfId="12657" xr:uid="{4F7C0F30-D6FC-4D82-9198-4F0AB542CDFF}"/>
    <cellStyle name="SAPBEXexcCritical6 2 2" xfId="3702" xr:uid="{445A2BE3-1AB5-4782-A694-045501A5A88E}"/>
    <cellStyle name="SAPBEXexcCritical6 2 2 2" xfId="6110" xr:uid="{62A7B8CD-3D78-4D7A-80BC-D24B7CF186C1}"/>
    <cellStyle name="SAPBEXexcCritical6 2 2 2 2" xfId="11552" xr:uid="{795CDE9F-D834-45E0-978B-A2077C881FBC}"/>
    <cellStyle name="SAPBEXexcCritical6 2 2 2 3" xfId="13629" xr:uid="{721DAA3C-A8A3-4D6F-AD5A-1EB3D76EAD3F}"/>
    <cellStyle name="SAPBEXexcCritical6 2 2 3" xfId="6794" xr:uid="{EBCAC9DE-FE05-4636-A36A-45A17B4C81A3}"/>
    <cellStyle name="SAPBEXexcCritical6 2 2 3 2" xfId="12236" xr:uid="{62180BCF-FEAA-4E03-A509-B2EC18AD17E9}"/>
    <cellStyle name="SAPBEXexcCritical6 2 2 3 3" xfId="14291" xr:uid="{6A80E497-2CB7-4025-BF32-D97E2DE702E7}"/>
    <cellStyle name="SAPBEXexcCritical6 2 2 4" xfId="9173" xr:uid="{6FC431D1-931C-41C8-A388-9A9BF403840B}"/>
    <cellStyle name="SAPBEXexcCritical6 2 2 5" xfId="12894" xr:uid="{24B8D495-9764-4371-87CF-3736A5BF44D4}"/>
    <cellStyle name="SAPBEXexcCritical6 2 3" xfId="3768" xr:uid="{D08EB72B-672D-4DCB-8A21-EE84626CB7E0}"/>
    <cellStyle name="SAPBEXexcCritical6 2 3 2" xfId="6176" xr:uid="{AC2FCB1E-FDD4-4406-9661-491CC95068FA}"/>
    <cellStyle name="SAPBEXexcCritical6 2 3 2 2" xfId="11618" xr:uid="{92BFE1BE-EC08-4227-9CDD-A9B91385050B}"/>
    <cellStyle name="SAPBEXexcCritical6 2 3 2 3" xfId="13693" xr:uid="{92010EC5-4587-4AAF-94D3-EEC95D0D2838}"/>
    <cellStyle name="SAPBEXexcCritical6 2 3 3" xfId="6858" xr:uid="{0C7949FA-3639-4635-AA2A-1F3F01145175}"/>
    <cellStyle name="SAPBEXexcCritical6 2 3 3 2" xfId="12300" xr:uid="{96472CC5-30C8-476C-A7F0-0E5484A79F71}"/>
    <cellStyle name="SAPBEXexcCritical6 2 3 3 3" xfId="14353" xr:uid="{09B008B2-36FF-4E70-8168-0753E6829ACE}"/>
    <cellStyle name="SAPBEXexcCritical6 2 3 4" xfId="9239" xr:uid="{6554D2DE-D0AA-448D-956E-C2B3E10A2EEF}"/>
    <cellStyle name="SAPBEXexcCritical6 2 3 5" xfId="12956" xr:uid="{C8D49007-9B1D-4E9D-B9A7-17C7ACE1F147}"/>
    <cellStyle name="SAPBEXexcCritical6 2 4" xfId="3834" xr:uid="{85C408C9-1DF6-493C-B3E6-45842BE2CE9B}"/>
    <cellStyle name="SAPBEXexcCritical6 2 4 2" xfId="6241" xr:uid="{CA6B1F34-4E16-464B-A0FE-E386AD53DF54}"/>
    <cellStyle name="SAPBEXexcCritical6 2 4 2 2" xfId="11683" xr:uid="{81B14AAA-0300-49C4-AB34-2A8FC135AC52}"/>
    <cellStyle name="SAPBEXexcCritical6 2 4 2 3" xfId="13757" xr:uid="{FF149672-2945-4B00-B390-DAB614A43469}"/>
    <cellStyle name="SAPBEXexcCritical6 2 4 3" xfId="6921" xr:uid="{A067C409-9A62-4397-8260-E6D90BCFE0B2}"/>
    <cellStyle name="SAPBEXexcCritical6 2 4 3 2" xfId="12363" xr:uid="{F64943F4-A28F-46D9-8784-41EC03B83FEA}"/>
    <cellStyle name="SAPBEXexcCritical6 2 4 3 3" xfId="14415" xr:uid="{39A39C72-CEB9-46E1-933C-12197207DC71}"/>
    <cellStyle name="SAPBEXexcCritical6 2 4 4" xfId="9304" xr:uid="{8BE003A0-7104-44C1-974E-8F2E2EA90DBF}"/>
    <cellStyle name="SAPBEXexcCritical6 2 4 5" xfId="13018" xr:uid="{F342A02C-B8A7-4655-903C-65167DADEA17}"/>
    <cellStyle name="SAPBEXexcCritical6 2 5" xfId="3919" xr:uid="{15DECA44-8AB3-4EEF-A206-3B13B6CE9579}"/>
    <cellStyle name="SAPBEXexcCritical6 2 5 2" xfId="6324" xr:uid="{235C353E-B393-42EA-BF68-9804AF64D7EC}"/>
    <cellStyle name="SAPBEXexcCritical6 2 5 2 2" xfId="11766" xr:uid="{95D7BD4F-371B-40B5-B9FD-331073C4C81E}"/>
    <cellStyle name="SAPBEXexcCritical6 2 5 2 3" xfId="13838" xr:uid="{6A56EF0A-A425-49F3-99C7-7079ABE370E4}"/>
    <cellStyle name="SAPBEXexcCritical6 2 5 3" xfId="7002" xr:uid="{46EE8329-BEDD-45D1-A144-2F88B0E8FE9A}"/>
    <cellStyle name="SAPBEXexcCritical6 2 5 3 2" xfId="12444" xr:uid="{6CA55FB7-2C4F-4C9C-8120-028819D3FE88}"/>
    <cellStyle name="SAPBEXexcCritical6 2 5 3 3" xfId="14494" xr:uid="{980987CD-45BD-43F5-AF4E-2537037E38CB}"/>
    <cellStyle name="SAPBEXexcCritical6 2 5 4" xfId="9387" xr:uid="{E441B433-289E-4DFF-A048-1BFC0A1E566C}"/>
    <cellStyle name="SAPBEXexcCritical6 2 5 5" xfId="13097" xr:uid="{50E23D96-2E0A-4F91-8E76-6ABA7A62AF0D}"/>
    <cellStyle name="SAPBEXexcCritical6 2 6" xfId="3986" xr:uid="{98F2FC4C-5DC4-424A-B5FC-016367ADCE2E}"/>
    <cellStyle name="SAPBEXexcCritical6 2 6 2" xfId="6389" xr:uid="{2EA7CB59-17F3-47C9-B250-0DDBFF211531}"/>
    <cellStyle name="SAPBEXexcCritical6 2 6 2 2" xfId="11831" xr:uid="{1E386AFF-8270-4FB6-9DA2-431D9BCB4265}"/>
    <cellStyle name="SAPBEXexcCritical6 2 6 2 3" xfId="13902" xr:uid="{E84E5776-CB99-4D4C-8E28-0E6E61ADD47A}"/>
    <cellStyle name="SAPBEXexcCritical6 2 6 3" xfId="7065" xr:uid="{C3A1F390-924D-460E-809F-752E4DE5D31F}"/>
    <cellStyle name="SAPBEXexcCritical6 2 6 3 2" xfId="12507" xr:uid="{2B056E9C-FABE-4987-B61B-DB4CA69C3801}"/>
    <cellStyle name="SAPBEXexcCritical6 2 6 3 3" xfId="14556" xr:uid="{AAAF9F40-4CDF-476B-BB6D-80323955725E}"/>
    <cellStyle name="SAPBEXexcCritical6 2 6 4" xfId="9452" xr:uid="{74E7355F-A433-48D4-A85C-CA3E6E1713F0}"/>
    <cellStyle name="SAPBEXexcCritical6 2 6 5" xfId="13159" xr:uid="{2B5BBBA5-E41A-404D-9106-E7999324B791}"/>
    <cellStyle name="SAPBEXexcCritical6 2 7" xfId="3620" xr:uid="{ACA43CFA-B73A-4396-B3B3-CCC8C78C72AA}"/>
    <cellStyle name="SAPBEXexcCritical6 2 7 2" xfId="6029" xr:uid="{ED07468E-BCD5-4B3A-B554-F34A11E141B1}"/>
    <cellStyle name="SAPBEXexcCritical6 2 7 2 2" xfId="11471" xr:uid="{A54496FF-8838-42A7-8C67-D0892A2E9A02}"/>
    <cellStyle name="SAPBEXexcCritical6 2 7 2 3" xfId="13553" xr:uid="{E682038B-610A-4A58-BC51-C469876A1787}"/>
    <cellStyle name="SAPBEXexcCritical6 2 7 3" xfId="6713" xr:uid="{6FFF2F02-A480-4819-A491-7531073CF75D}"/>
    <cellStyle name="SAPBEXexcCritical6 2 7 3 2" xfId="12155" xr:uid="{748AD2C9-3AEE-4B3C-A08A-2D433B1610E6}"/>
    <cellStyle name="SAPBEXexcCritical6 2 7 3 3" xfId="14215" xr:uid="{0A981516-9729-4FEC-AFC0-34BBBF893562}"/>
    <cellStyle name="SAPBEXexcCritical6 2 7 4" xfId="9092" xr:uid="{7AC7C37C-9BC2-4ADB-AC07-48A3655E4588}"/>
    <cellStyle name="SAPBEXexcCritical6 2 7 5" xfId="12818" xr:uid="{EABB5221-D72D-4AEB-A99E-ABFCFA95F2CA}"/>
    <cellStyle name="SAPBEXexcCritical6 2 8" xfId="5746" xr:uid="{864C1FA3-8586-4819-B7C2-C0E93B10525B}"/>
    <cellStyle name="SAPBEXexcCritical6 2 8 2" xfId="11188" xr:uid="{0B78B96E-82A4-4B6A-874A-E487E98D1FE0}"/>
    <cellStyle name="SAPBEXexcCritical6 2 8 3" xfId="13392" xr:uid="{76414AF1-5961-45AA-B89F-6322F717711D}"/>
    <cellStyle name="SAPBEXexcCritical6 2 9" xfId="6544" xr:uid="{D5A75B34-DC50-4C99-A8AD-ED112B5E24FD}"/>
    <cellStyle name="SAPBEXexcCritical6 2 9 2" xfId="11986" xr:uid="{BC336E77-3424-4FEF-BC34-B17AE03E34CC}"/>
    <cellStyle name="SAPBEXexcCritical6 2 9 3" xfId="14054" xr:uid="{D49E15A3-8925-4549-9BE1-1C8CE4E459DE}"/>
    <cellStyle name="SAPBEXexcCritical6 3" xfId="3193" xr:uid="{5A8F8D44-493C-4A85-AF3A-9135ADA5D8FD}"/>
    <cellStyle name="SAPBEXexcCritical6 3 10" xfId="12656" xr:uid="{3A7F9BC6-F09C-4FAB-B9B7-319A472970B5}"/>
    <cellStyle name="SAPBEXexcCritical6 3 2" xfId="3788" xr:uid="{2715D966-DAE8-43AD-92B7-1316E3F6D522}"/>
    <cellStyle name="SAPBEXexcCritical6 3 2 2" xfId="6196" xr:uid="{49AFC4C4-F099-4259-9AF1-2AF9EC5ABC37}"/>
    <cellStyle name="SAPBEXexcCritical6 3 2 2 2" xfId="11638" xr:uid="{9F06420B-08F0-4E67-9634-FAD8D636E40F}"/>
    <cellStyle name="SAPBEXexcCritical6 3 2 2 3" xfId="13713" xr:uid="{DA0CDDDD-EFE4-4E10-83A3-C541E09235CB}"/>
    <cellStyle name="SAPBEXexcCritical6 3 2 3" xfId="6878" xr:uid="{24D37D57-19DB-4161-AF12-6C4FAEA17C4D}"/>
    <cellStyle name="SAPBEXexcCritical6 3 2 3 2" xfId="12320" xr:uid="{BE4C6682-8919-4198-8871-FCCCF03BE52E}"/>
    <cellStyle name="SAPBEXexcCritical6 3 2 3 3" xfId="14373" xr:uid="{5F3ECFBC-DE47-444F-AD34-7831C1586A76}"/>
    <cellStyle name="SAPBEXexcCritical6 3 2 4" xfId="9259" xr:uid="{B381CB9A-1001-47C6-A11C-81662C4DC686}"/>
    <cellStyle name="SAPBEXexcCritical6 3 2 5" xfId="12976" xr:uid="{599D2FDC-8236-4415-B228-AE271A7F2B76}"/>
    <cellStyle name="SAPBEXexcCritical6 3 3" xfId="3854" xr:uid="{F8998498-53D2-4081-9815-EDA996E251C4}"/>
    <cellStyle name="SAPBEXexcCritical6 3 3 2" xfId="6261" xr:uid="{DFFF5193-69D7-4A2D-8AB1-32CDDA128F76}"/>
    <cellStyle name="SAPBEXexcCritical6 3 3 2 2" xfId="11703" xr:uid="{D01AE1A7-A155-4092-954A-2D76442952A6}"/>
    <cellStyle name="SAPBEXexcCritical6 3 3 2 3" xfId="13777" xr:uid="{2455926E-7819-45B6-9D10-9B8C93D327D9}"/>
    <cellStyle name="SAPBEXexcCritical6 3 3 3" xfId="6941" xr:uid="{1762ACF9-709A-447F-9DD4-139CE19C04B5}"/>
    <cellStyle name="SAPBEXexcCritical6 3 3 3 2" xfId="12383" xr:uid="{DB4D43B3-352B-4E9E-AC89-532AF04C0FDE}"/>
    <cellStyle name="SAPBEXexcCritical6 3 3 3 3" xfId="14435" xr:uid="{741C018C-7A5B-4CFC-9333-BA47CBB85B6C}"/>
    <cellStyle name="SAPBEXexcCritical6 3 3 4" xfId="9324" xr:uid="{8A543856-F58F-4B2F-9697-593A1A1F0F24}"/>
    <cellStyle name="SAPBEXexcCritical6 3 3 5" xfId="13038" xr:uid="{E5141F79-CA33-4B3E-9179-5513A693287F}"/>
    <cellStyle name="SAPBEXexcCritical6 3 4" xfId="3939" xr:uid="{668EC1A8-94BE-4A87-BECB-6BA48C01AD99}"/>
    <cellStyle name="SAPBEXexcCritical6 3 4 2" xfId="6344" xr:uid="{0FE23320-9DBD-43B7-9A37-4668CB721312}"/>
    <cellStyle name="SAPBEXexcCritical6 3 4 2 2" xfId="11786" xr:uid="{6E51F639-D978-47C8-8C05-11A911D27340}"/>
    <cellStyle name="SAPBEXexcCritical6 3 4 2 3" xfId="13858" xr:uid="{1415887D-7A45-45DF-9C02-1CAF22404E69}"/>
    <cellStyle name="SAPBEXexcCritical6 3 4 3" xfId="7022" xr:uid="{B585A792-5BF5-41B0-9A14-719CAAA5D34B}"/>
    <cellStyle name="SAPBEXexcCritical6 3 4 3 2" xfId="12464" xr:uid="{44EA578D-9F83-4653-8204-A65D423D5C02}"/>
    <cellStyle name="SAPBEXexcCritical6 3 4 3 3" xfId="14514" xr:uid="{EF8BB9F4-972E-4C2A-9A65-56E5BEE72664}"/>
    <cellStyle name="SAPBEXexcCritical6 3 4 4" xfId="9407" xr:uid="{71C41DF1-0D1F-446D-9038-B0F68CEB0BCA}"/>
    <cellStyle name="SAPBEXexcCritical6 3 4 5" xfId="13117" xr:uid="{89876FA4-4B06-4487-B40B-343FB7869A76}"/>
    <cellStyle name="SAPBEXexcCritical6 3 5" xfId="4006" xr:uid="{EE6A99C7-ECAB-46E3-B7CB-8371312541D2}"/>
    <cellStyle name="SAPBEXexcCritical6 3 5 2" xfId="6409" xr:uid="{E55E9BE3-631B-4C03-845B-77A6C5D0FC7C}"/>
    <cellStyle name="SAPBEXexcCritical6 3 5 2 2" xfId="11851" xr:uid="{5FEC2F30-7755-45BD-B05A-89F350111D5A}"/>
    <cellStyle name="SAPBEXexcCritical6 3 5 2 3" xfId="13922" xr:uid="{918062D3-44B8-4D12-9616-396AA14711EB}"/>
    <cellStyle name="SAPBEXexcCritical6 3 5 3" xfId="7085" xr:uid="{0886FA63-6277-4EAC-B3A0-61CD18116649}"/>
    <cellStyle name="SAPBEXexcCritical6 3 5 3 2" xfId="12527" xr:uid="{042AB4F9-8DF5-478D-AFF1-39A4B5E329E5}"/>
    <cellStyle name="SAPBEXexcCritical6 3 5 3 3" xfId="14576" xr:uid="{5F18CD8A-612C-4F1B-A49D-BB2D04B881FA}"/>
    <cellStyle name="SAPBEXexcCritical6 3 5 4" xfId="9472" xr:uid="{4ECC6E68-C850-4F91-AF7E-2DCFF915C862}"/>
    <cellStyle name="SAPBEXexcCritical6 3 5 5" xfId="13179" xr:uid="{420D5335-56EA-4B76-A87C-27F034CD2010}"/>
    <cellStyle name="SAPBEXexcCritical6 3 6" xfId="3722" xr:uid="{78ADD748-1917-4A4B-87BF-D7F208E6AD67}"/>
    <cellStyle name="SAPBEXexcCritical6 3 6 2" xfId="6130" xr:uid="{9735565F-A01B-454A-B4F2-7F4E2C9F823B}"/>
    <cellStyle name="SAPBEXexcCritical6 3 6 2 2" xfId="11572" xr:uid="{09AAAEED-0C4E-4B99-97AD-B60A11142184}"/>
    <cellStyle name="SAPBEXexcCritical6 3 6 2 3" xfId="13649" xr:uid="{342A53BD-9530-43A1-95F6-6A59F6323523}"/>
    <cellStyle name="SAPBEXexcCritical6 3 6 3" xfId="6814" xr:uid="{7B34F221-E6D2-4856-91C1-0B6B1B8F7051}"/>
    <cellStyle name="SAPBEXexcCritical6 3 6 3 2" xfId="12256" xr:uid="{7D007A7F-F10D-4D74-BF69-9537FACB46FB}"/>
    <cellStyle name="SAPBEXexcCritical6 3 6 3 3" xfId="14311" xr:uid="{F83150F3-BA04-4874-9CBD-41D6C4E1C4CB}"/>
    <cellStyle name="SAPBEXexcCritical6 3 6 4" xfId="9193" xr:uid="{BDCFD7BE-D797-4D87-AAF7-69FE61D8D81F}"/>
    <cellStyle name="SAPBEXexcCritical6 3 6 5" xfId="12914" xr:uid="{6EEE40EB-C8F7-4EC3-8622-246474A7F960}"/>
    <cellStyle name="SAPBEXexcCritical6 3 7" xfId="5745" xr:uid="{864E087A-B9BD-450E-8D26-50F27271A769}"/>
    <cellStyle name="SAPBEXexcCritical6 3 7 2" xfId="11187" xr:uid="{4C2F97B9-A567-4A61-A4CD-57D13AC5EBCD}"/>
    <cellStyle name="SAPBEXexcCritical6 3 7 3" xfId="13391" xr:uid="{B3D1EE7D-28F3-47C0-8071-FA481DBEA190}"/>
    <cellStyle name="SAPBEXexcCritical6 3 8" xfId="6543" xr:uid="{C25BFB45-84E7-49A7-982E-94694ED9D1C5}"/>
    <cellStyle name="SAPBEXexcCritical6 3 8 2" xfId="11985" xr:uid="{7E3335CE-9630-46E8-A463-4EF4DB27106D}"/>
    <cellStyle name="SAPBEXexcCritical6 3 8 3" xfId="14053" xr:uid="{52A3E287-6BBF-4D5B-B303-AA1FB3AF6315}"/>
    <cellStyle name="SAPBEXexcCritical6 3 9" xfId="8801" xr:uid="{E2C42E32-9B55-461D-B155-A11BF6019FB3}"/>
    <cellStyle name="SAPBEXexcCritical6 4" xfId="3656" xr:uid="{D4AB2876-E77D-4D57-ABE9-E71C7DB7A371}"/>
    <cellStyle name="SAPBEXexcCritical6 4 2" xfId="6064" xr:uid="{455DA2A4-A5E9-43E3-B983-4522E3F2F4C9}"/>
    <cellStyle name="SAPBEXexcCritical6 4 2 2" xfId="11506" xr:uid="{944EA7C4-8307-4BCF-A33A-FF3C2B44940C}"/>
    <cellStyle name="SAPBEXexcCritical6 4 2 3" xfId="13586" xr:uid="{A5EBBA1A-55BD-4FE3-A54B-A39C1297221F}"/>
    <cellStyle name="SAPBEXexcCritical6 4 3" xfId="6748" xr:uid="{005FD7D4-4354-41D1-ACA5-43B3F6E6A357}"/>
    <cellStyle name="SAPBEXexcCritical6 4 3 2" xfId="12190" xr:uid="{2091A49C-912D-4A09-AD1B-2709E6D12FC1}"/>
    <cellStyle name="SAPBEXexcCritical6 4 3 3" xfId="14248" xr:uid="{8A27FCE9-F0FB-4027-959E-679DD00D5924}"/>
    <cellStyle name="SAPBEXexcCritical6 4 4" xfId="9127" xr:uid="{86466AD8-4EA5-45BE-BCC5-091E95E9861A}"/>
    <cellStyle name="SAPBEXexcCritical6 4 5" xfId="12851" xr:uid="{F0ED4612-BE55-47DF-A9AF-AD9ADE5575A7}"/>
    <cellStyle name="SAPBEXexcCritical6 5" xfId="3631" xr:uid="{D6A0463D-6156-4331-8C69-E7E2BB6B8DF8}"/>
    <cellStyle name="SAPBEXexcCritical6 5 2" xfId="6040" xr:uid="{B51A7B5B-B210-4877-9B5C-267155337C9E}"/>
    <cellStyle name="SAPBEXexcCritical6 5 2 2" xfId="11482" xr:uid="{350AAAB2-2037-4248-9B24-7ECBCAD1ABFC}"/>
    <cellStyle name="SAPBEXexcCritical6 5 2 3" xfId="13564" xr:uid="{364BAB2E-E8D7-419C-8B61-277D037F4023}"/>
    <cellStyle name="SAPBEXexcCritical6 5 3" xfId="6724" xr:uid="{BC70A97A-EBFE-4061-8D5A-152CDCD813C1}"/>
    <cellStyle name="SAPBEXexcCritical6 5 3 2" xfId="12166" xr:uid="{8070C726-696D-4AE5-84F6-ED1E61010B0B}"/>
    <cellStyle name="SAPBEXexcCritical6 5 3 3" xfId="14226" xr:uid="{4FE98317-EC11-41EA-92AD-69AC7D4E18E4}"/>
    <cellStyle name="SAPBEXexcCritical6 5 4" xfId="9103" xr:uid="{A3288C74-CB6F-41FC-A68A-9E4DEFA78020}"/>
    <cellStyle name="SAPBEXexcCritical6 5 5" xfId="12829" xr:uid="{1774D84C-62DA-4951-8725-381533E01DBD}"/>
    <cellStyle name="SAPBEXexcCritical6 6" xfId="3570" xr:uid="{9F58E7A3-4CC5-49CF-B773-5D212176260A}"/>
    <cellStyle name="SAPBEXexcCritical6 6 2" xfId="5981" xr:uid="{D4E0B433-4843-4E4A-82D6-DA960C46018C}"/>
    <cellStyle name="SAPBEXexcCritical6 6 2 2" xfId="11423" xr:uid="{EA578235-8173-4E5A-B641-6CC592EE7942}"/>
    <cellStyle name="SAPBEXexcCritical6 6 2 3" xfId="13508" xr:uid="{5F61DAA3-BEA5-43D5-9D8E-CE606F3B6D5A}"/>
    <cellStyle name="SAPBEXexcCritical6 6 3" xfId="6664" xr:uid="{318BAAF4-8704-4BCE-AEDB-A089001BA27A}"/>
    <cellStyle name="SAPBEXexcCritical6 6 3 2" xfId="12106" xr:uid="{0691A9EC-D6AE-4645-8E7E-F92FF1E097F2}"/>
    <cellStyle name="SAPBEXexcCritical6 6 3 3" xfId="14169" xr:uid="{6A338ADA-9DF5-47A8-891B-DE0ED9EBC286}"/>
    <cellStyle name="SAPBEXexcCritical6 6 4" xfId="9042" xr:uid="{FCF1F08B-1EF0-4988-B999-3780E647FBBF}"/>
    <cellStyle name="SAPBEXexcCritical6 6 5" xfId="12772" xr:uid="{AABB7751-C3E6-4112-8CD5-0ABA46B24FCB}"/>
    <cellStyle name="SAPBEXexcCritical6 7" xfId="4139" xr:uid="{DF55D606-2D0B-4460-85A9-C82F22F2D3B9}"/>
    <cellStyle name="SAPBEXexcCritical6 7 2" xfId="9589" xr:uid="{91FAF769-73AB-4E2A-91F5-427C91F36D50}"/>
    <cellStyle name="SAPBEXexcCritical6 7 3" xfId="13218" xr:uid="{C8403D52-BA85-45C3-AB21-E270220E40FB}"/>
    <cellStyle name="SAPBEXexcCritical6 8" xfId="5714" xr:uid="{31A19B6C-CDFC-470A-BF46-684BECC10898}"/>
    <cellStyle name="SAPBEXexcCritical6 8 2" xfId="11156" xr:uid="{51212A3E-10F1-46B2-8F6A-9EBC54E63AD7}"/>
    <cellStyle name="SAPBEXexcCritical6 8 3" xfId="13362" xr:uid="{79EF7292-CBDF-4979-89EE-7B6C3DF685F1}"/>
    <cellStyle name="SAPBEXexcCritical6 9" xfId="7205" xr:uid="{28528748-4F79-457F-BE5E-42416F8FE1F1}"/>
    <cellStyle name="SAPBEXexcCritical6_2014 CLEAResult Invoices" xfId="3195" xr:uid="{DA4F8BA9-37EE-4574-BAC9-2D58E1640CF5}"/>
    <cellStyle name="SAPBEXexcGood1" xfId="259" xr:uid="{DE82447F-92AE-4AEC-80DD-C04BAD57FE42}"/>
    <cellStyle name="SAPBEXexcGood1 10" xfId="9499" xr:uid="{B7BE9F96-AFEC-45CA-B50E-A034BBF75769}"/>
    <cellStyle name="SAPBEXexcGood1 2" xfId="3197" xr:uid="{0716AA2C-DE07-458B-9C0B-35DFEBC35D2D}"/>
    <cellStyle name="SAPBEXexcGood1 2 10" xfId="8804" xr:uid="{F2B409B6-B542-4DDB-B2B5-53A97DC20145}"/>
    <cellStyle name="SAPBEXexcGood1 2 11" xfId="12659" xr:uid="{BABB2785-CF4D-4329-95E8-752B8940C439}"/>
    <cellStyle name="SAPBEXexcGood1 2 2" xfId="3701" xr:uid="{ED1F274F-5E6E-45BD-90EC-7E8AA9CC764F}"/>
    <cellStyle name="SAPBEXexcGood1 2 2 2" xfId="6109" xr:uid="{467FBF05-706C-4C24-8094-E39DC7CEAF2A}"/>
    <cellStyle name="SAPBEXexcGood1 2 2 2 2" xfId="11551" xr:uid="{2CC9B6A6-E8BD-429C-AA95-2923CB08570A}"/>
    <cellStyle name="SAPBEXexcGood1 2 2 2 3" xfId="13628" xr:uid="{29A63F14-D392-417E-B0CE-93168941C5C3}"/>
    <cellStyle name="SAPBEXexcGood1 2 2 3" xfId="6793" xr:uid="{9F5987D3-ABBD-4941-9FC5-D1E02AEAACCF}"/>
    <cellStyle name="SAPBEXexcGood1 2 2 3 2" xfId="12235" xr:uid="{86EC7439-090D-4744-9CC0-D46864A6554E}"/>
    <cellStyle name="SAPBEXexcGood1 2 2 3 3" xfId="14290" xr:uid="{B055E999-1045-440E-8551-5B36D5190FE3}"/>
    <cellStyle name="SAPBEXexcGood1 2 2 4" xfId="9172" xr:uid="{9058A414-6E5C-411A-BAD2-292C77E52C7D}"/>
    <cellStyle name="SAPBEXexcGood1 2 2 5" xfId="12893" xr:uid="{3AAE89B9-C17B-449A-B98E-2F20194AAC07}"/>
    <cellStyle name="SAPBEXexcGood1 2 3" xfId="3767" xr:uid="{628BBA2A-F038-4464-9853-53134B41BB0B}"/>
    <cellStyle name="SAPBEXexcGood1 2 3 2" xfId="6175" xr:uid="{6EA4CEF6-63FE-4C71-A2FF-3B3EBE9C842F}"/>
    <cellStyle name="SAPBEXexcGood1 2 3 2 2" xfId="11617" xr:uid="{62712914-36E6-4347-885D-B82B6710E3BA}"/>
    <cellStyle name="SAPBEXexcGood1 2 3 2 3" xfId="13692" xr:uid="{3AC79C38-445B-40CF-83E2-F23F294EE580}"/>
    <cellStyle name="SAPBEXexcGood1 2 3 3" xfId="6857" xr:uid="{6EAE8C60-052E-4E5A-873A-40A685957989}"/>
    <cellStyle name="SAPBEXexcGood1 2 3 3 2" xfId="12299" xr:uid="{9DA0034D-84B3-45FD-836C-FB1EB32E5529}"/>
    <cellStyle name="SAPBEXexcGood1 2 3 3 3" xfId="14352" xr:uid="{75F3F6C2-3BB2-4D07-B35D-D2B9546899B4}"/>
    <cellStyle name="SAPBEXexcGood1 2 3 4" xfId="9238" xr:uid="{D6279765-4988-44CA-BA4C-EE39B3DF59C4}"/>
    <cellStyle name="SAPBEXexcGood1 2 3 5" xfId="12955" xr:uid="{8AA587B8-C142-4DFE-B4DD-D252F8C2D27B}"/>
    <cellStyle name="SAPBEXexcGood1 2 4" xfId="3833" xr:uid="{62B87DF5-FBEE-477C-9048-534EC4C7CCAB}"/>
    <cellStyle name="SAPBEXexcGood1 2 4 2" xfId="6240" xr:uid="{42979B08-8338-4BFD-97A9-1ABCCEA34054}"/>
    <cellStyle name="SAPBEXexcGood1 2 4 2 2" xfId="11682" xr:uid="{B4498DCA-B547-4F8F-8C28-38D71A2D1E95}"/>
    <cellStyle name="SAPBEXexcGood1 2 4 2 3" xfId="13756" xr:uid="{14A2A57F-E3BD-4B5F-906E-16BFF8628FAD}"/>
    <cellStyle name="SAPBEXexcGood1 2 4 3" xfId="6920" xr:uid="{98FB2554-41C3-4787-85E1-DB2DA245C471}"/>
    <cellStyle name="SAPBEXexcGood1 2 4 3 2" xfId="12362" xr:uid="{CA68877F-803D-4455-9F7C-578C586460EF}"/>
    <cellStyle name="SAPBEXexcGood1 2 4 3 3" xfId="14414" xr:uid="{027E06FC-C5D5-47D3-9F94-6EDAB2010616}"/>
    <cellStyle name="SAPBEXexcGood1 2 4 4" xfId="9303" xr:uid="{263BA422-0F1E-4F43-9C37-93449FACCBA6}"/>
    <cellStyle name="SAPBEXexcGood1 2 4 5" xfId="13017" xr:uid="{57FD503D-E585-445A-9887-7050A5268562}"/>
    <cellStyle name="SAPBEXexcGood1 2 5" xfId="3918" xr:uid="{1AA82EA3-5599-4C46-934D-5B0E7114F0DB}"/>
    <cellStyle name="SAPBEXexcGood1 2 5 2" xfId="6323" xr:uid="{DB8F3352-46C1-40D8-AF4A-B224FCC9DE01}"/>
    <cellStyle name="SAPBEXexcGood1 2 5 2 2" xfId="11765" xr:uid="{EAC2E533-8F57-4BC5-9895-AC0E078126F4}"/>
    <cellStyle name="SAPBEXexcGood1 2 5 2 3" xfId="13837" xr:uid="{5A4222F9-7CB9-4DB0-9705-881A6DFC3254}"/>
    <cellStyle name="SAPBEXexcGood1 2 5 3" xfId="7001" xr:uid="{EB9F4D8B-7650-441D-9A9C-F2C3178509BF}"/>
    <cellStyle name="SAPBEXexcGood1 2 5 3 2" xfId="12443" xr:uid="{CFDE4EE0-6B9B-48CC-8643-14F531FD9E98}"/>
    <cellStyle name="SAPBEXexcGood1 2 5 3 3" xfId="14493" xr:uid="{D8BA18B3-520E-4F68-9947-0033977C36B0}"/>
    <cellStyle name="SAPBEXexcGood1 2 5 4" xfId="9386" xr:uid="{ACF88806-BD35-41C9-A240-431B71B67FD0}"/>
    <cellStyle name="SAPBEXexcGood1 2 5 5" xfId="13096" xr:uid="{64A30F93-D64E-43CA-8819-1A7D20A67F7F}"/>
    <cellStyle name="SAPBEXexcGood1 2 6" xfId="3985" xr:uid="{D8999B5E-6F6F-4E79-9D3A-631EE1CA92E8}"/>
    <cellStyle name="SAPBEXexcGood1 2 6 2" xfId="6388" xr:uid="{4A1279C3-52D7-412A-B1C6-F8FCFBE813C5}"/>
    <cellStyle name="SAPBEXexcGood1 2 6 2 2" xfId="11830" xr:uid="{325DEDE6-17AF-40F6-B0A9-431F9F9013B9}"/>
    <cellStyle name="SAPBEXexcGood1 2 6 2 3" xfId="13901" xr:uid="{2C3AC3F4-9C21-4439-8AD3-8FBEE42F818F}"/>
    <cellStyle name="SAPBEXexcGood1 2 6 3" xfId="7064" xr:uid="{EE8A4D97-EA4F-48EE-AE54-5702CDC39387}"/>
    <cellStyle name="SAPBEXexcGood1 2 6 3 2" xfId="12506" xr:uid="{3A203DDE-3B5F-44A7-82C9-8EE29B746583}"/>
    <cellStyle name="SAPBEXexcGood1 2 6 3 3" xfId="14555" xr:uid="{1276D36A-ABCF-4688-B37F-C36699946AD4}"/>
    <cellStyle name="SAPBEXexcGood1 2 6 4" xfId="9451" xr:uid="{C7DC644A-739A-460D-BA4E-F22EEA44BC83}"/>
    <cellStyle name="SAPBEXexcGood1 2 6 5" xfId="13158" xr:uid="{CDACF493-1AF8-4959-A9DB-9A4BDF91B7D7}"/>
    <cellStyle name="SAPBEXexcGood1 2 7" xfId="3619" xr:uid="{1F983EC9-334E-430F-A8ED-5B8B8D258F7F}"/>
    <cellStyle name="SAPBEXexcGood1 2 7 2" xfId="6028" xr:uid="{D9C74E4C-D08E-4E3A-8092-96B0F21213E9}"/>
    <cellStyle name="SAPBEXexcGood1 2 7 2 2" xfId="11470" xr:uid="{40FB3D67-8150-43D8-9853-E8ECF3D170C2}"/>
    <cellStyle name="SAPBEXexcGood1 2 7 2 3" xfId="13552" xr:uid="{65C9E589-97CE-48F7-B749-F18A29FD775B}"/>
    <cellStyle name="SAPBEXexcGood1 2 7 3" xfId="6712" xr:uid="{F2293965-5FF8-4757-840F-9387ACB2E35A}"/>
    <cellStyle name="SAPBEXexcGood1 2 7 3 2" xfId="12154" xr:uid="{258B85C1-B103-4AC3-A330-99D615CBFE37}"/>
    <cellStyle name="SAPBEXexcGood1 2 7 3 3" xfId="14214" xr:uid="{5E1F40E0-2D29-4817-8808-84E7F18EF4A5}"/>
    <cellStyle name="SAPBEXexcGood1 2 7 4" xfId="9091" xr:uid="{1BD79C81-9E73-4960-AE89-FFF739786850}"/>
    <cellStyle name="SAPBEXexcGood1 2 7 5" xfId="12817" xr:uid="{0E17727E-7539-443D-AB15-192053FC7A29}"/>
    <cellStyle name="SAPBEXexcGood1 2 8" xfId="5748" xr:uid="{6367F257-8B72-4BD3-8DEA-E5740FC1CC18}"/>
    <cellStyle name="SAPBEXexcGood1 2 8 2" xfId="11190" xr:uid="{B99EAEB5-4F4E-408E-805F-18DBCD24A331}"/>
    <cellStyle name="SAPBEXexcGood1 2 8 3" xfId="13394" xr:uid="{85643754-1521-425A-9C33-CD2828FA101B}"/>
    <cellStyle name="SAPBEXexcGood1 2 9" xfId="6546" xr:uid="{12A288AE-E5CA-4F18-BA92-4F24148BDABD}"/>
    <cellStyle name="SAPBEXexcGood1 2 9 2" xfId="11988" xr:uid="{ABD81466-F969-43F3-8084-FC1939351B9F}"/>
    <cellStyle name="SAPBEXexcGood1 2 9 3" xfId="14056" xr:uid="{FC66EB77-0647-4A1A-9F80-4A0F8E7D3E49}"/>
    <cellStyle name="SAPBEXexcGood1 3" xfId="3196" xr:uid="{0E92BE57-ED83-4340-A19D-AFA3499929C7}"/>
    <cellStyle name="SAPBEXexcGood1 3 10" xfId="12658" xr:uid="{E48667AC-1690-466E-A0B0-2A4137B8BCAB}"/>
    <cellStyle name="SAPBEXexcGood1 3 2" xfId="3789" xr:uid="{F457C349-CFB2-4954-99EC-51489B54BF53}"/>
    <cellStyle name="SAPBEXexcGood1 3 2 2" xfId="6197" xr:uid="{817FE087-AEE0-4244-9B0C-AF608B20D874}"/>
    <cellStyle name="SAPBEXexcGood1 3 2 2 2" xfId="11639" xr:uid="{477FEA47-5FFE-471C-813F-B947B055A0AA}"/>
    <cellStyle name="SAPBEXexcGood1 3 2 2 3" xfId="13714" xr:uid="{B5E93A5B-0B37-4DA6-A3AC-D48C1D03CA54}"/>
    <cellStyle name="SAPBEXexcGood1 3 2 3" xfId="6879" xr:uid="{93CD6D1D-2929-4342-8A2B-AADF82A4437C}"/>
    <cellStyle name="SAPBEXexcGood1 3 2 3 2" xfId="12321" xr:uid="{B50A9639-C81D-4EB0-9C19-2B75ADF20A42}"/>
    <cellStyle name="SAPBEXexcGood1 3 2 3 3" xfId="14374" xr:uid="{48F04744-F093-4DE6-9FDF-C90515338CE7}"/>
    <cellStyle name="SAPBEXexcGood1 3 2 4" xfId="9260" xr:uid="{60C7244A-118B-44C8-B552-60F010A66AB2}"/>
    <cellStyle name="SAPBEXexcGood1 3 2 5" xfId="12977" xr:uid="{D27A2122-848B-4453-9AA8-C17CB7998282}"/>
    <cellStyle name="SAPBEXexcGood1 3 3" xfId="3855" xr:uid="{9960B025-3C06-490F-B4F9-A5E60001A49E}"/>
    <cellStyle name="SAPBEXexcGood1 3 3 2" xfId="6262" xr:uid="{8B00D71F-BCBA-42C5-85F7-4B3BA1D28731}"/>
    <cellStyle name="SAPBEXexcGood1 3 3 2 2" xfId="11704" xr:uid="{7ED365F0-57B8-4B8F-A7DC-E80FC8132264}"/>
    <cellStyle name="SAPBEXexcGood1 3 3 2 3" xfId="13778" xr:uid="{11FD2FA4-577A-47B8-89BE-4B298F656A95}"/>
    <cellStyle name="SAPBEXexcGood1 3 3 3" xfId="6942" xr:uid="{F7EEE06F-12EA-4536-8205-70BCD57F56E5}"/>
    <cellStyle name="SAPBEXexcGood1 3 3 3 2" xfId="12384" xr:uid="{AB168E8B-9080-4207-A19D-A303D86AEA0F}"/>
    <cellStyle name="SAPBEXexcGood1 3 3 3 3" xfId="14436" xr:uid="{6C500108-4041-4337-ADFD-017D66FDCF0E}"/>
    <cellStyle name="SAPBEXexcGood1 3 3 4" xfId="9325" xr:uid="{E67B085A-0B5C-4A89-A441-E0EFEA196009}"/>
    <cellStyle name="SAPBEXexcGood1 3 3 5" xfId="13039" xr:uid="{5E31A9D4-C0A2-4198-AF62-EF6302D6533E}"/>
    <cellStyle name="SAPBEXexcGood1 3 4" xfId="3940" xr:uid="{3AA4A102-C877-4F2B-B0D9-202970A04DCF}"/>
    <cellStyle name="SAPBEXexcGood1 3 4 2" xfId="6345" xr:uid="{BAC0306D-FDD3-46F4-A1F2-796839055891}"/>
    <cellStyle name="SAPBEXexcGood1 3 4 2 2" xfId="11787" xr:uid="{44C83F1B-79B3-42D1-BA49-3A1179D5924E}"/>
    <cellStyle name="SAPBEXexcGood1 3 4 2 3" xfId="13859" xr:uid="{7443557A-E374-4446-BC8D-CE9AA0BCE8CB}"/>
    <cellStyle name="SAPBEXexcGood1 3 4 3" xfId="7023" xr:uid="{7FC166FF-B939-4B1B-9AEC-E3E7F1508EAC}"/>
    <cellStyle name="SAPBEXexcGood1 3 4 3 2" xfId="12465" xr:uid="{FDE168DA-F330-4194-B0E3-9BB2116E84F5}"/>
    <cellStyle name="SAPBEXexcGood1 3 4 3 3" xfId="14515" xr:uid="{6CD2CE4A-A8B2-4C08-A524-5C357ACDF02A}"/>
    <cellStyle name="SAPBEXexcGood1 3 4 4" xfId="9408" xr:uid="{141F8EDE-74AC-4FB8-A583-2173FB4C5DFE}"/>
    <cellStyle name="SAPBEXexcGood1 3 4 5" xfId="13118" xr:uid="{B05B4C6C-4B8F-4046-AC17-B68746E1FC91}"/>
    <cellStyle name="SAPBEXexcGood1 3 5" xfId="4007" xr:uid="{DD79914D-7175-4435-820A-F449CA6C92B6}"/>
    <cellStyle name="SAPBEXexcGood1 3 5 2" xfId="6410" xr:uid="{125349D0-7847-4B9F-9AD8-65BDE2BBF628}"/>
    <cellStyle name="SAPBEXexcGood1 3 5 2 2" xfId="11852" xr:uid="{C4581A61-860A-4675-8DEC-1A3ECBA6F5FA}"/>
    <cellStyle name="SAPBEXexcGood1 3 5 2 3" xfId="13923" xr:uid="{AC68B868-4065-4D70-9AF3-97B0C3DB6405}"/>
    <cellStyle name="SAPBEXexcGood1 3 5 3" xfId="7086" xr:uid="{F7924934-D4AF-4FD2-9EF0-6225E89B324B}"/>
    <cellStyle name="SAPBEXexcGood1 3 5 3 2" xfId="12528" xr:uid="{4263471C-ACEB-49DE-BF2B-58F947F5D63C}"/>
    <cellStyle name="SAPBEXexcGood1 3 5 3 3" xfId="14577" xr:uid="{B6A8B834-E464-4BB9-B677-DD9D695384B4}"/>
    <cellStyle name="SAPBEXexcGood1 3 5 4" xfId="9473" xr:uid="{B2DCF142-DDAD-4E89-8A7B-6199CA4994AF}"/>
    <cellStyle name="SAPBEXexcGood1 3 5 5" xfId="13180" xr:uid="{36F14D54-8D3D-47C8-95D7-BEDEE3D99A4F}"/>
    <cellStyle name="SAPBEXexcGood1 3 6" xfId="3723" xr:uid="{0421DAEC-6D47-4E9D-93A3-69687629E273}"/>
    <cellStyle name="SAPBEXexcGood1 3 6 2" xfId="6131" xr:uid="{52D6D167-7A25-467D-907A-5E6750F3DC3F}"/>
    <cellStyle name="SAPBEXexcGood1 3 6 2 2" xfId="11573" xr:uid="{F16C005D-4E1E-471B-8607-1A891D76630A}"/>
    <cellStyle name="SAPBEXexcGood1 3 6 2 3" xfId="13650" xr:uid="{76C8730D-9991-4D2F-B2A2-97604862513C}"/>
    <cellStyle name="SAPBEXexcGood1 3 6 3" xfId="6815" xr:uid="{912189C6-2674-4F25-950B-12A399B62408}"/>
    <cellStyle name="SAPBEXexcGood1 3 6 3 2" xfId="12257" xr:uid="{AF80BFA6-0242-411C-8799-870E3531C6C3}"/>
    <cellStyle name="SAPBEXexcGood1 3 6 3 3" xfId="14312" xr:uid="{82AFFA51-731D-4512-AF88-6B2B6A2ADB08}"/>
    <cellStyle name="SAPBEXexcGood1 3 6 4" xfId="9194" xr:uid="{6346C70F-1078-4D51-A426-006BC0CB1577}"/>
    <cellStyle name="SAPBEXexcGood1 3 6 5" xfId="12915" xr:uid="{DA9E49C4-BD41-4DC1-A37D-FF6AD95353CD}"/>
    <cellStyle name="SAPBEXexcGood1 3 7" xfId="5747" xr:uid="{8114FA96-C165-49E8-B67E-F01F86F566B0}"/>
    <cellStyle name="SAPBEXexcGood1 3 7 2" xfId="11189" xr:uid="{3E63A036-AB85-4A2C-9556-111E889DF92B}"/>
    <cellStyle name="SAPBEXexcGood1 3 7 3" xfId="13393" xr:uid="{D190134B-0B81-4F67-B62D-F5A7387DD6E5}"/>
    <cellStyle name="SAPBEXexcGood1 3 8" xfId="6545" xr:uid="{E5845F26-3B17-4DDD-AF6D-47F035AB66CC}"/>
    <cellStyle name="SAPBEXexcGood1 3 8 2" xfId="11987" xr:uid="{05052B58-2461-4A10-BD49-035239BFACE3}"/>
    <cellStyle name="SAPBEXexcGood1 3 8 3" xfId="14055" xr:uid="{E61EC144-CAE8-4A02-824C-893F48442B61}"/>
    <cellStyle name="SAPBEXexcGood1 3 9" xfId="8803" xr:uid="{82D6CC9F-498D-456C-A76C-3BD86A74589D}"/>
    <cellStyle name="SAPBEXexcGood1 4" xfId="3657" xr:uid="{19F8070A-CBF7-45F1-BD6E-AC328FFD1B46}"/>
    <cellStyle name="SAPBEXexcGood1 4 2" xfId="6065" xr:uid="{00286C92-5CC0-48D4-A79F-32F720930A92}"/>
    <cellStyle name="SAPBEXexcGood1 4 2 2" xfId="11507" xr:uid="{1ACB16CE-4E81-4FD1-B295-B14C8D2D24AF}"/>
    <cellStyle name="SAPBEXexcGood1 4 2 3" xfId="13587" xr:uid="{3800A01C-9C75-4C8A-9D30-1C91966D16EE}"/>
    <cellStyle name="SAPBEXexcGood1 4 3" xfId="6749" xr:uid="{D076809F-DB66-4FC5-A428-DE884874E65C}"/>
    <cellStyle name="SAPBEXexcGood1 4 3 2" xfId="12191" xr:uid="{D5BDCD59-EFF9-4DD6-8BE3-CCCEA0900260}"/>
    <cellStyle name="SAPBEXexcGood1 4 3 3" xfId="14249" xr:uid="{6A862F1C-57D9-48D2-8845-951AFD0778D3}"/>
    <cellStyle name="SAPBEXexcGood1 4 4" xfId="9128" xr:uid="{DE40EF86-83F1-4588-A576-081F55CD204B}"/>
    <cellStyle name="SAPBEXexcGood1 4 5" xfId="12852" xr:uid="{B4706101-A3C0-433C-9BC8-D0907001ACA0}"/>
    <cellStyle name="SAPBEXexcGood1 5" xfId="3640" xr:uid="{D7E9ADDD-2DAC-4894-A5BB-8DE60B7A13E0}"/>
    <cellStyle name="SAPBEXexcGood1 5 2" xfId="6049" xr:uid="{B00AC440-C41B-48ED-9B2E-FC6F51589EC6}"/>
    <cellStyle name="SAPBEXexcGood1 5 2 2" xfId="11491" xr:uid="{C7B0F96B-42D3-4C31-ADD2-B8B624CB620E}"/>
    <cellStyle name="SAPBEXexcGood1 5 2 3" xfId="13573" xr:uid="{8B5370C4-B0AD-4435-92F8-679411E9BF6F}"/>
    <cellStyle name="SAPBEXexcGood1 5 3" xfId="6733" xr:uid="{32AACE42-09B8-483F-B11D-6816B4D49C6D}"/>
    <cellStyle name="SAPBEXexcGood1 5 3 2" xfId="12175" xr:uid="{C0E9AA1B-02F5-438D-8B28-AEB93197A702}"/>
    <cellStyle name="SAPBEXexcGood1 5 3 3" xfId="14235" xr:uid="{690D52DB-E324-43AB-AEA6-0FF4C14B6183}"/>
    <cellStyle name="SAPBEXexcGood1 5 4" xfId="9112" xr:uid="{61EE8567-9EEC-4935-A08B-A405ACA9EE5C}"/>
    <cellStyle name="SAPBEXexcGood1 5 5" xfId="12838" xr:uid="{3D376D4F-3949-4804-8FF5-C81D15F5FDD1}"/>
    <cellStyle name="SAPBEXexcGood1 6" xfId="3571" xr:uid="{3BE5A6B9-F378-47B6-8209-3CA26D8CC90C}"/>
    <cellStyle name="SAPBEXexcGood1 6 2" xfId="5982" xr:uid="{251E8D1C-455F-4042-BBCA-F8575DC42472}"/>
    <cellStyle name="SAPBEXexcGood1 6 2 2" xfId="11424" xr:uid="{296A5BAE-4B72-48CB-B511-BC005623D7F4}"/>
    <cellStyle name="SAPBEXexcGood1 6 2 3" xfId="13509" xr:uid="{BA7D9773-5361-4F66-A542-34C04E3ABF27}"/>
    <cellStyle name="SAPBEXexcGood1 6 3" xfId="6665" xr:uid="{5458C760-3239-4F71-AE83-9DE31DE8F8CB}"/>
    <cellStyle name="SAPBEXexcGood1 6 3 2" xfId="12107" xr:uid="{37660F6D-576F-448F-AAAA-E3F7DA2826A1}"/>
    <cellStyle name="SAPBEXexcGood1 6 3 3" xfId="14170" xr:uid="{9EF45D98-30C3-4A1D-BFB6-2653E20919BB}"/>
    <cellStyle name="SAPBEXexcGood1 6 4" xfId="9043" xr:uid="{172C7F06-F69E-431B-9C7B-08B500A046F4}"/>
    <cellStyle name="SAPBEXexcGood1 6 5" xfId="12773" xr:uid="{8107AEE1-8300-44DB-94CB-6F6B0265CEEF}"/>
    <cellStyle name="SAPBEXexcGood1 7" xfId="4140" xr:uid="{C7F94EB8-C08C-460D-84CC-7C30BAE573C0}"/>
    <cellStyle name="SAPBEXexcGood1 7 2" xfId="9590" xr:uid="{81D77DF5-57CE-4C4C-9228-F700563E0BD8}"/>
    <cellStyle name="SAPBEXexcGood1 7 3" xfId="13219" xr:uid="{C890701B-B73E-491F-840C-0F59B0F9AEDC}"/>
    <cellStyle name="SAPBEXexcGood1 8" xfId="5715" xr:uid="{49F0E911-75B5-42D5-A7EF-59D393323EDF}"/>
    <cellStyle name="SAPBEXexcGood1 8 2" xfId="11157" xr:uid="{F0D51F6D-AF8C-4F52-9FD0-40BD845BFD33}"/>
    <cellStyle name="SAPBEXexcGood1 8 3" xfId="13363" xr:uid="{8007DED8-043D-48C0-94E8-EFBAE1B24E08}"/>
    <cellStyle name="SAPBEXexcGood1 9" xfId="7206" xr:uid="{B97A6E86-43D9-4E23-AC97-3C2D7FDACC1A}"/>
    <cellStyle name="SAPBEXexcGood1_2014 CLEAResult Invoices" xfId="3198" xr:uid="{34FE0129-B02F-4A67-BC18-EEA6A179BF7B}"/>
    <cellStyle name="SAPBEXexcGood2" xfId="260" xr:uid="{A0DB7CE2-0D32-4BA5-B028-7D73A99E403D}"/>
    <cellStyle name="SAPBEXexcGood2 10" xfId="9498" xr:uid="{68CFFCEE-D0AB-4FED-8C4B-875A2E078257}"/>
    <cellStyle name="SAPBEXexcGood2 2" xfId="3200" xr:uid="{24F30E43-4AF3-479A-BB03-212A4F01C17A}"/>
    <cellStyle name="SAPBEXexcGood2 2 10" xfId="8806" xr:uid="{62C9B96D-930E-4C8C-9F70-8D0F58C56780}"/>
    <cellStyle name="SAPBEXexcGood2 2 11" xfId="12661" xr:uid="{EE92BCF0-0DF6-4187-9984-B4F92A32B490}"/>
    <cellStyle name="SAPBEXexcGood2 2 2" xfId="3700" xr:uid="{3E33A3F8-D61D-4ECB-B6E6-56F9779235BD}"/>
    <cellStyle name="SAPBEXexcGood2 2 2 2" xfId="6108" xr:uid="{03DC89E8-DDEB-4866-A1FB-B42B6CD8742D}"/>
    <cellStyle name="SAPBEXexcGood2 2 2 2 2" xfId="11550" xr:uid="{77301921-8FD2-4E1B-B7FE-BFD4C308FCE1}"/>
    <cellStyle name="SAPBEXexcGood2 2 2 2 3" xfId="13627" xr:uid="{B7964D4A-59BB-4564-9156-83256DC887C4}"/>
    <cellStyle name="SAPBEXexcGood2 2 2 3" xfId="6792" xr:uid="{7E0F3096-2A88-44C8-9E11-1B4BF447A784}"/>
    <cellStyle name="SAPBEXexcGood2 2 2 3 2" xfId="12234" xr:uid="{2ED5C04D-0DF7-471F-B7A2-E33D713A8CCA}"/>
    <cellStyle name="SAPBEXexcGood2 2 2 3 3" xfId="14289" xr:uid="{011D6F7F-9BE3-4212-A38B-9A9755E54D64}"/>
    <cellStyle name="SAPBEXexcGood2 2 2 4" xfId="9171" xr:uid="{9B567503-8403-42EA-AC2F-7E55495A8978}"/>
    <cellStyle name="SAPBEXexcGood2 2 2 5" xfId="12892" xr:uid="{596632FA-C9F4-40BF-A1D5-9E25EB543E32}"/>
    <cellStyle name="SAPBEXexcGood2 2 3" xfId="3766" xr:uid="{94EDB127-47B7-412B-A1C9-5D9AFCC73432}"/>
    <cellStyle name="SAPBEXexcGood2 2 3 2" xfId="6174" xr:uid="{1ABE4F25-1AD1-46EF-8C16-0153AEAE773A}"/>
    <cellStyle name="SAPBEXexcGood2 2 3 2 2" xfId="11616" xr:uid="{5170EABE-0F13-47C3-919B-4B9D1F78A58F}"/>
    <cellStyle name="SAPBEXexcGood2 2 3 2 3" xfId="13691" xr:uid="{C8AAF76D-ED2E-4086-B2EE-C73CCC8135FB}"/>
    <cellStyle name="SAPBEXexcGood2 2 3 3" xfId="6856" xr:uid="{92813DF0-A21A-4AE4-B8ED-0C9E87E530E4}"/>
    <cellStyle name="SAPBEXexcGood2 2 3 3 2" xfId="12298" xr:uid="{C6E4FBC1-E097-4687-99C7-1FE122EECAC3}"/>
    <cellStyle name="SAPBEXexcGood2 2 3 3 3" xfId="14351" xr:uid="{2C95991A-CAE8-429D-ADE6-315ECEC735A4}"/>
    <cellStyle name="SAPBEXexcGood2 2 3 4" xfId="9237" xr:uid="{54903BF5-DAAE-4F60-9D4A-CE98B2F72801}"/>
    <cellStyle name="SAPBEXexcGood2 2 3 5" xfId="12954" xr:uid="{3F429B49-0054-4CFC-B51A-EF109F685A86}"/>
    <cellStyle name="SAPBEXexcGood2 2 4" xfId="3832" xr:uid="{DDD94E65-F329-451E-9825-8191636FB69F}"/>
    <cellStyle name="SAPBEXexcGood2 2 4 2" xfId="6239" xr:uid="{B379BB21-76A4-49F6-95CE-AE400FFFD36B}"/>
    <cellStyle name="SAPBEXexcGood2 2 4 2 2" xfId="11681" xr:uid="{C183111A-E445-44F9-B346-058D15A4E2CE}"/>
    <cellStyle name="SAPBEXexcGood2 2 4 2 3" xfId="13755" xr:uid="{05E4C73A-1F84-4887-AD30-56F54D58936C}"/>
    <cellStyle name="SAPBEXexcGood2 2 4 3" xfId="6919" xr:uid="{15C0CA1F-867F-473E-8E7E-D9C629A4B96B}"/>
    <cellStyle name="SAPBEXexcGood2 2 4 3 2" xfId="12361" xr:uid="{B42A0AF5-F382-44E9-A82C-F74A72A118D6}"/>
    <cellStyle name="SAPBEXexcGood2 2 4 3 3" xfId="14413" xr:uid="{80B8E166-4064-4098-B552-7B3655BF6FBA}"/>
    <cellStyle name="SAPBEXexcGood2 2 4 4" xfId="9302" xr:uid="{D5238841-6081-4EBC-8B50-ECFE545632D2}"/>
    <cellStyle name="SAPBEXexcGood2 2 4 5" xfId="13016" xr:uid="{07AB014C-8ED7-4858-8013-CC35C0AAF9F6}"/>
    <cellStyle name="SAPBEXexcGood2 2 5" xfId="3917" xr:uid="{BBC53FBD-E5CB-4AF3-B165-39687AE22B3E}"/>
    <cellStyle name="SAPBEXexcGood2 2 5 2" xfId="6322" xr:uid="{C938E4EE-8AEC-47AD-AF9B-E4827C6CBF85}"/>
    <cellStyle name="SAPBEXexcGood2 2 5 2 2" xfId="11764" xr:uid="{C52263F3-487C-4574-B348-C68852ECDDD4}"/>
    <cellStyle name="SAPBEXexcGood2 2 5 2 3" xfId="13836" xr:uid="{6322A7CF-C032-4B50-A7F0-E41F750F4EF0}"/>
    <cellStyle name="SAPBEXexcGood2 2 5 3" xfId="7000" xr:uid="{841965E0-7613-45ED-9BDC-1BC0EA1CCEB6}"/>
    <cellStyle name="SAPBEXexcGood2 2 5 3 2" xfId="12442" xr:uid="{B24984BC-2D8E-4087-AA59-893F45D4899A}"/>
    <cellStyle name="SAPBEXexcGood2 2 5 3 3" xfId="14492" xr:uid="{D0E7DC28-849C-49C7-A813-F9618DF50CBF}"/>
    <cellStyle name="SAPBEXexcGood2 2 5 4" xfId="9385" xr:uid="{175660B9-73F2-4B60-8A7C-EBD9B53835A8}"/>
    <cellStyle name="SAPBEXexcGood2 2 5 5" xfId="13095" xr:uid="{0E916FEE-ECBC-4FD7-8D5B-D0FE476E4286}"/>
    <cellStyle name="SAPBEXexcGood2 2 6" xfId="3984" xr:uid="{EB556281-C29F-4F8F-B79E-F09C80E01E99}"/>
    <cellStyle name="SAPBEXexcGood2 2 6 2" xfId="6387" xr:uid="{63595FA7-7654-4CC5-AE79-063023E6FE3D}"/>
    <cellStyle name="SAPBEXexcGood2 2 6 2 2" xfId="11829" xr:uid="{12A1886A-A524-439E-89BA-452EE53CF479}"/>
    <cellStyle name="SAPBEXexcGood2 2 6 2 3" xfId="13900" xr:uid="{186DC756-EE1B-4B29-B815-6BF754D9668E}"/>
    <cellStyle name="SAPBEXexcGood2 2 6 3" xfId="7063" xr:uid="{A6AEAC03-51A8-423F-8179-0F8166050D1A}"/>
    <cellStyle name="SAPBEXexcGood2 2 6 3 2" xfId="12505" xr:uid="{8B83B603-71BC-4C60-9DAA-1B6CC471DC69}"/>
    <cellStyle name="SAPBEXexcGood2 2 6 3 3" xfId="14554" xr:uid="{2800CE6E-F55D-4BC2-8B4A-CD243F9F8E4A}"/>
    <cellStyle name="SAPBEXexcGood2 2 6 4" xfId="9450" xr:uid="{E7B2F763-5E09-4F57-822A-B20F0C7FEFA1}"/>
    <cellStyle name="SAPBEXexcGood2 2 6 5" xfId="13157" xr:uid="{7B5559F5-E7A6-44DD-B495-4D72BBDBB119}"/>
    <cellStyle name="SAPBEXexcGood2 2 7" xfId="3618" xr:uid="{FD6C1EE6-CFC0-4000-BFF5-F1F422DDFD82}"/>
    <cellStyle name="SAPBEXexcGood2 2 7 2" xfId="6027" xr:uid="{DE08091A-9A0C-41DB-AA44-15E3B741FE05}"/>
    <cellStyle name="SAPBEXexcGood2 2 7 2 2" xfId="11469" xr:uid="{0DD92975-03D3-4824-B1C7-0215896F3227}"/>
    <cellStyle name="SAPBEXexcGood2 2 7 2 3" xfId="13551" xr:uid="{77DF82DD-CEDB-4C54-836C-B465A239D397}"/>
    <cellStyle name="SAPBEXexcGood2 2 7 3" xfId="6711" xr:uid="{3A3ECFEC-44B4-4746-82B2-75E6BF4603BB}"/>
    <cellStyle name="SAPBEXexcGood2 2 7 3 2" xfId="12153" xr:uid="{3BFA7842-BAC5-4D4E-88C0-211713F6D690}"/>
    <cellStyle name="SAPBEXexcGood2 2 7 3 3" xfId="14213" xr:uid="{6184A35A-7BEC-4530-A32E-DE0BF6A69AED}"/>
    <cellStyle name="SAPBEXexcGood2 2 7 4" xfId="9090" xr:uid="{C44A1789-EED1-4137-913F-89AF32700511}"/>
    <cellStyle name="SAPBEXexcGood2 2 7 5" xfId="12816" xr:uid="{29FE666E-C6B1-4681-82D0-C46DD6C6EDC7}"/>
    <cellStyle name="SAPBEXexcGood2 2 8" xfId="5750" xr:uid="{EDC12602-45AF-4E12-B0AE-A8EB6FD57076}"/>
    <cellStyle name="SAPBEXexcGood2 2 8 2" xfId="11192" xr:uid="{9ABFEB67-ADB5-401D-9AC5-AFFD6354165A}"/>
    <cellStyle name="SAPBEXexcGood2 2 8 3" xfId="13396" xr:uid="{F3B5A952-1AF1-4B8C-9B95-E4D3E848E678}"/>
    <cellStyle name="SAPBEXexcGood2 2 9" xfId="6548" xr:uid="{44139F29-372F-41BF-9EB9-02344E8F9FD8}"/>
    <cellStyle name="SAPBEXexcGood2 2 9 2" xfId="11990" xr:uid="{076F5D07-6682-43CF-AF0D-F7E6A3A1B728}"/>
    <cellStyle name="SAPBEXexcGood2 2 9 3" xfId="14058" xr:uid="{8568E8FE-635E-4B37-B54F-4341F9F610B2}"/>
    <cellStyle name="SAPBEXexcGood2 3" xfId="3199" xr:uid="{6FF6B9AA-E743-4E04-9D42-6A73D0282847}"/>
    <cellStyle name="SAPBEXexcGood2 3 10" xfId="12660" xr:uid="{DF611669-9161-4BD1-8D0F-14A426F6EB28}"/>
    <cellStyle name="SAPBEXexcGood2 3 2" xfId="3790" xr:uid="{53BD66E3-9387-4B9F-8216-1E36F5ACB1E3}"/>
    <cellStyle name="SAPBEXexcGood2 3 2 2" xfId="6198" xr:uid="{28DB4B83-286B-46A7-8EA5-09933E9C1FA4}"/>
    <cellStyle name="SAPBEXexcGood2 3 2 2 2" xfId="11640" xr:uid="{932D4D04-1A2D-4FB1-A271-563090ED9F08}"/>
    <cellStyle name="SAPBEXexcGood2 3 2 2 3" xfId="13715" xr:uid="{45F94E93-0848-46DC-B875-8147C172911F}"/>
    <cellStyle name="SAPBEXexcGood2 3 2 3" xfId="6880" xr:uid="{F452A561-CC48-4D7A-9D3A-DC677D5F539D}"/>
    <cellStyle name="SAPBEXexcGood2 3 2 3 2" xfId="12322" xr:uid="{55390117-23A2-424F-BCAE-E9330120E976}"/>
    <cellStyle name="SAPBEXexcGood2 3 2 3 3" xfId="14375" xr:uid="{71C294A9-13DE-427E-B220-00615D779B45}"/>
    <cellStyle name="SAPBEXexcGood2 3 2 4" xfId="9261" xr:uid="{42C79382-A98F-422E-B390-54E8E2E8394B}"/>
    <cellStyle name="SAPBEXexcGood2 3 2 5" xfId="12978" xr:uid="{6C017E76-452A-417B-850C-4CE56B5324AA}"/>
    <cellStyle name="SAPBEXexcGood2 3 3" xfId="3856" xr:uid="{8DE6153E-02DD-4DE6-8FC2-C4D6F7D5E1DE}"/>
    <cellStyle name="SAPBEXexcGood2 3 3 2" xfId="6263" xr:uid="{AA743DD8-252A-4F5D-B2BC-D1DD700B235B}"/>
    <cellStyle name="SAPBEXexcGood2 3 3 2 2" xfId="11705" xr:uid="{4118D159-3495-487D-B839-5CAB5EEFA300}"/>
    <cellStyle name="SAPBEXexcGood2 3 3 2 3" xfId="13779" xr:uid="{063B5E24-5A94-4D9E-9898-AFABA2326DB0}"/>
    <cellStyle name="SAPBEXexcGood2 3 3 3" xfId="6943" xr:uid="{0D6558CF-B436-4B86-B1BC-E93D525BC5A2}"/>
    <cellStyle name="SAPBEXexcGood2 3 3 3 2" xfId="12385" xr:uid="{9AB2DB9F-7E01-4DF3-B482-715C4748BC83}"/>
    <cellStyle name="SAPBEXexcGood2 3 3 3 3" xfId="14437" xr:uid="{C0372D72-5331-4CC5-B7BF-8589CD23A65B}"/>
    <cellStyle name="SAPBEXexcGood2 3 3 4" xfId="9326" xr:uid="{272350A1-C916-465F-857E-14778493C758}"/>
    <cellStyle name="SAPBEXexcGood2 3 3 5" xfId="13040" xr:uid="{5B787F44-AFAD-4DB9-975F-0B3D0BB949B5}"/>
    <cellStyle name="SAPBEXexcGood2 3 4" xfId="3941" xr:uid="{68EB0D05-A02B-4268-BF37-AB6B3A5AB4CB}"/>
    <cellStyle name="SAPBEXexcGood2 3 4 2" xfId="6346" xr:uid="{4A87B8E5-2136-4960-9C18-E8E76F7071F4}"/>
    <cellStyle name="SAPBEXexcGood2 3 4 2 2" xfId="11788" xr:uid="{6399BF92-632F-4054-8283-709E408D9035}"/>
    <cellStyle name="SAPBEXexcGood2 3 4 2 3" xfId="13860" xr:uid="{CEB52E04-93D4-4F1C-A654-99EAA5D294F2}"/>
    <cellStyle name="SAPBEXexcGood2 3 4 3" xfId="7024" xr:uid="{9A52060B-A88D-4DF5-BF4A-A5E3B6C3A02B}"/>
    <cellStyle name="SAPBEXexcGood2 3 4 3 2" xfId="12466" xr:uid="{FCEB39B4-F6A5-480C-AC3F-90FC7A6347E0}"/>
    <cellStyle name="SAPBEXexcGood2 3 4 3 3" xfId="14516" xr:uid="{3867B758-90BB-4BDF-AEC9-5F3AEEEBF965}"/>
    <cellStyle name="SAPBEXexcGood2 3 4 4" xfId="9409" xr:uid="{267721F4-7363-4FBC-B05D-2B117AF11DFF}"/>
    <cellStyle name="SAPBEXexcGood2 3 4 5" xfId="13119" xr:uid="{35D85D0F-E81D-4368-94D9-42CD56898A19}"/>
    <cellStyle name="SAPBEXexcGood2 3 5" xfId="4008" xr:uid="{76C5AC04-C25A-4EE0-BE8C-A3FC0874117C}"/>
    <cellStyle name="SAPBEXexcGood2 3 5 2" xfId="6411" xr:uid="{BB272C2E-AE9B-49F3-9C64-5D30AC7B2FAD}"/>
    <cellStyle name="SAPBEXexcGood2 3 5 2 2" xfId="11853" xr:uid="{3F4A6991-1822-40DD-99DC-B05777DCF63A}"/>
    <cellStyle name="SAPBEXexcGood2 3 5 2 3" xfId="13924" xr:uid="{E25E433C-0D8F-495F-8D41-0A2ED566C6E9}"/>
    <cellStyle name="SAPBEXexcGood2 3 5 3" xfId="7087" xr:uid="{94AB8769-9BBA-4456-8217-E875E05900FF}"/>
    <cellStyle name="SAPBEXexcGood2 3 5 3 2" xfId="12529" xr:uid="{3656B57F-04DC-4DA5-936C-8EB8BA4FA39B}"/>
    <cellStyle name="SAPBEXexcGood2 3 5 3 3" xfId="14578" xr:uid="{EF82F87B-B5FD-412B-84EF-44432C27ABDF}"/>
    <cellStyle name="SAPBEXexcGood2 3 5 4" xfId="9474" xr:uid="{042C5FD8-D0FF-4962-9492-DBF0077A9051}"/>
    <cellStyle name="SAPBEXexcGood2 3 5 5" xfId="13181" xr:uid="{8EC34E64-FBF0-487E-A1C9-ED7823A0A852}"/>
    <cellStyle name="SAPBEXexcGood2 3 6" xfId="3724" xr:uid="{0B4136B8-87F8-4A77-9E6F-67F6D9A3AE44}"/>
    <cellStyle name="SAPBEXexcGood2 3 6 2" xfId="6132" xr:uid="{3C18515C-A87D-47FA-9F56-A4E379B14597}"/>
    <cellStyle name="SAPBEXexcGood2 3 6 2 2" xfId="11574" xr:uid="{FCDE6F9A-29A6-41EF-8E7C-2E9FCA3C85BE}"/>
    <cellStyle name="SAPBEXexcGood2 3 6 2 3" xfId="13651" xr:uid="{51A37482-4FC8-4D50-A06E-FA11F78F38BE}"/>
    <cellStyle name="SAPBEXexcGood2 3 6 3" xfId="6816" xr:uid="{D4F1D298-03A4-447E-A933-551513C84DD0}"/>
    <cellStyle name="SAPBEXexcGood2 3 6 3 2" xfId="12258" xr:uid="{FDA10E60-1F5A-4F4B-B20B-65F809F9345C}"/>
    <cellStyle name="SAPBEXexcGood2 3 6 3 3" xfId="14313" xr:uid="{F7EC4E82-6DE4-41A3-BF4D-4B64B496F93E}"/>
    <cellStyle name="SAPBEXexcGood2 3 6 4" xfId="9195" xr:uid="{8ACA06D5-04DD-4877-86B1-71FA10886913}"/>
    <cellStyle name="SAPBEXexcGood2 3 6 5" xfId="12916" xr:uid="{3E892899-CD4E-41BA-9511-2045A93C3A30}"/>
    <cellStyle name="SAPBEXexcGood2 3 7" xfId="5749" xr:uid="{C0A6011B-61C1-429A-944F-2C44E066E64D}"/>
    <cellStyle name="SAPBEXexcGood2 3 7 2" xfId="11191" xr:uid="{3B56BCA0-2CCC-4B99-9D0A-5A9E0C6C8BD5}"/>
    <cellStyle name="SAPBEXexcGood2 3 7 3" xfId="13395" xr:uid="{1B7D4AAA-EB89-4966-B995-D63B76B2DF13}"/>
    <cellStyle name="SAPBEXexcGood2 3 8" xfId="6547" xr:uid="{03285CA0-2414-48DC-96B0-901F6EA25E62}"/>
    <cellStyle name="SAPBEXexcGood2 3 8 2" xfId="11989" xr:uid="{BD38B373-60F6-4DD9-AD26-DDB5CB096096}"/>
    <cellStyle name="SAPBEXexcGood2 3 8 3" xfId="14057" xr:uid="{9E21B657-B90C-42B7-95F0-33B1D656DF5F}"/>
    <cellStyle name="SAPBEXexcGood2 3 9" xfId="8805" xr:uid="{66B75E6D-EEE2-42A9-B6B5-93C02AE8E961}"/>
    <cellStyle name="SAPBEXexcGood2 4" xfId="3658" xr:uid="{1BC966D8-7F18-466D-A685-84F19CC09F3B}"/>
    <cellStyle name="SAPBEXexcGood2 4 2" xfId="6066" xr:uid="{60B0AB4B-E8AD-4FA2-BA77-D16390BDEF7C}"/>
    <cellStyle name="SAPBEXexcGood2 4 2 2" xfId="11508" xr:uid="{7EA3D197-0411-47D7-BB3F-AE0F025C92BD}"/>
    <cellStyle name="SAPBEXexcGood2 4 2 3" xfId="13588" xr:uid="{5ADC1866-CC6E-4FF4-B53B-A6CF8CB6D0D9}"/>
    <cellStyle name="SAPBEXexcGood2 4 3" xfId="6750" xr:uid="{78BB4DBD-21EF-4DCB-832D-27F4F06A4014}"/>
    <cellStyle name="SAPBEXexcGood2 4 3 2" xfId="12192" xr:uid="{E56C3AB6-DA13-49C0-B5ED-3F4000875B30}"/>
    <cellStyle name="SAPBEXexcGood2 4 3 3" xfId="14250" xr:uid="{B4416561-8196-45CF-BDEC-B30F0E8AF76B}"/>
    <cellStyle name="SAPBEXexcGood2 4 4" xfId="9129" xr:uid="{5ABAC229-87E7-4A6C-9E2B-9336BF6F9ABD}"/>
    <cellStyle name="SAPBEXexcGood2 4 5" xfId="12853" xr:uid="{28FBC05E-CE51-4BDC-A306-CCBE290640B4}"/>
    <cellStyle name="SAPBEXexcGood2 5" xfId="3639" xr:uid="{33FD6318-FD4B-4A43-8436-DF2CE4151705}"/>
    <cellStyle name="SAPBEXexcGood2 5 2" xfId="6048" xr:uid="{4B394C14-CB63-4F33-8522-AFBEAD50CBF7}"/>
    <cellStyle name="SAPBEXexcGood2 5 2 2" xfId="11490" xr:uid="{685BEA82-8AF5-406F-AF08-A6F2CCAFAB9D}"/>
    <cellStyle name="SAPBEXexcGood2 5 2 3" xfId="13572" xr:uid="{AC9ECEFA-E439-4A84-937D-D8635AE626B1}"/>
    <cellStyle name="SAPBEXexcGood2 5 3" xfId="6732" xr:uid="{8759523F-433D-4BF3-B60C-0B86725C8F66}"/>
    <cellStyle name="SAPBEXexcGood2 5 3 2" xfId="12174" xr:uid="{1A777C47-6929-4D63-88F0-8F4D6FC66152}"/>
    <cellStyle name="SAPBEXexcGood2 5 3 3" xfId="14234" xr:uid="{817BA97E-5DD7-4DD8-BFCE-4DC73089424D}"/>
    <cellStyle name="SAPBEXexcGood2 5 4" xfId="9111" xr:uid="{EA78FC48-7128-480F-B924-EF618E2FD0FE}"/>
    <cellStyle name="SAPBEXexcGood2 5 5" xfId="12837" xr:uid="{45A6561D-5A12-43E2-B9A7-DF8B0BBED181}"/>
    <cellStyle name="SAPBEXexcGood2 6" xfId="3572" xr:uid="{0C3A47D4-F63F-42CC-BB70-12D0C2DF587D}"/>
    <cellStyle name="SAPBEXexcGood2 6 2" xfId="5983" xr:uid="{81A71B34-0D81-4799-AA9D-F089E5502817}"/>
    <cellStyle name="SAPBEXexcGood2 6 2 2" xfId="11425" xr:uid="{50558DCE-3097-4B8D-8AC1-BA4DAA4FBC37}"/>
    <cellStyle name="SAPBEXexcGood2 6 2 3" xfId="13510" xr:uid="{A6CCC884-C114-463E-85D9-E7859AF7745C}"/>
    <cellStyle name="SAPBEXexcGood2 6 3" xfId="6666" xr:uid="{1CBED092-16A0-48AB-ABEF-857D1C7C55DE}"/>
    <cellStyle name="SAPBEXexcGood2 6 3 2" xfId="12108" xr:uid="{E07CFC1E-4456-48EA-9FCC-5E9241AE2390}"/>
    <cellStyle name="SAPBEXexcGood2 6 3 3" xfId="14171" xr:uid="{F4F4FC98-E09B-401F-83D2-C14B38DE351A}"/>
    <cellStyle name="SAPBEXexcGood2 6 4" xfId="9044" xr:uid="{B4766D62-A142-4700-B911-A818AD8B8FE6}"/>
    <cellStyle name="SAPBEXexcGood2 6 5" xfId="12774" xr:uid="{30A0F206-AFDC-4782-BAE1-AA28C69B7DF8}"/>
    <cellStyle name="SAPBEXexcGood2 7" xfId="4141" xr:uid="{1439084A-9B7D-4910-A1BE-85E6C443FA2C}"/>
    <cellStyle name="SAPBEXexcGood2 7 2" xfId="9591" xr:uid="{51FEF40E-BB75-428D-8C82-BA334738BFF7}"/>
    <cellStyle name="SAPBEXexcGood2 7 3" xfId="13220" xr:uid="{D7E626B5-9140-4C0B-A99C-5CFC24FC0662}"/>
    <cellStyle name="SAPBEXexcGood2 8" xfId="4120" xr:uid="{DD4AAE5E-5771-4E09-A124-B9D52C44D965}"/>
    <cellStyle name="SAPBEXexcGood2 8 2" xfId="9570" xr:uid="{9CB736CC-ECBD-4B12-A339-01592E6DFDE2}"/>
    <cellStyle name="SAPBEXexcGood2 8 3" xfId="13207" xr:uid="{2B7BC0E0-6875-47C0-AB87-C0955A96C3EB}"/>
    <cellStyle name="SAPBEXexcGood2 9" xfId="7207" xr:uid="{67D3F733-CAEC-4E89-9E5C-4E7CC8CE54C3}"/>
    <cellStyle name="SAPBEXexcGood2_2014 CLEAResult Invoices" xfId="3201" xr:uid="{BFCFD4B9-5F70-4EC8-A8D2-04D0A29EEBBC}"/>
    <cellStyle name="SAPBEXexcGood3" xfId="261" xr:uid="{B92AEFAD-64A2-4996-BE17-6445EDE2E487}"/>
    <cellStyle name="SAPBEXexcGood3 10" xfId="9497" xr:uid="{07D7FDE4-55E0-4F88-8DA7-4B676F68FF1F}"/>
    <cellStyle name="SAPBEXexcGood3 2" xfId="3203" xr:uid="{E2657C66-7D54-48B5-8AA9-7530C86551EA}"/>
    <cellStyle name="SAPBEXexcGood3 2 10" xfId="8808" xr:uid="{BE6818F7-F179-4339-B935-B91011BE10DB}"/>
    <cellStyle name="SAPBEXexcGood3 2 11" xfId="12663" xr:uid="{D8ECC6BD-D59C-4BCA-8280-3AEB280E1490}"/>
    <cellStyle name="SAPBEXexcGood3 2 2" xfId="3699" xr:uid="{977FDEC9-3428-4F8A-A7EC-9B8DB34F94EE}"/>
    <cellStyle name="SAPBEXexcGood3 2 2 2" xfId="6107" xr:uid="{E3D06920-E2CD-40C3-A034-76D4621B165D}"/>
    <cellStyle name="SAPBEXexcGood3 2 2 2 2" xfId="11549" xr:uid="{2A832EEB-7DC1-4B31-8095-799BC9E2B58E}"/>
    <cellStyle name="SAPBEXexcGood3 2 2 2 3" xfId="13626" xr:uid="{73DF8110-8111-4551-AFDB-4928AB9556D7}"/>
    <cellStyle name="SAPBEXexcGood3 2 2 3" xfId="6791" xr:uid="{8736B8D1-4CBA-4EB6-AF35-9AB5F0D2323F}"/>
    <cellStyle name="SAPBEXexcGood3 2 2 3 2" xfId="12233" xr:uid="{05527E10-5248-4ABA-BFFD-D78962F410A7}"/>
    <cellStyle name="SAPBEXexcGood3 2 2 3 3" xfId="14288" xr:uid="{7E902742-E355-419A-BF3C-00221CA15707}"/>
    <cellStyle name="SAPBEXexcGood3 2 2 4" xfId="9170" xr:uid="{2B51D569-E972-4DB4-BE66-6164C158751F}"/>
    <cellStyle name="SAPBEXexcGood3 2 2 5" xfId="12891" xr:uid="{6DA917DB-6CFB-4452-9C5D-B70484ECAF2C}"/>
    <cellStyle name="SAPBEXexcGood3 2 3" xfId="3765" xr:uid="{6B70CD65-9DE3-46F4-ACD2-BBBC6A72C27B}"/>
    <cellStyle name="SAPBEXexcGood3 2 3 2" xfId="6173" xr:uid="{347697A9-F127-4E90-B3EE-DC60F7A4ACC9}"/>
    <cellStyle name="SAPBEXexcGood3 2 3 2 2" xfId="11615" xr:uid="{63575765-AA05-4D24-8579-2E1CFD3C943C}"/>
    <cellStyle name="SAPBEXexcGood3 2 3 2 3" xfId="13690" xr:uid="{2E60B538-DA3C-4947-8DC7-73FE8667BBCD}"/>
    <cellStyle name="SAPBEXexcGood3 2 3 3" xfId="6855" xr:uid="{296F19FD-B236-4875-8F39-368EF7EFD023}"/>
    <cellStyle name="SAPBEXexcGood3 2 3 3 2" xfId="12297" xr:uid="{0E64A9B4-9274-4F06-B567-B69661C0B8B6}"/>
    <cellStyle name="SAPBEXexcGood3 2 3 3 3" xfId="14350" xr:uid="{FE44C63C-23D5-413E-948D-6F8E3D7C5DEB}"/>
    <cellStyle name="SAPBEXexcGood3 2 3 4" xfId="9236" xr:uid="{6AFF4F22-5D9A-4B12-9F32-DCC6F0CE7D0C}"/>
    <cellStyle name="SAPBEXexcGood3 2 3 5" xfId="12953" xr:uid="{D161DA48-920D-4E1D-A021-6D6A409095A1}"/>
    <cellStyle name="SAPBEXexcGood3 2 4" xfId="3831" xr:uid="{3B1FEDEC-38B7-410A-A4DE-D72A8BAFEB18}"/>
    <cellStyle name="SAPBEXexcGood3 2 4 2" xfId="6238" xr:uid="{6214C54A-90B3-417A-A17C-750647AD012F}"/>
    <cellStyle name="SAPBEXexcGood3 2 4 2 2" xfId="11680" xr:uid="{5EFADC68-B183-4BE0-BEBB-6EAD3902BFB1}"/>
    <cellStyle name="SAPBEXexcGood3 2 4 2 3" xfId="13754" xr:uid="{92394066-B82A-4949-8EA9-54D4C9EF2238}"/>
    <cellStyle name="SAPBEXexcGood3 2 4 3" xfId="6918" xr:uid="{7A21F853-08E1-4822-BD7A-65BF044CB9DA}"/>
    <cellStyle name="SAPBEXexcGood3 2 4 3 2" xfId="12360" xr:uid="{25251156-115A-4014-A9D8-14F1D5E876E6}"/>
    <cellStyle name="SAPBEXexcGood3 2 4 3 3" xfId="14412" xr:uid="{C9DF98CF-1138-4EBC-897A-DB3EF899894F}"/>
    <cellStyle name="SAPBEXexcGood3 2 4 4" xfId="9301" xr:uid="{5F3C93E3-DB25-4FD4-B931-179DF967A191}"/>
    <cellStyle name="SAPBEXexcGood3 2 4 5" xfId="13015" xr:uid="{B4F80E51-0421-415F-8359-CC45615D2F10}"/>
    <cellStyle name="SAPBEXexcGood3 2 5" xfId="3916" xr:uid="{60692C04-1261-4B2B-99D6-85FD67F3CB0F}"/>
    <cellStyle name="SAPBEXexcGood3 2 5 2" xfId="6321" xr:uid="{318B6C67-8B36-478C-B43D-BA0F73CCF148}"/>
    <cellStyle name="SAPBEXexcGood3 2 5 2 2" xfId="11763" xr:uid="{F15248F7-E46C-4F96-A520-7274A48185E1}"/>
    <cellStyle name="SAPBEXexcGood3 2 5 2 3" xfId="13835" xr:uid="{DEFAFAFC-3D7D-4622-AA0C-C6AD4B6AAECE}"/>
    <cellStyle name="SAPBEXexcGood3 2 5 3" xfId="6999" xr:uid="{D5735155-018B-467A-B15A-1F985799C2F4}"/>
    <cellStyle name="SAPBEXexcGood3 2 5 3 2" xfId="12441" xr:uid="{044324B5-4AC3-4827-8A5D-C0A34F4E9794}"/>
    <cellStyle name="SAPBEXexcGood3 2 5 3 3" xfId="14491" xr:uid="{40C0F518-F0D9-4F1F-A73E-7D0D3EB3D648}"/>
    <cellStyle name="SAPBEXexcGood3 2 5 4" xfId="9384" xr:uid="{3406184B-F9C7-4473-AF6E-5E070B001046}"/>
    <cellStyle name="SAPBEXexcGood3 2 5 5" xfId="13094" xr:uid="{F159B9C1-8B78-4C1E-A6F5-B9DF9D0E2C95}"/>
    <cellStyle name="SAPBEXexcGood3 2 6" xfId="3983" xr:uid="{16D7E7F1-757A-406C-8E02-5FF0F50429A2}"/>
    <cellStyle name="SAPBEXexcGood3 2 6 2" xfId="6386" xr:uid="{9DD5E29E-D053-4374-9453-F93F9C15FF11}"/>
    <cellStyle name="SAPBEXexcGood3 2 6 2 2" xfId="11828" xr:uid="{F99168F8-B605-42EB-BC2A-CC75808E9E53}"/>
    <cellStyle name="SAPBEXexcGood3 2 6 2 3" xfId="13899" xr:uid="{893D119E-5F1F-42C7-9B64-692815946524}"/>
    <cellStyle name="SAPBEXexcGood3 2 6 3" xfId="7062" xr:uid="{4CC01AAA-B822-46AD-957E-8D885F82ACE5}"/>
    <cellStyle name="SAPBEXexcGood3 2 6 3 2" xfId="12504" xr:uid="{F98495ED-A2E6-43C4-9B78-C52E96B564F7}"/>
    <cellStyle name="SAPBEXexcGood3 2 6 3 3" xfId="14553" xr:uid="{4AB18AB0-E99B-4FEC-8DCF-711D3F7AB92E}"/>
    <cellStyle name="SAPBEXexcGood3 2 6 4" xfId="9449" xr:uid="{4388D76B-9691-4317-95DB-2528856280FB}"/>
    <cellStyle name="SAPBEXexcGood3 2 6 5" xfId="13156" xr:uid="{813FA179-5DFC-4A2E-AE1D-9B27E3D6F673}"/>
    <cellStyle name="SAPBEXexcGood3 2 7" xfId="3617" xr:uid="{7FCC4303-C3A2-4B22-92DA-5AA41733CBA4}"/>
    <cellStyle name="SAPBEXexcGood3 2 7 2" xfId="6026" xr:uid="{304C7B1E-9A78-4EA8-B82A-347576654BFF}"/>
    <cellStyle name="SAPBEXexcGood3 2 7 2 2" xfId="11468" xr:uid="{1FADE2FB-4312-416D-950D-D5A37C314204}"/>
    <cellStyle name="SAPBEXexcGood3 2 7 2 3" xfId="13550" xr:uid="{4833E493-190E-489D-BE11-15C0EBADEA8F}"/>
    <cellStyle name="SAPBEXexcGood3 2 7 3" xfId="6710" xr:uid="{E77DF9C1-D237-420C-979D-87A238D94340}"/>
    <cellStyle name="SAPBEXexcGood3 2 7 3 2" xfId="12152" xr:uid="{96762937-F177-4AB9-B576-74A6C0EB8229}"/>
    <cellStyle name="SAPBEXexcGood3 2 7 3 3" xfId="14212" xr:uid="{2459F190-53E1-404E-AC0B-758822286FEE}"/>
    <cellStyle name="SAPBEXexcGood3 2 7 4" xfId="9089" xr:uid="{2E56191B-0320-4C76-968D-BA697CD4C1B7}"/>
    <cellStyle name="SAPBEXexcGood3 2 7 5" xfId="12815" xr:uid="{38DDF9CE-70FE-4419-89F7-46ED37F52BF5}"/>
    <cellStyle name="SAPBEXexcGood3 2 8" xfId="5752" xr:uid="{220501CC-7F26-49FD-AF64-9072FB44D1F5}"/>
    <cellStyle name="SAPBEXexcGood3 2 8 2" xfId="11194" xr:uid="{C38E4F73-7ECD-4637-ADD4-63F9A8204013}"/>
    <cellStyle name="SAPBEXexcGood3 2 8 3" xfId="13398" xr:uid="{198B6C94-DC26-4905-9A65-E9487CAC1F5E}"/>
    <cellStyle name="SAPBEXexcGood3 2 9" xfId="6550" xr:uid="{22431EB3-5B16-4B69-8A64-3F7DC48EA919}"/>
    <cellStyle name="SAPBEXexcGood3 2 9 2" xfId="11992" xr:uid="{E4E99655-F08F-4558-B078-086115F3EE2C}"/>
    <cellStyle name="SAPBEXexcGood3 2 9 3" xfId="14060" xr:uid="{87BB79A2-E1C8-4132-8C55-236824001E90}"/>
    <cellStyle name="SAPBEXexcGood3 3" xfId="3202" xr:uid="{7D5BAF53-8FDE-4B14-868A-EC34FE90ABE5}"/>
    <cellStyle name="SAPBEXexcGood3 3 10" xfId="12662" xr:uid="{DDDE5272-8148-4EA4-A796-DD565FA7DD32}"/>
    <cellStyle name="SAPBEXexcGood3 3 2" xfId="3791" xr:uid="{02F81392-0C8C-4CC1-9191-670E51D4F61C}"/>
    <cellStyle name="SAPBEXexcGood3 3 2 2" xfId="6199" xr:uid="{9FB5BA0A-AC21-4E8B-AEB2-B5229AB3C791}"/>
    <cellStyle name="SAPBEXexcGood3 3 2 2 2" xfId="11641" xr:uid="{38EFDB7C-B8C4-4957-A229-939F3C6B0461}"/>
    <cellStyle name="SAPBEXexcGood3 3 2 2 3" xfId="13716" xr:uid="{2873D36C-D81D-4DD9-A036-093ADF0C9DE2}"/>
    <cellStyle name="SAPBEXexcGood3 3 2 3" xfId="6881" xr:uid="{0ACF36B7-BD75-4D8E-9452-00324C235641}"/>
    <cellStyle name="SAPBEXexcGood3 3 2 3 2" xfId="12323" xr:uid="{BB901415-8102-42E8-9D9A-5E8497672BC6}"/>
    <cellStyle name="SAPBEXexcGood3 3 2 3 3" xfId="14376" xr:uid="{1A45D70F-12B6-48D5-B65D-01AA02711850}"/>
    <cellStyle name="SAPBEXexcGood3 3 2 4" xfId="9262" xr:uid="{69561932-E420-4B9F-B6F9-E38310BBB03B}"/>
    <cellStyle name="SAPBEXexcGood3 3 2 5" xfId="12979" xr:uid="{540D10A8-F690-4643-A81C-53B31CD9EDC8}"/>
    <cellStyle name="SAPBEXexcGood3 3 3" xfId="3857" xr:uid="{5FF8F2D5-8D19-4307-8F24-EC95FDECCCC3}"/>
    <cellStyle name="SAPBEXexcGood3 3 3 2" xfId="6264" xr:uid="{0E7253A3-57F2-4EAD-8576-D16B34E006EC}"/>
    <cellStyle name="SAPBEXexcGood3 3 3 2 2" xfId="11706" xr:uid="{E60B8411-C330-423B-9894-469896224183}"/>
    <cellStyle name="SAPBEXexcGood3 3 3 2 3" xfId="13780" xr:uid="{1C0CA3E3-11DF-42D8-9396-863788B41103}"/>
    <cellStyle name="SAPBEXexcGood3 3 3 3" xfId="6944" xr:uid="{A69EF966-D725-474D-B44B-784B58A49CA7}"/>
    <cellStyle name="SAPBEXexcGood3 3 3 3 2" xfId="12386" xr:uid="{2790B32D-8B77-4D0A-8D77-4CDFB74031C4}"/>
    <cellStyle name="SAPBEXexcGood3 3 3 3 3" xfId="14438" xr:uid="{A8CB392E-99D0-4E1B-987C-4CB9A63D7143}"/>
    <cellStyle name="SAPBEXexcGood3 3 3 4" xfId="9327" xr:uid="{C85965FB-B7D3-4A3B-AC19-65EC617D662C}"/>
    <cellStyle name="SAPBEXexcGood3 3 3 5" xfId="13041" xr:uid="{055945BE-8171-4992-8876-00DEE3AF79AE}"/>
    <cellStyle name="SAPBEXexcGood3 3 4" xfId="3942" xr:uid="{CE8AEAED-7BB9-49CB-954B-984C687F3F25}"/>
    <cellStyle name="SAPBEXexcGood3 3 4 2" xfId="6347" xr:uid="{091B381A-F7D5-44C1-A28B-94D393C75EB8}"/>
    <cellStyle name="SAPBEXexcGood3 3 4 2 2" xfId="11789" xr:uid="{EE4F9C47-FECE-4394-9F14-4D75FA2B2E88}"/>
    <cellStyle name="SAPBEXexcGood3 3 4 2 3" xfId="13861" xr:uid="{FA9A7B82-B806-47E9-86D6-0E60CE8BE1EC}"/>
    <cellStyle name="SAPBEXexcGood3 3 4 3" xfId="7025" xr:uid="{4923CEF1-8690-4979-824B-7B8ACAB4486D}"/>
    <cellStyle name="SAPBEXexcGood3 3 4 3 2" xfId="12467" xr:uid="{4751F1BB-0CB3-4F95-AAF1-30E7915BE863}"/>
    <cellStyle name="SAPBEXexcGood3 3 4 3 3" xfId="14517" xr:uid="{012D758A-0892-461C-BF7B-C61461FBBCB2}"/>
    <cellStyle name="SAPBEXexcGood3 3 4 4" xfId="9410" xr:uid="{1364A4C0-3564-4468-A864-9B9331DF653F}"/>
    <cellStyle name="SAPBEXexcGood3 3 4 5" xfId="13120" xr:uid="{1232B897-3F5A-46DE-83E9-F9CC81A09DF7}"/>
    <cellStyle name="SAPBEXexcGood3 3 5" xfId="4009" xr:uid="{711B633B-6198-4AF4-958D-7B1F1901D210}"/>
    <cellStyle name="SAPBEXexcGood3 3 5 2" xfId="6412" xr:uid="{8A13DF08-5D1E-441A-B4D7-D816089098C4}"/>
    <cellStyle name="SAPBEXexcGood3 3 5 2 2" xfId="11854" xr:uid="{95BF3E53-A16B-43F5-89DD-62CA855BD16F}"/>
    <cellStyle name="SAPBEXexcGood3 3 5 2 3" xfId="13925" xr:uid="{498057E0-E544-49F3-AB0D-5C135D0EFCC8}"/>
    <cellStyle name="SAPBEXexcGood3 3 5 3" xfId="7088" xr:uid="{CBE72B32-78DD-4DED-8608-FD1E6E75C470}"/>
    <cellStyle name="SAPBEXexcGood3 3 5 3 2" xfId="12530" xr:uid="{71435517-61A3-480B-8B36-81D002A9E93B}"/>
    <cellStyle name="SAPBEXexcGood3 3 5 3 3" xfId="14579" xr:uid="{00A372E4-2F3C-4C2B-8F33-06A576EA9C32}"/>
    <cellStyle name="SAPBEXexcGood3 3 5 4" xfId="9475" xr:uid="{4B9BDC7D-A31D-469C-9B27-1AD999DFF4B7}"/>
    <cellStyle name="SAPBEXexcGood3 3 5 5" xfId="13182" xr:uid="{F18F5356-4FE6-4CA3-9ECC-81561F7D32DF}"/>
    <cellStyle name="SAPBEXexcGood3 3 6" xfId="3725" xr:uid="{F4B1E74D-1706-4401-9D07-D9A86FA0FCA5}"/>
    <cellStyle name="SAPBEXexcGood3 3 6 2" xfId="6133" xr:uid="{B08043FD-2FC6-4EA0-B179-3AB72C42702F}"/>
    <cellStyle name="SAPBEXexcGood3 3 6 2 2" xfId="11575" xr:uid="{EC3682DC-A6B4-410F-B52D-B9CBD848DD6A}"/>
    <cellStyle name="SAPBEXexcGood3 3 6 2 3" xfId="13652" xr:uid="{6656CF35-51E9-4B65-89E9-7A572CAE672E}"/>
    <cellStyle name="SAPBEXexcGood3 3 6 3" xfId="6817" xr:uid="{DACAB540-05A2-4F1A-8C62-C5EE1D03ABB6}"/>
    <cellStyle name="SAPBEXexcGood3 3 6 3 2" xfId="12259" xr:uid="{5221B29E-543B-43C6-9882-A5A633883230}"/>
    <cellStyle name="SAPBEXexcGood3 3 6 3 3" xfId="14314" xr:uid="{44050DD1-AEA3-4A21-93ED-03AEE29CA00A}"/>
    <cellStyle name="SAPBEXexcGood3 3 6 4" xfId="9196" xr:uid="{9ABF5DB4-F9FF-4D36-9250-0A775EC24E0C}"/>
    <cellStyle name="SAPBEXexcGood3 3 6 5" xfId="12917" xr:uid="{1E0EFD30-F564-4BB7-8F68-E46547D2DD46}"/>
    <cellStyle name="SAPBEXexcGood3 3 7" xfId="5751" xr:uid="{D970D3A6-0B21-4253-AE76-16943E9B0252}"/>
    <cellStyle name="SAPBEXexcGood3 3 7 2" xfId="11193" xr:uid="{C03C136B-7927-4EDA-806D-559E0F54B60D}"/>
    <cellStyle name="SAPBEXexcGood3 3 7 3" xfId="13397" xr:uid="{E9D610B0-785A-4BBA-9B53-A4039DC6C481}"/>
    <cellStyle name="SAPBEXexcGood3 3 8" xfId="6549" xr:uid="{DDF9B0F5-CC57-47B8-A885-A00264B5829E}"/>
    <cellStyle name="SAPBEXexcGood3 3 8 2" xfId="11991" xr:uid="{15F616C9-632D-49D3-B979-3A784CFE57EA}"/>
    <cellStyle name="SAPBEXexcGood3 3 8 3" xfId="14059" xr:uid="{938A302C-A18B-47D0-889E-D4A63FADD379}"/>
    <cellStyle name="SAPBEXexcGood3 3 9" xfId="8807" xr:uid="{901D1541-DF70-4CA5-907F-3985D2675B46}"/>
    <cellStyle name="SAPBEXexcGood3 4" xfId="3659" xr:uid="{577554E3-B0D6-4B4C-96E3-BC196999E145}"/>
    <cellStyle name="SAPBEXexcGood3 4 2" xfId="6067" xr:uid="{2CD89666-FD61-481A-9A32-985308F484AC}"/>
    <cellStyle name="SAPBEXexcGood3 4 2 2" xfId="11509" xr:uid="{90573FA2-AED9-4949-8334-06734F9372EE}"/>
    <cellStyle name="SAPBEXexcGood3 4 2 3" xfId="13589" xr:uid="{D6A410F3-6D83-454C-897F-B9B318A9ECC7}"/>
    <cellStyle name="SAPBEXexcGood3 4 3" xfId="6751" xr:uid="{591B43F6-0D3B-4D18-9DB1-C57E0A7A77A7}"/>
    <cellStyle name="SAPBEXexcGood3 4 3 2" xfId="12193" xr:uid="{70E13B90-C1A2-40A2-B5DD-70B09A059E8E}"/>
    <cellStyle name="SAPBEXexcGood3 4 3 3" xfId="14251" xr:uid="{1A31BAF2-0387-4112-B2A9-EEB47EFFCF72}"/>
    <cellStyle name="SAPBEXexcGood3 4 4" xfId="9130" xr:uid="{A4385770-F10C-40DE-8319-1088C956B346}"/>
    <cellStyle name="SAPBEXexcGood3 4 5" xfId="12854" xr:uid="{88D64CBE-962C-4414-9B58-2503757361AC}"/>
    <cellStyle name="SAPBEXexcGood3 5" xfId="3638" xr:uid="{C49AF9EB-6FCC-475D-A634-8D5689252ED4}"/>
    <cellStyle name="SAPBEXexcGood3 5 2" xfId="6047" xr:uid="{0CB4F941-2498-4D81-80A4-1FA4528020EE}"/>
    <cellStyle name="SAPBEXexcGood3 5 2 2" xfId="11489" xr:uid="{4C57CE75-7669-4BB7-A20F-6A51E67B456B}"/>
    <cellStyle name="SAPBEXexcGood3 5 2 3" xfId="13571" xr:uid="{EDFE895A-068A-49CA-9499-663DCB6C5DC8}"/>
    <cellStyle name="SAPBEXexcGood3 5 3" xfId="6731" xr:uid="{E3347FC0-50E6-4667-8F04-3B228A8C641B}"/>
    <cellStyle name="SAPBEXexcGood3 5 3 2" xfId="12173" xr:uid="{383AC249-5EAC-4EA0-A24E-9753C741D532}"/>
    <cellStyle name="SAPBEXexcGood3 5 3 3" xfId="14233" xr:uid="{8C1E0B19-5049-4B4F-98AE-243345AFD7F1}"/>
    <cellStyle name="SAPBEXexcGood3 5 4" xfId="9110" xr:uid="{ACCB90AF-7DA9-4BA8-96E1-1FBF18C6D0BB}"/>
    <cellStyle name="SAPBEXexcGood3 5 5" xfId="12836" xr:uid="{54F171B4-F498-4FFA-B243-E784B1273E1C}"/>
    <cellStyle name="SAPBEXexcGood3 6" xfId="3573" xr:uid="{55DFA571-E68F-48A4-BD7A-D574A6C6727E}"/>
    <cellStyle name="SAPBEXexcGood3 6 2" xfId="5984" xr:uid="{36E785B0-B148-404C-B391-D9639761BC1D}"/>
    <cellStyle name="SAPBEXexcGood3 6 2 2" xfId="11426" xr:uid="{1E386F21-B94D-4D0C-8744-497AB3610D56}"/>
    <cellStyle name="SAPBEXexcGood3 6 2 3" xfId="13511" xr:uid="{1EDFDFD0-651C-4053-A16F-613CDA6E9F5B}"/>
    <cellStyle name="SAPBEXexcGood3 6 3" xfId="6667" xr:uid="{A1A2A2B1-066C-4FF2-937F-E86185EAC86E}"/>
    <cellStyle name="SAPBEXexcGood3 6 3 2" xfId="12109" xr:uid="{A11649A1-40F8-4E34-8E27-C9F720EB7E42}"/>
    <cellStyle name="SAPBEXexcGood3 6 3 3" xfId="14172" xr:uid="{D19AB586-36DC-423D-B3DD-ED01A16383A8}"/>
    <cellStyle name="SAPBEXexcGood3 6 4" xfId="9045" xr:uid="{C5628205-7C92-406B-9B37-7B5B48963362}"/>
    <cellStyle name="SAPBEXexcGood3 6 5" xfId="12775" xr:uid="{2C189C41-B311-4A53-9AD7-7240B62367FF}"/>
    <cellStyle name="SAPBEXexcGood3 7" xfId="4142" xr:uid="{79274AE3-B891-4BFA-8992-858184D44B0A}"/>
    <cellStyle name="SAPBEXexcGood3 7 2" xfId="9592" xr:uid="{08542321-8398-454B-8AB7-56718608DC64}"/>
    <cellStyle name="SAPBEXexcGood3 7 3" xfId="13221" xr:uid="{B8B8ED9B-6768-415A-854B-A627F6AD66BB}"/>
    <cellStyle name="SAPBEXexcGood3 8" xfId="4119" xr:uid="{DE03F840-9B0F-448D-B509-9C33180205E6}"/>
    <cellStyle name="SAPBEXexcGood3 8 2" xfId="9569" xr:uid="{6069A0F0-58D3-47F5-B8AC-8CC6E5027D01}"/>
    <cellStyle name="SAPBEXexcGood3 8 3" xfId="13206" xr:uid="{0739CF10-B655-4063-BB32-65B096466622}"/>
    <cellStyle name="SAPBEXexcGood3 9" xfId="7208" xr:uid="{236DD4FF-C93F-42EF-96CE-53A4A915B5BE}"/>
    <cellStyle name="SAPBEXexcGood3_2014 CLEAResult Invoices" xfId="3204" xr:uid="{A49AE595-8865-4D27-AE43-8820BFCAD6B1}"/>
    <cellStyle name="SAPBEXfilterDrill" xfId="262" xr:uid="{76306972-94B0-4032-88E2-E407D87AC877}"/>
    <cellStyle name="SAPBEXfilterDrill 2" xfId="3206" xr:uid="{4D409AA2-D5E6-4EDB-BE1E-A5E2D342CF95}"/>
    <cellStyle name="SAPBEXfilterDrill 2 10" xfId="8810" xr:uid="{7B50AB79-3804-4815-A1AD-DBF1A565B115}"/>
    <cellStyle name="SAPBEXfilterDrill 2 11" xfId="12665" xr:uid="{C0410658-DF1A-4577-84BB-9A773C1BAEB1}"/>
    <cellStyle name="SAPBEXfilterDrill 2 2" xfId="3681" xr:uid="{C9152CAC-D11B-45A4-98F1-58470331E06E}"/>
    <cellStyle name="SAPBEXfilterDrill 2 2 2" xfId="6089" xr:uid="{22F3B340-4EBC-4267-A9AA-4885EB28ED06}"/>
    <cellStyle name="SAPBEXfilterDrill 2 2 2 2" xfId="11531" xr:uid="{5564795B-5F19-4CCC-B1FA-638705459CB2}"/>
    <cellStyle name="SAPBEXfilterDrill 2 2 3" xfId="6773" xr:uid="{BC0E44FE-727B-426F-AF1A-14CECE6C1029}"/>
    <cellStyle name="SAPBEXfilterDrill 2 2 3 2" xfId="12215" xr:uid="{A20D92B1-4160-4F14-9825-6B5940D36837}"/>
    <cellStyle name="SAPBEXfilterDrill 2 2 4" xfId="9152" xr:uid="{E74F81C3-D875-4663-9B2F-C4658926EC56}"/>
    <cellStyle name="SAPBEXfilterDrill 2 3" xfId="3746" xr:uid="{A7E2FBE3-DC44-4EB6-8BCC-3A5477CF56EC}"/>
    <cellStyle name="SAPBEXfilterDrill 2 3 2" xfId="6154" xr:uid="{B47994FE-725F-4D80-A735-11A380A4C418}"/>
    <cellStyle name="SAPBEXfilterDrill 2 3 2 2" xfId="11596" xr:uid="{7505178E-C03D-4E90-9EA0-A7BF295A8AAA}"/>
    <cellStyle name="SAPBEXfilterDrill 2 3 3" xfId="6837" xr:uid="{AE527B6A-83E2-4A44-945A-9B14FEF23D35}"/>
    <cellStyle name="SAPBEXfilterDrill 2 3 3 2" xfId="12279" xr:uid="{CD8CD139-AAB4-4F48-B0FD-A5AC152D460C}"/>
    <cellStyle name="SAPBEXfilterDrill 2 3 4" xfId="9217" xr:uid="{825BBF5E-1315-46DF-AEF9-4610B3CF23AD}"/>
    <cellStyle name="SAPBEXfilterDrill 2 4" xfId="3812" xr:uid="{560528D3-6F7D-4830-ACDD-2A22FFFBACDD}"/>
    <cellStyle name="SAPBEXfilterDrill 2 4 2" xfId="6219" xr:uid="{AAF8DE4D-446A-42D6-BC68-EED9E5345361}"/>
    <cellStyle name="SAPBEXfilterDrill 2 4 2 2" xfId="11661" xr:uid="{B21A6A01-0841-48ED-A5D3-1E22E6BEE453}"/>
    <cellStyle name="SAPBEXfilterDrill 2 4 3" xfId="6900" xr:uid="{BE04ED46-6DAD-4AFA-8415-4131439A767F}"/>
    <cellStyle name="SAPBEXfilterDrill 2 4 3 2" xfId="12342" xr:uid="{0550E5A1-1599-43CA-B388-FC26E31E8767}"/>
    <cellStyle name="SAPBEXfilterDrill 2 4 4" xfId="9282" xr:uid="{79C2079E-C8F0-4CFB-8444-5167172EBA51}"/>
    <cellStyle name="SAPBEXfilterDrill 2 5" xfId="3897" xr:uid="{B6E1729C-0191-46F9-8BB8-DBDE5708D5E1}"/>
    <cellStyle name="SAPBEXfilterDrill 2 5 2" xfId="6302" xr:uid="{D5378744-9A3F-4FDC-BB45-542F79C9BD3F}"/>
    <cellStyle name="SAPBEXfilterDrill 2 5 2 2" xfId="11744" xr:uid="{02D1DCF7-C3D5-4034-905D-C95A73014AE3}"/>
    <cellStyle name="SAPBEXfilterDrill 2 5 3" xfId="6981" xr:uid="{26DFB1D8-18E1-4EF6-BF2D-3272FF4F358E}"/>
    <cellStyle name="SAPBEXfilterDrill 2 5 3 2" xfId="12423" xr:uid="{0471151A-F91F-463E-9016-3B28CFC0BE3C}"/>
    <cellStyle name="SAPBEXfilterDrill 2 5 4" xfId="9365" xr:uid="{2FCE6F3C-2DEA-4668-AF80-2AFBB23B067B}"/>
    <cellStyle name="SAPBEXfilterDrill 2 6" xfId="3964" xr:uid="{15E98F55-CE11-4CD1-8B49-5F81CF264B04}"/>
    <cellStyle name="SAPBEXfilterDrill 2 6 2" xfId="6367" xr:uid="{B6C77848-1D45-488F-8EF9-484E3BDB4FE7}"/>
    <cellStyle name="SAPBEXfilterDrill 2 6 2 2" xfId="11809" xr:uid="{853DF6F7-575F-4EA3-A4B6-F148D0E2302A}"/>
    <cellStyle name="SAPBEXfilterDrill 2 6 3" xfId="7044" xr:uid="{601E2A5D-1DD1-4B4A-8542-DFBF1F9D0437}"/>
    <cellStyle name="SAPBEXfilterDrill 2 6 3 2" xfId="12486" xr:uid="{830DD47F-AD56-4A8C-881F-276681598374}"/>
    <cellStyle name="SAPBEXfilterDrill 2 6 4" xfId="9430" xr:uid="{EEAB8753-8C94-45AF-BBA7-65B668EA4B0D}"/>
    <cellStyle name="SAPBEXfilterDrill 2 7" xfId="3598" xr:uid="{123ACD7B-9D15-4902-B2C3-E655D739AB11}"/>
    <cellStyle name="SAPBEXfilterDrill 2 7 2" xfId="6008" xr:uid="{14046C4D-723D-4560-889C-E451183A289A}"/>
    <cellStyle name="SAPBEXfilterDrill 2 7 2 2" xfId="11450" xr:uid="{53F3451D-B8A4-4ADF-8C9D-A47CA1060E57}"/>
    <cellStyle name="SAPBEXfilterDrill 2 7 3" xfId="6691" xr:uid="{3DAD70C5-5F1E-438A-A2B3-F2FCE74B1DCB}"/>
    <cellStyle name="SAPBEXfilterDrill 2 7 3 2" xfId="12133" xr:uid="{3F1542B4-013D-4A16-A6A4-6DA08C48A90A}"/>
    <cellStyle name="SAPBEXfilterDrill 2 7 4" xfId="9070" xr:uid="{844CC4FF-12AD-4660-A842-B25781F63837}"/>
    <cellStyle name="SAPBEXfilterDrill 2 8" xfId="5754" xr:uid="{0BE8AF2B-B7FE-4A71-A272-ED630A89B6F3}"/>
    <cellStyle name="SAPBEXfilterDrill 2 8 2" xfId="11196" xr:uid="{BDB89331-BB3E-45AB-853F-99B3EFC77B38}"/>
    <cellStyle name="SAPBEXfilterDrill 2 8 3" xfId="13400" xr:uid="{821BEF61-9897-4E7B-82C4-58F45721E5C8}"/>
    <cellStyle name="SAPBEXfilterDrill 2 9" xfId="6552" xr:uid="{9CD35951-EA3F-4ACB-B55C-8E8F2E0708C9}"/>
    <cellStyle name="SAPBEXfilterDrill 2 9 2" xfId="11994" xr:uid="{44E86CB7-D3E6-4EB3-96FA-746892ACCEDF}"/>
    <cellStyle name="SAPBEXfilterDrill 2 9 3" xfId="14062" xr:uid="{C47D31D3-079F-43B9-9A1F-1F3DCCF2F373}"/>
    <cellStyle name="SAPBEXfilterDrill 3" xfId="3205" xr:uid="{8A59C42E-D9DD-4139-8DF2-8E611A66B4DA}"/>
    <cellStyle name="SAPBEXfilterDrill 3 2" xfId="3646" xr:uid="{FB6B86D1-9106-42BA-9B72-045DD4502CFC}"/>
    <cellStyle name="SAPBEXfilterDrill 3 2 2" xfId="6055" xr:uid="{79540A62-DDD4-4ED3-8848-CA926534A7A3}"/>
    <cellStyle name="SAPBEXfilterDrill 3 2 2 2" xfId="11497" xr:uid="{9EBA05DF-B24C-4142-9D26-E4F855362F39}"/>
    <cellStyle name="SAPBEXfilterDrill 3 2 3" xfId="6739" xr:uid="{D93900D3-421A-468F-85B8-7B992EFD040A}"/>
    <cellStyle name="SAPBEXfilterDrill 3 2 3 2" xfId="12181" xr:uid="{CCBD8D5B-23B8-4BC0-876A-BC65F4FE67A7}"/>
    <cellStyle name="SAPBEXfilterDrill 3 2 4" xfId="9118" xr:uid="{94DFA65C-03EC-4E05-9D7C-7931A24442F3}"/>
    <cellStyle name="SAPBEXfilterDrill 3 3" xfId="5753" xr:uid="{A9C55E99-D0C3-4275-BBDA-0456A6C6AF6E}"/>
    <cellStyle name="SAPBEXfilterDrill 3 3 2" xfId="11195" xr:uid="{B52026FB-E4E7-4E07-82F5-5D520617D492}"/>
    <cellStyle name="SAPBEXfilterDrill 3 3 3" xfId="13399" xr:uid="{1CD25F26-EDC1-422A-B01E-C7BA8BC7E657}"/>
    <cellStyle name="SAPBEXfilterDrill 3 4" xfId="6551" xr:uid="{B86080AC-45D1-4CD2-ACD2-9EC03B936EE8}"/>
    <cellStyle name="SAPBEXfilterDrill 3 4 2" xfId="11993" xr:uid="{C015DB25-093A-4F7D-BADB-4A0086E10954}"/>
    <cellStyle name="SAPBEXfilterDrill 3 4 3" xfId="14061" xr:uid="{4B896DEA-5D71-48EC-A33F-3284A8747263}"/>
    <cellStyle name="SAPBEXfilterDrill 3 5" xfId="8809" xr:uid="{66D2D5D6-9409-412C-A361-D6579EA17DCE}"/>
    <cellStyle name="SAPBEXfilterDrill 3 6" xfId="12664" xr:uid="{7566C539-3CC9-49A5-8165-92BF7D5A438D}"/>
    <cellStyle name="SAPBEXfilterDrill 4" xfId="3660" xr:uid="{EE9C261E-2134-4178-84B5-37D3EF18196D}"/>
    <cellStyle name="SAPBEXfilterDrill 4 2" xfId="6068" xr:uid="{659A1C68-2B1B-4BA1-8B0D-E5CB81141E5F}"/>
    <cellStyle name="SAPBEXfilterDrill 4 2 2" xfId="11510" xr:uid="{A2F6FA8B-44B1-4229-A834-E268B7AFB0CD}"/>
    <cellStyle name="SAPBEXfilterDrill 4 3" xfId="6752" xr:uid="{E0CF0EA3-DB96-4AFF-ACB7-6794E6F5D6DF}"/>
    <cellStyle name="SAPBEXfilterDrill 4 3 2" xfId="12194" xr:uid="{D82DCC5A-35F4-4E6C-B9C0-EB52D1BC1B9D}"/>
    <cellStyle name="SAPBEXfilterDrill 4 4" xfId="9131" xr:uid="{B890955F-33CD-4FAC-887E-D5B66F557AAA}"/>
    <cellStyle name="SAPBEXfilterDrill 5" xfId="3574" xr:uid="{7B4F9D58-9FF6-466A-B181-C3E39CD05455}"/>
    <cellStyle name="SAPBEXfilterDrill 5 2" xfId="5985" xr:uid="{4F8764BC-62E1-4CA0-8E39-C4E138074F51}"/>
    <cellStyle name="SAPBEXfilterDrill 5 2 2" xfId="11427" xr:uid="{2DD0DD7D-F133-4A5C-A9DB-50B3AF79D148}"/>
    <cellStyle name="SAPBEXfilterDrill 5 3" xfId="6668" xr:uid="{D2E67FC5-4C30-4E4E-A8F0-11C72528B235}"/>
    <cellStyle name="SAPBEXfilterDrill 5 3 2" xfId="12110" xr:uid="{A414DFED-983A-4AA6-82E8-69DBF7E4B6AD}"/>
    <cellStyle name="SAPBEXfilterDrill 5 4" xfId="9046" xr:uid="{98AD104E-E6A6-4BDD-9EC8-76C16A9E0CFA}"/>
    <cellStyle name="SAPBEXfilterDrill 6" xfId="7209" xr:uid="{82BD553D-7620-4764-8BC1-B4E3214DF6E0}"/>
    <cellStyle name="SAPBEXfilterDrill_2014 CLEAResult Invoices" xfId="3207" xr:uid="{C38D80E5-8C7A-4D37-BB90-4B85CEC23C74}"/>
    <cellStyle name="SAPBEXfilterItem" xfId="263" xr:uid="{1486561D-DC80-45D2-B919-D8446B0A7FB3}"/>
    <cellStyle name="SAPBEXfilterItem 2" xfId="3209" xr:uid="{583CF631-887B-481C-AA99-C506D98F0AB4}"/>
    <cellStyle name="SAPBEXfilterItem 2 2" xfId="5756" xr:uid="{0322C627-DE9B-44C2-840A-C627D7868A77}"/>
    <cellStyle name="SAPBEXfilterItem 2 2 2" xfId="11198" xr:uid="{43D1F890-18E3-481F-A7C4-56570A5937C8}"/>
    <cellStyle name="SAPBEXfilterItem 2 2 3" xfId="13402" xr:uid="{B9F016CA-499C-4E0A-A459-5A20930BFFD0}"/>
    <cellStyle name="SAPBEXfilterItem 2 3" xfId="6554" xr:uid="{7C38682E-C9BF-4F16-99E9-2889DFBDD4E0}"/>
    <cellStyle name="SAPBEXfilterItem 2 3 2" xfId="11996" xr:uid="{152235B6-8784-45BA-8407-4E01D0BF58B5}"/>
    <cellStyle name="SAPBEXfilterItem 2 3 3" xfId="14064" xr:uid="{09FF0467-74CF-4904-B617-F2B78F25A3C9}"/>
    <cellStyle name="SAPBEXfilterItem 2 4" xfId="8812" xr:uid="{6EFE2FCC-5E85-4DFA-92C4-7CAC2045C474}"/>
    <cellStyle name="SAPBEXfilterItem 2 5" xfId="12667" xr:uid="{5999E736-80CB-4A44-95D6-D0177BC14C24}"/>
    <cellStyle name="SAPBEXfilterItem 3" xfId="3208" xr:uid="{504D90A7-E974-46A1-B435-A6A8DC6D06EA}"/>
    <cellStyle name="SAPBEXfilterItem 3 2" xfId="5755" xr:uid="{50BB1168-3486-494D-898D-B5EEDA2A39A7}"/>
    <cellStyle name="SAPBEXfilterItem 3 2 2" xfId="11197" xr:uid="{CA4D4ED5-0D09-442B-AF6E-C83246D23E78}"/>
    <cellStyle name="SAPBEXfilterItem 3 2 3" xfId="13401" xr:uid="{36A3E138-406E-4F31-9AA1-F477665E2925}"/>
    <cellStyle name="SAPBEXfilterItem 3 3" xfId="6553" xr:uid="{B553A496-6AB7-48B2-9F4C-62B0C941E8E4}"/>
    <cellStyle name="SAPBEXfilterItem 3 3 2" xfId="11995" xr:uid="{DC0376BF-298A-4702-B26F-7C332171C3C7}"/>
    <cellStyle name="SAPBEXfilterItem 3 3 3" xfId="14063" xr:uid="{DF66CD86-D6B8-4500-B2B3-4891DDF6D7B9}"/>
    <cellStyle name="SAPBEXfilterItem 3 4" xfId="8811" xr:uid="{6EAE3CF9-456B-4851-B922-DBB4FC1682E7}"/>
    <cellStyle name="SAPBEXfilterItem 3 5" xfId="12666" xr:uid="{6A4D6DBC-DD11-41D1-9336-54FB9B51BE21}"/>
    <cellStyle name="SAPBEXfilterItem_2014 CLEAResult Invoices" xfId="3210" xr:uid="{7CEA24E1-34E6-4ECB-A020-5A6E6094E1BD}"/>
    <cellStyle name="SAPBEXfilterText" xfId="264" xr:uid="{78588BF5-4F7A-4BE6-BFA6-E302FC8F66DF}"/>
    <cellStyle name="SAPBEXfilterText 2" xfId="3212" xr:uid="{852EA587-1914-40F2-8834-B0069D0FED09}"/>
    <cellStyle name="SAPBEXfilterText 2 2" xfId="5758" xr:uid="{764E3E7E-7C29-460C-9AB6-C08501326A13}"/>
    <cellStyle name="SAPBEXfilterText 2 2 2" xfId="11200" xr:uid="{9A64E66E-3713-4D99-B890-AED21404123C}"/>
    <cellStyle name="SAPBEXfilterText 2 2 3" xfId="13404" xr:uid="{4F6FFC43-A139-4409-94E8-671BA6EECECA}"/>
    <cellStyle name="SAPBEXfilterText 2 3" xfId="6556" xr:uid="{0F40ACC5-9F6A-4255-B703-D9F45DA2C2E4}"/>
    <cellStyle name="SAPBEXfilterText 2 3 2" xfId="11998" xr:uid="{17DAE718-B963-4E69-8332-22EE5C5450DA}"/>
    <cellStyle name="SAPBEXfilterText 2 3 3" xfId="14066" xr:uid="{F9168878-2FF9-42D0-AFEA-ADAB28D77386}"/>
    <cellStyle name="SAPBEXfilterText 2 4" xfId="8814" xr:uid="{AF5E12C6-CAC1-4379-9B15-BEA1CA22DE33}"/>
    <cellStyle name="SAPBEXfilterText 2 5" xfId="12669" xr:uid="{7006938A-9E1A-439E-B05B-8C8C86122413}"/>
    <cellStyle name="SAPBEXfilterText 3" xfId="3211" xr:uid="{E422CC31-0B53-4460-999E-4F936DA1FFCD}"/>
    <cellStyle name="SAPBEXfilterText 3 2" xfId="5757" xr:uid="{1731C4E2-73D5-4232-8115-719A8ECA5708}"/>
    <cellStyle name="SAPBEXfilterText 3 2 2" xfId="11199" xr:uid="{766F53F0-34E1-4773-9077-EF5047027138}"/>
    <cellStyle name="SAPBEXfilterText 3 2 3" xfId="13403" xr:uid="{31B7E1C8-E1B5-490E-8743-8DAC7246DB73}"/>
    <cellStyle name="SAPBEXfilterText 3 3" xfId="6555" xr:uid="{F6184A93-7985-4A5A-85B9-77A06322AEE5}"/>
    <cellStyle name="SAPBEXfilterText 3 3 2" xfId="11997" xr:uid="{FDC203F9-AED8-4D86-B19C-0A1B9BDAECE7}"/>
    <cellStyle name="SAPBEXfilterText 3 3 3" xfId="14065" xr:uid="{17B3C031-175B-4CDC-AFB0-F2958D98D568}"/>
    <cellStyle name="SAPBEXfilterText 3 4" xfId="8813" xr:uid="{30269422-E9B5-4E85-8C41-EC255F0E37F2}"/>
    <cellStyle name="SAPBEXfilterText 3 5" xfId="12668" xr:uid="{D613A83E-7AB0-4458-9C18-BAFB1DB2EE6F}"/>
    <cellStyle name="SAPBEXfilterText_2014 CLEAResult Invoices" xfId="3213" xr:uid="{CC53A674-64FE-43F2-8BA6-B8B0D8C2CFE8}"/>
    <cellStyle name="SAPBEXformats" xfId="265" xr:uid="{6295B6C2-3DF6-4618-AFC6-D064275C0AF4}"/>
    <cellStyle name="SAPBEXformats 10" xfId="8721" xr:uid="{58CADD37-9F66-4B97-8640-352F1B67BA93}"/>
    <cellStyle name="SAPBEXformats 2" xfId="3215" xr:uid="{E3D0B002-4D0D-4C83-8447-3E4BE0E0258D}"/>
    <cellStyle name="SAPBEXformats 2 10" xfId="8816" xr:uid="{0DABF052-4120-4A9D-97E5-C5FAB8C6BCF6}"/>
    <cellStyle name="SAPBEXformats 2 11" xfId="12671" xr:uid="{FB093032-D14A-4945-9D31-09403F84F50A}"/>
    <cellStyle name="SAPBEXformats 2 2" xfId="3683" xr:uid="{0330DFE5-B163-4C7D-BE9C-2E6F6AA9658F}"/>
    <cellStyle name="SAPBEXformats 2 2 2" xfId="6091" xr:uid="{C7C1AC43-FF72-4DDE-95D9-DE622C0DB130}"/>
    <cellStyle name="SAPBEXformats 2 2 2 2" xfId="11533" xr:uid="{6FD03D01-362D-43E4-BA0F-948F2F828C7A}"/>
    <cellStyle name="SAPBEXformats 2 2 2 3" xfId="13610" xr:uid="{C5FA575B-5766-4CB5-9B4C-625A047EC4B8}"/>
    <cellStyle name="SAPBEXformats 2 2 3" xfId="6775" xr:uid="{84479BAF-7BC7-4D18-9A5F-3F18BBE434BD}"/>
    <cellStyle name="SAPBEXformats 2 2 3 2" xfId="12217" xr:uid="{56C7D3CB-87CE-45F8-B83F-1E26EE9E5130}"/>
    <cellStyle name="SAPBEXformats 2 2 3 3" xfId="14272" xr:uid="{70926112-1327-4754-B399-7E2D8DEB17C0}"/>
    <cellStyle name="SAPBEXformats 2 2 4" xfId="9154" xr:uid="{EEE422D4-48F7-43E0-81CD-F461FF619EA9}"/>
    <cellStyle name="SAPBEXformats 2 2 5" xfId="12875" xr:uid="{773420AB-33A7-41BB-A4EE-4F4A2D6BDEDB}"/>
    <cellStyle name="SAPBEXformats 2 3" xfId="3749" xr:uid="{6009F12C-1EED-44A4-94E5-CEF419C95160}"/>
    <cellStyle name="SAPBEXformats 2 3 2" xfId="6157" xr:uid="{69481A43-A5FF-4632-A71C-5ADC885F1B15}"/>
    <cellStyle name="SAPBEXformats 2 3 2 2" xfId="11599" xr:uid="{00F75FEF-267B-4929-854C-7912A4F756EC}"/>
    <cellStyle name="SAPBEXformats 2 3 2 3" xfId="13674" xr:uid="{5FF0EA44-835C-4CF2-BC18-6F98CECA0828}"/>
    <cellStyle name="SAPBEXformats 2 3 3" xfId="6839" xr:uid="{EA7E7546-7AE3-4116-BD3C-6FE320A6A1EE}"/>
    <cellStyle name="SAPBEXformats 2 3 3 2" xfId="12281" xr:uid="{13AEF889-1DA3-4BC5-89AB-EAEB6D871E74}"/>
    <cellStyle name="SAPBEXformats 2 3 3 3" xfId="14334" xr:uid="{B3DC5431-3746-42E5-95C2-0CFEEEE83758}"/>
    <cellStyle name="SAPBEXformats 2 3 4" xfId="9220" xr:uid="{9DA0AA82-96F9-4B7F-8BBA-CDB21973BC81}"/>
    <cellStyle name="SAPBEXformats 2 3 5" xfId="12937" xr:uid="{209F2AD3-424A-4ADC-B980-80CAAA749DF6}"/>
    <cellStyle name="SAPBEXformats 2 4" xfId="3815" xr:uid="{CAC3BD0B-279F-41DE-B539-CF3B8A93DC32}"/>
    <cellStyle name="SAPBEXformats 2 4 2" xfId="6222" xr:uid="{AF6BF062-8188-4120-9A4E-3CF1C5E338E8}"/>
    <cellStyle name="SAPBEXformats 2 4 2 2" xfId="11664" xr:uid="{7EBD49BE-BEF3-4898-8134-1CBA14902201}"/>
    <cellStyle name="SAPBEXformats 2 4 2 3" xfId="13738" xr:uid="{B1544E55-E791-443F-AB33-362CE82A67AA}"/>
    <cellStyle name="SAPBEXformats 2 4 3" xfId="6902" xr:uid="{76B9D123-1A24-4046-BA54-F0A5E6199ADD}"/>
    <cellStyle name="SAPBEXformats 2 4 3 2" xfId="12344" xr:uid="{F545EA5B-B345-44AD-83E9-31E4BA707E92}"/>
    <cellStyle name="SAPBEXformats 2 4 3 3" xfId="14396" xr:uid="{24399FCC-77F6-483C-A060-E0BD86FF1F9B}"/>
    <cellStyle name="SAPBEXformats 2 4 4" xfId="9285" xr:uid="{51456F5E-0E9D-4168-B416-27B48B01D25A}"/>
    <cellStyle name="SAPBEXformats 2 4 5" xfId="12999" xr:uid="{B98DEAFD-3A7E-4015-9EBD-819DCCB61EB5}"/>
    <cellStyle name="SAPBEXformats 2 5" xfId="3900" xr:uid="{BB771F2B-E0E4-417F-B2F3-F2518DB8047F}"/>
    <cellStyle name="SAPBEXformats 2 5 2" xfId="6305" xr:uid="{C1073409-FA65-4058-910E-611FF38D17A0}"/>
    <cellStyle name="SAPBEXformats 2 5 2 2" xfId="11747" xr:uid="{03C93A70-33BA-404D-8CAD-69EBBC60D56B}"/>
    <cellStyle name="SAPBEXformats 2 5 2 3" xfId="13819" xr:uid="{E81F6EBD-8160-4568-95B4-2B99C9D2858D}"/>
    <cellStyle name="SAPBEXformats 2 5 3" xfId="6983" xr:uid="{F2D1DB24-E989-4946-A5AA-1B174330F049}"/>
    <cellStyle name="SAPBEXformats 2 5 3 2" xfId="12425" xr:uid="{4A29C2FD-6305-471A-8759-2F2700911C4A}"/>
    <cellStyle name="SAPBEXformats 2 5 3 3" xfId="14475" xr:uid="{2FD4A678-B7DC-46E6-AD8F-B85DC00C676D}"/>
    <cellStyle name="SAPBEXformats 2 5 4" xfId="9368" xr:uid="{9E57AD7A-C5F9-41BF-80AC-CC0A63A49709}"/>
    <cellStyle name="SAPBEXformats 2 5 5" xfId="13078" xr:uid="{6E6B7DDA-A8A2-4E0F-9EA3-8300F4D63F19}"/>
    <cellStyle name="SAPBEXformats 2 6" xfId="3967" xr:uid="{DF3E1438-4281-4C03-AA29-AE779D34A6C4}"/>
    <cellStyle name="SAPBEXformats 2 6 2" xfId="6370" xr:uid="{2D4F9783-CA97-45C5-B5E9-53BD6DC49085}"/>
    <cellStyle name="SAPBEXformats 2 6 2 2" xfId="11812" xr:uid="{5915326F-D342-48CB-ABEB-964DEA90AB2E}"/>
    <cellStyle name="SAPBEXformats 2 6 2 3" xfId="13883" xr:uid="{21D1CB70-CF5E-4CB1-B022-E68780BCE303}"/>
    <cellStyle name="SAPBEXformats 2 6 3" xfId="7046" xr:uid="{FD3334CB-0FBE-4483-80B0-C73B57AA8B54}"/>
    <cellStyle name="SAPBEXformats 2 6 3 2" xfId="12488" xr:uid="{55C6D871-4BA6-4831-BBA8-7A4EB1371DBD}"/>
    <cellStyle name="SAPBEXformats 2 6 3 3" xfId="14537" xr:uid="{483CFF8D-DA59-4491-981D-2C2987AC626F}"/>
    <cellStyle name="SAPBEXformats 2 6 4" xfId="9433" xr:uid="{E53B465B-9BD0-415C-A54C-A5E943DFE32B}"/>
    <cellStyle name="SAPBEXformats 2 6 5" xfId="13140" xr:uid="{F6A26087-0F01-41B9-984A-C27EE646D91B}"/>
    <cellStyle name="SAPBEXformats 2 7" xfId="3601" xr:uid="{17A3E32D-03B4-49BC-86FB-BAD250FCF761}"/>
    <cellStyle name="SAPBEXformats 2 7 2" xfId="6010" xr:uid="{A1D779F6-76FC-47E4-B969-60D7B588BC12}"/>
    <cellStyle name="SAPBEXformats 2 7 2 2" xfId="11452" xr:uid="{0FF3BF04-0B03-4F02-B012-2ED1A5A3C95E}"/>
    <cellStyle name="SAPBEXformats 2 7 2 3" xfId="13534" xr:uid="{D7566899-19D0-4FC9-A14E-3E084B09E1F2}"/>
    <cellStyle name="SAPBEXformats 2 7 3" xfId="6694" xr:uid="{E4EB2250-93CC-432C-A9C4-D08E8CA91CF6}"/>
    <cellStyle name="SAPBEXformats 2 7 3 2" xfId="12136" xr:uid="{F021B07A-D1FF-40D5-8AA7-8726468E2DB8}"/>
    <cellStyle name="SAPBEXformats 2 7 3 3" xfId="14196" xr:uid="{9981383D-F4D1-422E-9805-FD9AA292065F}"/>
    <cellStyle name="SAPBEXformats 2 7 4" xfId="9073" xr:uid="{C71A698C-A684-4457-8F15-3D6343BBA5C4}"/>
    <cellStyle name="SAPBEXformats 2 7 5" xfId="12799" xr:uid="{89159C69-2A3A-4923-9916-39ECC6E43A3D}"/>
    <cellStyle name="SAPBEXformats 2 8" xfId="5760" xr:uid="{E75B3F6D-1DD8-4967-9179-7C94B92B36EA}"/>
    <cellStyle name="SAPBEXformats 2 8 2" xfId="11202" xr:uid="{DE8D2B14-CF35-4BC8-AFC4-B97ADB15C9D5}"/>
    <cellStyle name="SAPBEXformats 2 8 3" xfId="13406" xr:uid="{71466576-70F6-4D8D-AEAC-2A698DD10CFC}"/>
    <cellStyle name="SAPBEXformats 2 9" xfId="6558" xr:uid="{0A430AEF-00CA-4056-B258-180DF191E554}"/>
    <cellStyle name="SAPBEXformats 2 9 2" xfId="12000" xr:uid="{02FCDDB5-52B3-45BA-86B0-06A649DEA631}"/>
    <cellStyle name="SAPBEXformats 2 9 3" xfId="14068" xr:uid="{B3818003-2245-4018-AA4D-98CDD7A4B1D7}"/>
    <cellStyle name="SAPBEXformats 3" xfId="3214" xr:uid="{FAB9BB15-5311-4B94-85EB-6441F44B3121}"/>
    <cellStyle name="SAPBEXformats 3 10" xfId="12670" xr:uid="{502B768B-A9BA-4EE8-B0D2-C29252BCA8A7}"/>
    <cellStyle name="SAPBEXformats 3 2" xfId="3792" xr:uid="{0AA7E25F-5016-4D76-8C62-99D3CA30BB7D}"/>
    <cellStyle name="SAPBEXformats 3 2 2" xfId="6200" xr:uid="{69BAF418-257F-4F56-BF30-478D03EEC4BA}"/>
    <cellStyle name="SAPBEXformats 3 2 2 2" xfId="11642" xr:uid="{5F007899-879C-441F-BCE9-7437F5EFD219}"/>
    <cellStyle name="SAPBEXformats 3 2 2 3" xfId="13717" xr:uid="{759D4CEB-D4AE-4957-AB34-086594AEA2C0}"/>
    <cellStyle name="SAPBEXformats 3 2 3" xfId="6882" xr:uid="{C8A62CCD-03BD-40A1-BE9B-247C54C08DF6}"/>
    <cellStyle name="SAPBEXformats 3 2 3 2" xfId="12324" xr:uid="{D9F09285-8C01-4C41-9327-835F765B081A}"/>
    <cellStyle name="SAPBEXformats 3 2 3 3" xfId="14377" xr:uid="{DB85B939-CDD1-4E14-81BF-968B6B86BF05}"/>
    <cellStyle name="SAPBEXformats 3 2 4" xfId="9263" xr:uid="{2D2D7FEF-DBA1-4D27-B0FD-8D84B3C950C9}"/>
    <cellStyle name="SAPBEXformats 3 2 5" xfId="12980" xr:uid="{9FBEE206-9932-4AAD-9EF4-99D234F45BE5}"/>
    <cellStyle name="SAPBEXformats 3 3" xfId="3858" xr:uid="{040BC47A-4710-48BC-A6A0-D186FB7F343C}"/>
    <cellStyle name="SAPBEXformats 3 3 2" xfId="6265" xr:uid="{52C04086-EB13-4C5D-8C14-144B755EBE62}"/>
    <cellStyle name="SAPBEXformats 3 3 2 2" xfId="11707" xr:uid="{F7DCFED5-28C9-4A71-9A26-0AF98DEAAB73}"/>
    <cellStyle name="SAPBEXformats 3 3 2 3" xfId="13781" xr:uid="{3CABB870-6237-46F1-8D9A-8432AF39FD2A}"/>
    <cellStyle name="SAPBEXformats 3 3 3" xfId="6945" xr:uid="{1A757B4F-A970-40E0-909B-D478BC410EEB}"/>
    <cellStyle name="SAPBEXformats 3 3 3 2" xfId="12387" xr:uid="{D9DD459F-2DBF-4F5D-911D-5B91DEE84D8D}"/>
    <cellStyle name="SAPBEXformats 3 3 3 3" xfId="14439" xr:uid="{0EF15EF7-49B0-42A4-9C6B-06A72B73E181}"/>
    <cellStyle name="SAPBEXformats 3 3 4" xfId="9328" xr:uid="{156802AA-3E5A-4616-AD7D-12A62B5C2A95}"/>
    <cellStyle name="SAPBEXformats 3 3 5" xfId="13042" xr:uid="{D558C287-2091-41E6-9FE6-4003C92870A2}"/>
    <cellStyle name="SAPBEXformats 3 4" xfId="3943" xr:uid="{92ADE740-9877-40DC-B604-56494138E63D}"/>
    <cellStyle name="SAPBEXformats 3 4 2" xfId="6348" xr:uid="{7B01B88E-7F50-4573-A1E5-ACD9E0F46E73}"/>
    <cellStyle name="SAPBEXformats 3 4 2 2" xfId="11790" xr:uid="{ACCD3881-088C-40F8-B696-A090833083FF}"/>
    <cellStyle name="SAPBEXformats 3 4 2 3" xfId="13862" xr:uid="{9298EE6A-BD1C-4DBA-AF8E-DF04EED5AB62}"/>
    <cellStyle name="SAPBEXformats 3 4 3" xfId="7026" xr:uid="{EEE9526B-C4EA-416F-97BF-1FF1ACA6DF78}"/>
    <cellStyle name="SAPBEXformats 3 4 3 2" xfId="12468" xr:uid="{0806EED7-418E-4878-B635-D5C132793D08}"/>
    <cellStyle name="SAPBEXformats 3 4 3 3" xfId="14518" xr:uid="{00878D95-8B29-401F-BC41-731FE8D0B6D8}"/>
    <cellStyle name="SAPBEXformats 3 4 4" xfId="9411" xr:uid="{52741028-E01F-4EE3-9739-269643422E1E}"/>
    <cellStyle name="SAPBEXformats 3 4 5" xfId="13121" xr:uid="{635D8AF7-6CCE-4D7A-B82D-C55609963E61}"/>
    <cellStyle name="SAPBEXformats 3 5" xfId="4010" xr:uid="{BF32FE6A-34B3-40A7-A028-F69447034B54}"/>
    <cellStyle name="SAPBEXformats 3 5 2" xfId="6413" xr:uid="{3AEFE933-318C-4CC7-B759-5405C8334C6D}"/>
    <cellStyle name="SAPBEXformats 3 5 2 2" xfId="11855" xr:uid="{5E2A3897-CC10-447C-8233-A31DD58C9C09}"/>
    <cellStyle name="SAPBEXformats 3 5 2 3" xfId="13926" xr:uid="{CCBC8323-0735-4348-83BC-79BA3CF94D1A}"/>
    <cellStyle name="SAPBEXformats 3 5 3" xfId="7089" xr:uid="{F348E83C-5209-44F4-94F6-0EBFACD25E8F}"/>
    <cellStyle name="SAPBEXformats 3 5 3 2" xfId="12531" xr:uid="{8CE179CA-68BC-4F92-8191-64441D8B9AAE}"/>
    <cellStyle name="SAPBEXformats 3 5 3 3" xfId="14580" xr:uid="{CED566AF-78F7-4872-95F1-53A27DE7371D}"/>
    <cellStyle name="SAPBEXformats 3 5 4" xfId="9476" xr:uid="{2CEA9520-F868-4E2D-95CA-E9FDA59B9D08}"/>
    <cellStyle name="SAPBEXformats 3 5 5" xfId="13183" xr:uid="{D1CBAC14-025A-45F6-AC98-BB847AA06290}"/>
    <cellStyle name="SAPBEXformats 3 6" xfId="3726" xr:uid="{7429F705-0C80-4C51-88A6-9D073B7AC89F}"/>
    <cellStyle name="SAPBEXformats 3 6 2" xfId="6134" xr:uid="{14C04382-84B9-4288-91B3-D77BE05F6D5F}"/>
    <cellStyle name="SAPBEXformats 3 6 2 2" xfId="11576" xr:uid="{01C7820B-D22E-4985-B8BB-CD84DD29135F}"/>
    <cellStyle name="SAPBEXformats 3 6 2 3" xfId="13653" xr:uid="{46D8579E-415E-44EB-8822-DD6C36C9E9BD}"/>
    <cellStyle name="SAPBEXformats 3 6 3" xfId="6818" xr:uid="{F530FDF5-A0C7-4402-8AD8-7DD04A32A15A}"/>
    <cellStyle name="SAPBEXformats 3 6 3 2" xfId="12260" xr:uid="{C7AC9FA7-498D-4357-AF7B-BE7CF7CD9D52}"/>
    <cellStyle name="SAPBEXformats 3 6 3 3" xfId="14315" xr:uid="{FBCD7BEA-34A2-41D6-AFAE-F8BC312ED8D6}"/>
    <cellStyle name="SAPBEXformats 3 6 4" xfId="9197" xr:uid="{6E424868-4260-4CBF-851B-2E8AC68EFFB2}"/>
    <cellStyle name="SAPBEXformats 3 6 5" xfId="12918" xr:uid="{B80490F9-930C-4C3F-A739-49F796A5D74E}"/>
    <cellStyle name="SAPBEXformats 3 7" xfId="5759" xr:uid="{5D29EAFC-54D3-4E5D-A7FB-E0E3A87A7A9E}"/>
    <cellStyle name="SAPBEXformats 3 7 2" xfId="11201" xr:uid="{C1D19E0B-6899-470C-B45A-AA3DF29DB551}"/>
    <cellStyle name="SAPBEXformats 3 7 3" xfId="13405" xr:uid="{A6D9E3EE-7EC9-42EF-84FA-35CA973285FD}"/>
    <cellStyle name="SAPBEXformats 3 8" xfId="6557" xr:uid="{46D12FA7-DD4F-44F6-B6F4-7D5AE5BD8A92}"/>
    <cellStyle name="SAPBEXformats 3 8 2" xfId="11999" xr:uid="{84282561-59FE-47CC-B5A9-88E2B7B52FD1}"/>
    <cellStyle name="SAPBEXformats 3 8 3" xfId="14067" xr:uid="{805F428C-38D2-4F05-9582-E69AF080E773}"/>
    <cellStyle name="SAPBEXformats 3 9" xfId="8815" xr:uid="{D1FA90F6-C01E-4DC9-B06C-6AA375601F76}"/>
    <cellStyle name="SAPBEXformats 4" xfId="3661" xr:uid="{F374A5C0-11F9-49F8-BBBD-4FF43960CF34}"/>
    <cellStyle name="SAPBEXformats 4 2" xfId="6069" xr:uid="{760D95EA-AACF-4493-9E52-E2D25085711C}"/>
    <cellStyle name="SAPBEXformats 4 2 2" xfId="11511" xr:uid="{B60B51A8-F216-4EA3-B6DC-957434729449}"/>
    <cellStyle name="SAPBEXformats 4 2 3" xfId="13590" xr:uid="{B48C7B5F-F7D1-4275-A5A2-819928616BA6}"/>
    <cellStyle name="SAPBEXformats 4 3" xfId="6753" xr:uid="{9463438D-59F3-4859-83D0-36AAEE938D2F}"/>
    <cellStyle name="SAPBEXformats 4 3 2" xfId="12195" xr:uid="{54E4C04B-9854-48E6-A163-02761AA4C2C1}"/>
    <cellStyle name="SAPBEXformats 4 3 3" xfId="14252" xr:uid="{0D39E3C6-99EE-4DC6-98D3-1B0B5A8E7822}"/>
    <cellStyle name="SAPBEXformats 4 4" xfId="9132" xr:uid="{B4C9913B-CABF-42C4-96F1-8F2A6BFE873F}"/>
    <cellStyle name="SAPBEXformats 4 5" xfId="12855" xr:uid="{95CA8F47-8FF2-4724-B7EF-C8BA0E1A2AA4}"/>
    <cellStyle name="SAPBEXformats 5" xfId="3637" xr:uid="{4A414767-D023-4ABB-A354-883960AA59BE}"/>
    <cellStyle name="SAPBEXformats 5 2" xfId="6046" xr:uid="{A20E6985-A05B-46E4-8B44-7EE63DADC0D9}"/>
    <cellStyle name="SAPBEXformats 5 2 2" xfId="11488" xr:uid="{952ECFA2-C23D-44CF-B883-F7384BD2C559}"/>
    <cellStyle name="SAPBEXformats 5 2 3" xfId="13570" xr:uid="{80023988-B4D9-4FEF-B049-8B0C2B534783}"/>
    <cellStyle name="SAPBEXformats 5 3" xfId="6730" xr:uid="{5B922DA0-9B50-4A66-B365-AA58C1E79A4D}"/>
    <cellStyle name="SAPBEXformats 5 3 2" xfId="12172" xr:uid="{E8102BEA-F4CC-4A9F-968C-A8EE7B708803}"/>
    <cellStyle name="SAPBEXformats 5 3 3" xfId="14232" xr:uid="{FE7B9BFD-95CA-4FEC-B1D7-E6C688CB314C}"/>
    <cellStyle name="SAPBEXformats 5 4" xfId="9109" xr:uid="{9727806F-C292-4D02-868D-4AFED3579737}"/>
    <cellStyle name="SAPBEXformats 5 5" xfId="12835" xr:uid="{D19784FE-EF77-47D0-9E26-3AA11A06ABBD}"/>
    <cellStyle name="SAPBEXformats 6" xfId="3575" xr:uid="{6E583833-C1B4-49EF-9CDC-380828717347}"/>
    <cellStyle name="SAPBEXformats 6 2" xfId="5986" xr:uid="{75C61AF2-4216-4420-9121-363063AF82AC}"/>
    <cellStyle name="SAPBEXformats 6 2 2" xfId="11428" xr:uid="{5B87C2DE-2A25-4355-A53C-746DFE5FA1A6}"/>
    <cellStyle name="SAPBEXformats 6 2 3" xfId="13512" xr:uid="{F1A81D96-AA6F-4FB1-8DD3-4438A335FA9F}"/>
    <cellStyle name="SAPBEXformats 6 3" xfId="6669" xr:uid="{E627EA47-BD9E-46AF-BE92-6515A706991E}"/>
    <cellStyle name="SAPBEXformats 6 3 2" xfId="12111" xr:uid="{CDBE016A-CC52-4098-BBB5-76213F464835}"/>
    <cellStyle name="SAPBEXformats 6 3 3" xfId="14173" xr:uid="{47207205-8548-4803-91D0-ACD8DB17FE68}"/>
    <cellStyle name="SAPBEXformats 6 4" xfId="9047" xr:uid="{6B56CF0A-42AE-40B2-8976-5D5B7F2DF465}"/>
    <cellStyle name="SAPBEXformats 6 5" xfId="12776" xr:uid="{1DBF276D-016B-49A2-8E52-CE60C6870B4A}"/>
    <cellStyle name="SAPBEXformats 7" xfId="4143" xr:uid="{7AB7E99D-92EC-4AC1-BC74-44773EF85560}"/>
    <cellStyle name="SAPBEXformats 7 2" xfId="9593" xr:uid="{A7E23B7D-1418-4380-972E-68C6537A2337}"/>
    <cellStyle name="SAPBEXformats 7 3" xfId="13222" xr:uid="{7E515929-CEC8-4C0D-B04E-6D802E68A104}"/>
    <cellStyle name="SAPBEXformats 8" xfId="5707" xr:uid="{C412D4C6-96BD-408F-8936-7FC7E83496FC}"/>
    <cellStyle name="SAPBEXformats 8 2" xfId="11149" xr:uid="{E920F9EF-8E9E-417A-A776-A80B2F1955D1}"/>
    <cellStyle name="SAPBEXformats 8 3" xfId="13355" xr:uid="{6248AA8D-386D-4D42-83C0-6C7D76662E1A}"/>
    <cellStyle name="SAPBEXformats 9" xfId="7210" xr:uid="{93F9FB3F-08A6-4536-8801-11D85F8A59AD}"/>
    <cellStyle name="SAPBEXformats_2014 CLEAResult Invoices" xfId="3216" xr:uid="{F30B036F-3DCB-4E1C-BD2E-F433CD8687DD}"/>
    <cellStyle name="SAPBEXheaderItem" xfId="266" xr:uid="{AD2B8C14-63FD-4E96-87C7-84B5D90059E6}"/>
    <cellStyle name="SAPBEXheaderItem 2" xfId="3218" xr:uid="{2D875A3B-296D-4335-8539-93F687F87A36}"/>
    <cellStyle name="SAPBEXheaderItem 2 2" xfId="5762" xr:uid="{9568BFC0-0CB8-463C-B9AA-045F7E05027E}"/>
    <cellStyle name="SAPBEXheaderItem 2 2 2" xfId="11204" xr:uid="{A45FB127-FC0E-43CC-9120-A4491DB08B6D}"/>
    <cellStyle name="SAPBEXheaderItem 2 2 3" xfId="13408" xr:uid="{4333A1B5-25B2-4B56-9F68-131895D4A5C7}"/>
    <cellStyle name="SAPBEXheaderItem 2 3" xfId="6560" xr:uid="{11662F61-F40B-4C6D-8C41-99DE14218651}"/>
    <cellStyle name="SAPBEXheaderItem 2 3 2" xfId="12002" xr:uid="{DF359B1B-8CBF-4E16-A99F-59B146478296}"/>
    <cellStyle name="SAPBEXheaderItem 2 3 3" xfId="14070" xr:uid="{A8DDE71A-35C2-4DBD-9575-17F81C314075}"/>
    <cellStyle name="SAPBEXheaderItem 2 4" xfId="8818" xr:uid="{72BDAEC0-1423-4CDC-A006-4DB20B7A5E68}"/>
    <cellStyle name="SAPBEXheaderItem 2 5" xfId="12673" xr:uid="{57169E53-D63B-4472-A583-5285F4EC28DF}"/>
    <cellStyle name="SAPBEXheaderItem 3" xfId="3217" xr:uid="{5B831419-1209-478B-B7DD-F733F4C425E1}"/>
    <cellStyle name="SAPBEXheaderItem 3 2" xfId="5761" xr:uid="{62E5B502-6B39-4480-AE96-0C3C67582947}"/>
    <cellStyle name="SAPBEXheaderItem 3 2 2" xfId="11203" xr:uid="{DEB24EF3-94E2-466D-A396-F8F6DDF7A4E1}"/>
    <cellStyle name="SAPBEXheaderItem 3 2 3" xfId="13407" xr:uid="{DC6180F8-1FFA-4F65-97CE-A7AF64B7020E}"/>
    <cellStyle name="SAPBEXheaderItem 3 3" xfId="6559" xr:uid="{759BAFF2-2ACD-417E-8D2B-2AEEBA3000BB}"/>
    <cellStyle name="SAPBEXheaderItem 3 3 2" xfId="12001" xr:uid="{39BCD4CD-74A3-4050-824B-56FFAFD241DC}"/>
    <cellStyle name="SAPBEXheaderItem 3 3 3" xfId="14069" xr:uid="{4F4DAE8F-6ED6-4906-9E6F-71A8F6BDBB26}"/>
    <cellStyle name="SAPBEXheaderItem 3 4" xfId="8817" xr:uid="{65223385-2358-4586-AD69-82409E4FFC98}"/>
    <cellStyle name="SAPBEXheaderItem 3 5" xfId="12672" xr:uid="{F80C279E-72F4-4A94-A56A-9D1334611A6D}"/>
    <cellStyle name="SAPBEXheaderItem_2014 CLEAResult Invoices" xfId="3219" xr:uid="{B35AD163-3AF2-410B-8119-5DC29D73E8D9}"/>
    <cellStyle name="SAPBEXheaderText" xfId="267" xr:uid="{BB594AE3-261E-43EB-A4F7-9583B34B73F3}"/>
    <cellStyle name="SAPBEXheaderText 2" xfId="3221" xr:uid="{5CD6914E-96C4-428C-AB26-7BCA06E14C2F}"/>
    <cellStyle name="SAPBEXheaderText 2 2" xfId="5764" xr:uid="{124EEF9C-EA1C-4EBF-B8EF-F7A2AE7C1CAE}"/>
    <cellStyle name="SAPBEXheaderText 2 2 2" xfId="11206" xr:uid="{31701EC2-460D-49A6-A7B2-414B9F0F758C}"/>
    <cellStyle name="SAPBEXheaderText 2 2 3" xfId="13410" xr:uid="{D45405A6-4A2E-4BE7-BAA2-11E117D6F3C1}"/>
    <cellStyle name="SAPBEXheaderText 2 3" xfId="6562" xr:uid="{ECD5CD27-EFDC-4B13-9302-00811F5743EE}"/>
    <cellStyle name="SAPBEXheaderText 2 3 2" xfId="12004" xr:uid="{5E69C51D-2BE5-4C66-BA3A-B4C336CD32AB}"/>
    <cellStyle name="SAPBEXheaderText 2 3 3" xfId="14072" xr:uid="{3CE98374-3A1C-4AC1-90FB-6D48221839F1}"/>
    <cellStyle name="SAPBEXheaderText 2 4" xfId="8820" xr:uid="{5A2D6AF4-8901-439E-8249-89E47660CBE7}"/>
    <cellStyle name="SAPBEXheaderText 2 5" xfId="12675" xr:uid="{1BFAC8FB-80AB-4B5F-8299-DD95E36D704F}"/>
    <cellStyle name="SAPBEXheaderText 3" xfId="3220" xr:uid="{18D64109-5D7A-45AE-97F6-519B1DE0DF37}"/>
    <cellStyle name="SAPBEXheaderText 3 2" xfId="5763" xr:uid="{D2FB6596-0350-4873-85F9-EF493D268D21}"/>
    <cellStyle name="SAPBEXheaderText 3 2 2" xfId="11205" xr:uid="{2907A3F5-3C74-4F67-86DC-2E320113D1F0}"/>
    <cellStyle name="SAPBEXheaderText 3 2 3" xfId="13409" xr:uid="{719FE70B-06CF-42A4-8EA4-F20D7D1D00BF}"/>
    <cellStyle name="SAPBEXheaderText 3 3" xfId="6561" xr:uid="{94EE9008-96B8-47F9-B1D9-CE24F318F4D2}"/>
    <cellStyle name="SAPBEXheaderText 3 3 2" xfId="12003" xr:uid="{F7EF957C-0D4A-4239-91B2-B563007F08C9}"/>
    <cellStyle name="SAPBEXheaderText 3 3 3" xfId="14071" xr:uid="{14AD1DAD-A6F5-4EBF-A9E6-2FD1E34007B8}"/>
    <cellStyle name="SAPBEXheaderText 3 4" xfId="8819" xr:uid="{C32B0210-C723-43B8-A084-3AEB5766D993}"/>
    <cellStyle name="SAPBEXheaderText 3 5" xfId="12674" xr:uid="{017BC49E-8774-4D1E-AF0A-9F8E4D6C7ED0}"/>
    <cellStyle name="SAPBEXheaderText_2014 CLEAResult Invoices" xfId="3222" xr:uid="{E13F8B76-0A94-4C62-B8D4-F9B8A460EC30}"/>
    <cellStyle name="SAPBEXHLevel0" xfId="268" xr:uid="{BE0B2AC9-C59D-4F2A-96F8-B9146BCECA2A}"/>
    <cellStyle name="SAPBEXHLevel0 10" xfId="8720" xr:uid="{CA88BFD8-6798-4AAE-850F-887316E8DAEE}"/>
    <cellStyle name="SAPBEXHLevel0 2" xfId="3224" xr:uid="{35EF7AFE-2EB8-4C87-B90A-5C3C45C00CF7}"/>
    <cellStyle name="SAPBEXHLevel0 2 10" xfId="8822" xr:uid="{F3A0AEC8-8CED-46BE-93D4-DD569CDC4773}"/>
    <cellStyle name="SAPBEXHLevel0 2 11" xfId="12677" xr:uid="{2616C6FC-0F1D-4EEE-BABF-297A7510DA53}"/>
    <cellStyle name="SAPBEXHLevel0 2 2" xfId="3698" xr:uid="{479A5AB7-B1DA-4FF5-9E9C-55C01E5FB189}"/>
    <cellStyle name="SAPBEXHLevel0 2 2 2" xfId="6106" xr:uid="{EBD91D16-2FB4-4220-8ABE-60C81DF55A15}"/>
    <cellStyle name="SAPBEXHLevel0 2 2 2 2" xfId="11548" xr:uid="{5C11D72E-FD2E-4F5B-BECF-C788C5898CD0}"/>
    <cellStyle name="SAPBEXHLevel0 2 2 2 3" xfId="13625" xr:uid="{166090BF-C003-4F7E-813A-84B3DC42BF49}"/>
    <cellStyle name="SAPBEXHLevel0 2 2 3" xfId="6790" xr:uid="{DD0AA560-5DF3-4541-A0CE-4AAF1A8454B3}"/>
    <cellStyle name="SAPBEXHLevel0 2 2 3 2" xfId="12232" xr:uid="{BB561714-EF0D-4DBE-83CE-623F15660E5C}"/>
    <cellStyle name="SAPBEXHLevel0 2 2 3 3" xfId="14287" xr:uid="{F8246F21-FB86-4038-954E-AE55EADC7465}"/>
    <cellStyle name="SAPBEXHLevel0 2 2 4" xfId="9169" xr:uid="{925BC317-B9D4-4734-A8AB-FD04CA63A456}"/>
    <cellStyle name="SAPBEXHLevel0 2 2 5" xfId="12890" xr:uid="{8BF3F10C-B605-4BD1-BC97-FC3280028ADB}"/>
    <cellStyle name="SAPBEXHLevel0 2 3" xfId="3764" xr:uid="{C08BB9A3-4C40-4F86-AA3F-EADC4C180002}"/>
    <cellStyle name="SAPBEXHLevel0 2 3 2" xfId="6172" xr:uid="{380FA0C4-414C-49D1-B1C6-04C188199E24}"/>
    <cellStyle name="SAPBEXHLevel0 2 3 2 2" xfId="11614" xr:uid="{8B0CE0D9-4F22-4B28-AD41-E8607E3028FE}"/>
    <cellStyle name="SAPBEXHLevel0 2 3 2 3" xfId="13689" xr:uid="{A6BA8EA6-097E-421D-A18A-B7FF315A03F0}"/>
    <cellStyle name="SAPBEXHLevel0 2 3 3" xfId="6854" xr:uid="{02D6E65F-DC2D-44E7-B929-5EC4A0F578D1}"/>
    <cellStyle name="SAPBEXHLevel0 2 3 3 2" xfId="12296" xr:uid="{58E3C2B8-E125-4935-9A5D-00BDF0AB2BE0}"/>
    <cellStyle name="SAPBEXHLevel0 2 3 3 3" xfId="14349" xr:uid="{85AA78E8-6367-4098-9099-B6AB2F48DFFA}"/>
    <cellStyle name="SAPBEXHLevel0 2 3 4" xfId="9235" xr:uid="{B5924F54-0411-4002-A58A-FA4DAC229F4E}"/>
    <cellStyle name="SAPBEXHLevel0 2 3 5" xfId="12952" xr:uid="{16A07412-DAC3-4CAB-8A84-0F85BD02C7F0}"/>
    <cellStyle name="SAPBEXHLevel0 2 4" xfId="3830" xr:uid="{22C4F064-F38D-43BE-96F7-31A3FF7AFBAF}"/>
    <cellStyle name="SAPBEXHLevel0 2 4 2" xfId="6237" xr:uid="{FFEE44BA-FBF1-4274-8580-C6309C25AC00}"/>
    <cellStyle name="SAPBEXHLevel0 2 4 2 2" xfId="11679" xr:uid="{EB4EC0AC-69A0-4775-95D0-51660DC526E2}"/>
    <cellStyle name="SAPBEXHLevel0 2 4 2 3" xfId="13753" xr:uid="{29DBD394-F9B5-449C-AD7A-521DD3133620}"/>
    <cellStyle name="SAPBEXHLevel0 2 4 3" xfId="6917" xr:uid="{D27CE7FC-30E6-4C71-A70A-63BDD81BD783}"/>
    <cellStyle name="SAPBEXHLevel0 2 4 3 2" xfId="12359" xr:uid="{C3229850-AF8E-457E-873E-6F974487AB5B}"/>
    <cellStyle name="SAPBEXHLevel0 2 4 3 3" xfId="14411" xr:uid="{32FB53E1-8D80-42D4-8AE2-7E7EE456FDE3}"/>
    <cellStyle name="SAPBEXHLevel0 2 4 4" xfId="9300" xr:uid="{0465F344-B19E-4804-8B7B-8AFC96633925}"/>
    <cellStyle name="SAPBEXHLevel0 2 4 5" xfId="13014" xr:uid="{236412CB-F1D9-427B-9980-7F12DAE7BFB4}"/>
    <cellStyle name="SAPBEXHLevel0 2 5" xfId="3915" xr:uid="{1DEA1402-E932-455C-A1D1-472BC9D38292}"/>
    <cellStyle name="SAPBEXHLevel0 2 5 2" xfId="6320" xr:uid="{A9CA6271-DB31-4E57-9148-36DFEE4DCB04}"/>
    <cellStyle name="SAPBEXHLevel0 2 5 2 2" xfId="11762" xr:uid="{B0C51510-357B-4EB0-8A00-F5FF2F40CBCD}"/>
    <cellStyle name="SAPBEXHLevel0 2 5 2 3" xfId="13834" xr:uid="{61BEBB7D-F890-4AA7-941C-773119A77072}"/>
    <cellStyle name="SAPBEXHLevel0 2 5 3" xfId="6998" xr:uid="{F179E1A8-F5EB-44B1-8AAF-F67CB4B822AA}"/>
    <cellStyle name="SAPBEXHLevel0 2 5 3 2" xfId="12440" xr:uid="{D2E6E50D-04E6-4158-B41D-824A8D7100F7}"/>
    <cellStyle name="SAPBEXHLevel0 2 5 3 3" xfId="14490" xr:uid="{0468D4AE-3383-440C-9F8F-6AA815FF415E}"/>
    <cellStyle name="SAPBEXHLevel0 2 5 4" xfId="9383" xr:uid="{AD848FB9-3728-4301-B5A1-1DE4C9F95057}"/>
    <cellStyle name="SAPBEXHLevel0 2 5 5" xfId="13093" xr:uid="{F1368F0E-BEAA-42CC-A515-C90DB147642E}"/>
    <cellStyle name="SAPBEXHLevel0 2 6" xfId="3982" xr:uid="{5F5CC3A3-8615-4FF1-BE1B-6A165D4DD9EF}"/>
    <cellStyle name="SAPBEXHLevel0 2 6 2" xfId="6385" xr:uid="{70D733D6-D5D6-4DB9-8B23-B39C49615CB2}"/>
    <cellStyle name="SAPBEXHLevel0 2 6 2 2" xfId="11827" xr:uid="{09C403D5-C829-42D7-9345-A53CF87F6306}"/>
    <cellStyle name="SAPBEXHLevel0 2 6 2 3" xfId="13898" xr:uid="{596EF70A-57F1-43FA-B947-E94463BE445E}"/>
    <cellStyle name="SAPBEXHLevel0 2 6 3" xfId="7061" xr:uid="{4B1F7D11-B47F-417E-A9E7-BEE259B97D2C}"/>
    <cellStyle name="SAPBEXHLevel0 2 6 3 2" xfId="12503" xr:uid="{988FFDA1-3525-4A4C-A086-391347A22A37}"/>
    <cellStyle name="SAPBEXHLevel0 2 6 3 3" xfId="14552" xr:uid="{310A4714-FC7E-493D-881E-A47D100A8B4A}"/>
    <cellStyle name="SAPBEXHLevel0 2 6 4" xfId="9448" xr:uid="{64EC7799-0C47-4CF4-8638-359B49DD1BC5}"/>
    <cellStyle name="SAPBEXHLevel0 2 6 5" xfId="13155" xr:uid="{6D211338-C780-4D48-94E5-4C69DC4F4CB1}"/>
    <cellStyle name="SAPBEXHLevel0 2 7" xfId="3616" xr:uid="{0FFAA221-60DD-4AA7-B3E1-AA6475DAF670}"/>
    <cellStyle name="SAPBEXHLevel0 2 7 2" xfId="6025" xr:uid="{598A4C2C-9835-4FC9-8280-EF1B13C1F4C8}"/>
    <cellStyle name="SAPBEXHLevel0 2 7 2 2" xfId="11467" xr:uid="{91E95D4B-2E1A-4507-9556-CB8186A95925}"/>
    <cellStyle name="SAPBEXHLevel0 2 7 2 3" xfId="13549" xr:uid="{B3506221-712D-4A8B-98F2-4E91978BCA9B}"/>
    <cellStyle name="SAPBEXHLevel0 2 7 3" xfId="6709" xr:uid="{4D17A2C2-9F6B-4155-8115-9CF40F1323D3}"/>
    <cellStyle name="SAPBEXHLevel0 2 7 3 2" xfId="12151" xr:uid="{FB7126BC-CC1C-46BA-90FE-0215C0D24835}"/>
    <cellStyle name="SAPBEXHLevel0 2 7 3 3" xfId="14211" xr:uid="{D45D56B2-0873-458D-BDA0-491707F84247}"/>
    <cellStyle name="SAPBEXHLevel0 2 7 4" xfId="9088" xr:uid="{0E59CEDB-E82E-4898-B6E9-15529F055F7A}"/>
    <cellStyle name="SAPBEXHLevel0 2 7 5" xfId="12814" xr:uid="{37A23F0A-24F0-4969-8B7B-583E98241629}"/>
    <cellStyle name="SAPBEXHLevel0 2 8" xfId="5766" xr:uid="{2EBB606C-8490-4217-AC73-28AA27C99FFD}"/>
    <cellStyle name="SAPBEXHLevel0 2 8 2" xfId="11208" xr:uid="{68A5B8E3-5086-43DE-98B1-43A69D8FB9A5}"/>
    <cellStyle name="SAPBEXHLevel0 2 8 3" xfId="13412" xr:uid="{CF8C7977-ABE2-4E7F-9008-57F755357FE8}"/>
    <cellStyle name="SAPBEXHLevel0 2 9" xfId="6564" xr:uid="{3CED04CF-27B8-455F-9212-9C56CBCA41E9}"/>
    <cellStyle name="SAPBEXHLevel0 2 9 2" xfId="12006" xr:uid="{57F11EE3-9736-421E-9CA2-31305305A594}"/>
    <cellStyle name="SAPBEXHLevel0 2 9 3" xfId="14074" xr:uid="{3B14A669-34F0-4CC7-8885-55D7D6D49067}"/>
    <cellStyle name="SAPBEXHLevel0 3" xfId="3223" xr:uid="{E323DA5A-9182-41DC-83F1-CDBA280744B0}"/>
    <cellStyle name="SAPBEXHLevel0 3 10" xfId="12676" xr:uid="{3B8CE668-91B0-4755-A689-404B22FD0DFD}"/>
    <cellStyle name="SAPBEXHLevel0 3 2" xfId="3793" xr:uid="{31AC6B2A-D809-4985-BD64-8D52EEC45A39}"/>
    <cellStyle name="SAPBEXHLevel0 3 2 2" xfId="6201" xr:uid="{7E89FC17-219E-452B-9F61-C66D8EC79EAE}"/>
    <cellStyle name="SAPBEXHLevel0 3 2 2 2" xfId="11643" xr:uid="{703206C7-7394-46D3-9569-67D2E1D6310C}"/>
    <cellStyle name="SAPBEXHLevel0 3 2 2 3" xfId="13718" xr:uid="{B7211EDC-3244-4758-89A8-7AEB1DEFE5F2}"/>
    <cellStyle name="SAPBEXHLevel0 3 2 3" xfId="6883" xr:uid="{381DE921-7F7C-4F7C-B51B-687692553199}"/>
    <cellStyle name="SAPBEXHLevel0 3 2 3 2" xfId="12325" xr:uid="{58D4462A-53D3-4723-BB0E-BEF3749F577A}"/>
    <cellStyle name="SAPBEXHLevel0 3 2 3 3" xfId="14378" xr:uid="{E149352C-F666-4842-8A16-BEAD1D830D07}"/>
    <cellStyle name="SAPBEXHLevel0 3 2 4" xfId="9264" xr:uid="{9A810466-6A79-4C16-B5D4-B86A7493C087}"/>
    <cellStyle name="SAPBEXHLevel0 3 2 5" xfId="12981" xr:uid="{B5BC7A44-51C8-439C-8BE9-E42B466E610A}"/>
    <cellStyle name="SAPBEXHLevel0 3 3" xfId="3859" xr:uid="{E8DA9051-5B87-42F7-8DFF-E197D6D3AE0E}"/>
    <cellStyle name="SAPBEXHLevel0 3 3 2" xfId="6266" xr:uid="{282F9752-D938-4CA8-83F9-6AD171C23D47}"/>
    <cellStyle name="SAPBEXHLevel0 3 3 2 2" xfId="11708" xr:uid="{2661B8D6-743D-43FD-985A-B4617445FA68}"/>
    <cellStyle name="SAPBEXHLevel0 3 3 2 3" xfId="13782" xr:uid="{4A18EAD6-5955-45B5-A8A4-70BAFA73D554}"/>
    <cellStyle name="SAPBEXHLevel0 3 3 3" xfId="6946" xr:uid="{FEB4EF52-3271-4C71-804F-3A8AF74B037D}"/>
    <cellStyle name="SAPBEXHLevel0 3 3 3 2" xfId="12388" xr:uid="{F6648F2D-484D-4149-9404-4BC7D82EDE75}"/>
    <cellStyle name="SAPBEXHLevel0 3 3 3 3" xfId="14440" xr:uid="{A631F654-EF64-4032-832A-3385D575626C}"/>
    <cellStyle name="SAPBEXHLevel0 3 3 4" xfId="9329" xr:uid="{D045A900-022C-4D54-A9A6-093B1BAF084A}"/>
    <cellStyle name="SAPBEXHLevel0 3 3 5" xfId="13043" xr:uid="{DA84873E-E943-41B8-966A-2BEABE41CCBB}"/>
    <cellStyle name="SAPBEXHLevel0 3 4" xfId="3944" xr:uid="{6FAAF592-9164-45D1-9B7A-785BB33C7F35}"/>
    <cellStyle name="SAPBEXHLevel0 3 4 2" xfId="6349" xr:uid="{7E7310B4-8BCF-4FA9-9E8C-4CDE5851CFA9}"/>
    <cellStyle name="SAPBEXHLevel0 3 4 2 2" xfId="11791" xr:uid="{BD63DB3A-EDDC-4451-AD45-12FF51A6E92D}"/>
    <cellStyle name="SAPBEXHLevel0 3 4 2 3" xfId="13863" xr:uid="{9C4BFC24-A7DA-4075-BDB0-7075527F0211}"/>
    <cellStyle name="SAPBEXHLevel0 3 4 3" xfId="7027" xr:uid="{7CA215ED-B1DB-47B1-B834-32C76322E539}"/>
    <cellStyle name="SAPBEXHLevel0 3 4 3 2" xfId="12469" xr:uid="{F966141E-0629-4696-A9EF-C032F8640E68}"/>
    <cellStyle name="SAPBEXHLevel0 3 4 3 3" xfId="14519" xr:uid="{BA14223D-8BEE-4D80-A826-37356F14C186}"/>
    <cellStyle name="SAPBEXHLevel0 3 4 4" xfId="9412" xr:uid="{3FA14358-CF83-411F-8A45-0EAB00403021}"/>
    <cellStyle name="SAPBEXHLevel0 3 4 5" xfId="13122" xr:uid="{4FFFB770-CC41-45B7-B226-8F56EF064452}"/>
    <cellStyle name="SAPBEXHLevel0 3 5" xfId="4011" xr:uid="{929CABDE-4734-4261-AE7E-F84D4E670ECE}"/>
    <cellStyle name="SAPBEXHLevel0 3 5 2" xfId="6414" xr:uid="{E082E4EC-4406-4B6F-BF80-089B18D64B5F}"/>
    <cellStyle name="SAPBEXHLevel0 3 5 2 2" xfId="11856" xr:uid="{66DA572C-BC8D-4975-8E3F-7F3E66D74352}"/>
    <cellStyle name="SAPBEXHLevel0 3 5 2 3" xfId="13927" xr:uid="{07961B6B-742F-4000-B7A6-20552B366B32}"/>
    <cellStyle name="SAPBEXHLevel0 3 5 3" xfId="7090" xr:uid="{B64C763F-F8FA-4AAE-8B0F-9F01BC48B090}"/>
    <cellStyle name="SAPBEXHLevel0 3 5 3 2" xfId="12532" xr:uid="{97BF24F8-9F46-4DA2-9164-38716DB34F6A}"/>
    <cellStyle name="SAPBEXHLevel0 3 5 3 3" xfId="14581" xr:uid="{701E7207-4A91-461A-9E45-C07E8DC7FF03}"/>
    <cellStyle name="SAPBEXHLevel0 3 5 4" xfId="9477" xr:uid="{768E34DB-F4F8-41AF-AC1E-ED4F12E8C4AE}"/>
    <cellStyle name="SAPBEXHLevel0 3 5 5" xfId="13184" xr:uid="{79B43352-0D57-4D53-842C-302A6AA1F68F}"/>
    <cellStyle name="SAPBEXHLevel0 3 6" xfId="3727" xr:uid="{9543A611-0C2F-40FB-8C61-7CD907B8FF17}"/>
    <cellStyle name="SAPBEXHLevel0 3 6 2" xfId="6135" xr:uid="{0FC5DE19-B5A1-485B-B727-C1F93E854ABE}"/>
    <cellStyle name="SAPBEXHLevel0 3 6 2 2" xfId="11577" xr:uid="{10E19219-10ED-46AE-B348-88E30A42C707}"/>
    <cellStyle name="SAPBEXHLevel0 3 6 2 3" xfId="13654" xr:uid="{DED5617F-0BA2-46F1-B9F0-C86C7024B97F}"/>
    <cellStyle name="SAPBEXHLevel0 3 6 3" xfId="6819" xr:uid="{4B0A1C1C-C463-466D-BF85-EF463AB91442}"/>
    <cellStyle name="SAPBEXHLevel0 3 6 3 2" xfId="12261" xr:uid="{6EFD1469-FD3A-4516-9148-51C5F1119918}"/>
    <cellStyle name="SAPBEXHLevel0 3 6 3 3" xfId="14316" xr:uid="{5281FEB1-8828-438F-932C-90F8B57BD07D}"/>
    <cellStyle name="SAPBEXHLevel0 3 6 4" xfId="9198" xr:uid="{1859EC0E-730D-45BC-AFFA-7A39C0358BE3}"/>
    <cellStyle name="SAPBEXHLevel0 3 6 5" xfId="12919" xr:uid="{DB48648B-128F-45E1-99EE-BDBF9324F193}"/>
    <cellStyle name="SAPBEXHLevel0 3 7" xfId="5765" xr:uid="{11BCFE4B-39A5-4C80-BEC4-B043B5194F54}"/>
    <cellStyle name="SAPBEXHLevel0 3 7 2" xfId="11207" xr:uid="{5310095D-0AEB-4F14-A5B4-5A9BE15DD511}"/>
    <cellStyle name="SAPBEXHLevel0 3 7 3" xfId="13411" xr:uid="{47FB3BD1-7624-4C8A-A4E2-ECB038E7F98D}"/>
    <cellStyle name="SAPBEXHLevel0 3 8" xfId="6563" xr:uid="{C1F67C60-BE64-4581-BAE7-392EB4688715}"/>
    <cellStyle name="SAPBEXHLevel0 3 8 2" xfId="12005" xr:uid="{6FD6A760-4BE3-4CD0-96A5-9A7379F85854}"/>
    <cellStyle name="SAPBEXHLevel0 3 8 3" xfId="14073" xr:uid="{35BC3AB8-5ED7-466F-8B68-2530585914CC}"/>
    <cellStyle name="SAPBEXHLevel0 3 9" xfId="8821" xr:uid="{42412FFE-C0D9-4D00-AC82-976B0C8205F0}"/>
    <cellStyle name="SAPBEXHLevel0 4" xfId="3662" xr:uid="{96790210-6D6F-4893-B699-7FEB66A7411D}"/>
    <cellStyle name="SAPBEXHLevel0 4 2" xfId="6070" xr:uid="{FEC9A1F5-6C14-4C8D-8ED6-B23A126C0C18}"/>
    <cellStyle name="SAPBEXHLevel0 4 2 2" xfId="11512" xr:uid="{3FE3B13B-3667-4995-B0EA-7621E5BEF869}"/>
    <cellStyle name="SAPBEXHLevel0 4 2 3" xfId="13591" xr:uid="{AAF84F65-099B-436E-A5F4-7966E1E89326}"/>
    <cellStyle name="SAPBEXHLevel0 4 3" xfId="6754" xr:uid="{25D90467-333D-48A2-A91F-F912D3CAF63A}"/>
    <cellStyle name="SAPBEXHLevel0 4 3 2" xfId="12196" xr:uid="{474D9D2C-36E9-426E-A827-1F2E349333EF}"/>
    <cellStyle name="SAPBEXHLevel0 4 3 3" xfId="14253" xr:uid="{B148802B-969C-46C8-BF61-B018716B1E41}"/>
    <cellStyle name="SAPBEXHLevel0 4 4" xfId="9133" xr:uid="{05E45F7F-73DA-44CD-81AA-1D10BBEA1B4D}"/>
    <cellStyle name="SAPBEXHLevel0 4 5" xfId="12856" xr:uid="{BF75463D-1F83-48B8-9CE1-57830CEB6E38}"/>
    <cellStyle name="SAPBEXHLevel0 5" xfId="3876" xr:uid="{6C6B482D-E7F3-4D26-95FE-94D61AC0AE66}"/>
    <cellStyle name="SAPBEXHLevel0 5 2" xfId="6283" xr:uid="{A30293AB-C0D0-404A-A0A4-2ADDB44778A7}"/>
    <cellStyle name="SAPBEXHLevel0 5 2 2" xfId="11725" xr:uid="{4A0EEAFD-5C47-4B71-A0A9-DC938018E5C4}"/>
    <cellStyle name="SAPBEXHLevel0 5 2 3" xfId="13799" xr:uid="{EA1EADE7-3CCB-4F49-9143-DE6737EFEA30}"/>
    <cellStyle name="SAPBEXHLevel0 5 3" xfId="6963" xr:uid="{F85FC47F-2FE7-498F-BD25-04C31CD8825B}"/>
    <cellStyle name="SAPBEXHLevel0 5 3 2" xfId="12405" xr:uid="{E73F609B-4A2A-4EE4-87DA-AE964E5B6D7E}"/>
    <cellStyle name="SAPBEXHLevel0 5 3 3" xfId="14457" xr:uid="{222D9F9D-739E-4BB4-928B-5DBA4E63ECA2}"/>
    <cellStyle name="SAPBEXHLevel0 5 4" xfId="9346" xr:uid="{341FAF62-2F5C-4F89-B750-41CCEF73B973}"/>
    <cellStyle name="SAPBEXHLevel0 5 5" xfId="13060" xr:uid="{4AD41D39-8BD2-4ED8-AE04-018E31E05CD9}"/>
    <cellStyle name="SAPBEXHLevel0 6" xfId="3576" xr:uid="{59D4B2EA-1392-4BC0-9D18-E9DC5173851C}"/>
    <cellStyle name="SAPBEXHLevel0 6 2" xfId="5987" xr:uid="{D19EF255-74FF-401A-A569-B398BA3B46CB}"/>
    <cellStyle name="SAPBEXHLevel0 6 2 2" xfId="11429" xr:uid="{39A26196-8986-4C07-8C73-210B28177B2A}"/>
    <cellStyle name="SAPBEXHLevel0 6 2 3" xfId="13513" xr:uid="{7EC00AC0-B780-46A0-BAA1-D901AEAB61CD}"/>
    <cellStyle name="SAPBEXHLevel0 6 3" xfId="6670" xr:uid="{FF4B1B66-7CA3-4593-BFF0-3EF9FA462E34}"/>
    <cellStyle name="SAPBEXHLevel0 6 3 2" xfId="12112" xr:uid="{D77B89DE-3951-4B7D-9140-49539EC6165B}"/>
    <cellStyle name="SAPBEXHLevel0 6 3 3" xfId="14174" xr:uid="{5EA072A3-445E-4CFB-95AD-543C82D85803}"/>
    <cellStyle name="SAPBEXHLevel0 6 4" xfId="9048" xr:uid="{4D7A81C0-7FD6-46BF-90AB-AD54AE7138C7}"/>
    <cellStyle name="SAPBEXHLevel0 6 5" xfId="12777" xr:uid="{EED2F7FD-ACC1-4636-BE4B-67B4260CE06B}"/>
    <cellStyle name="SAPBEXHLevel0 7" xfId="4144" xr:uid="{B6A2C0EE-912E-4188-A1CE-6BA514E9D77B}"/>
    <cellStyle name="SAPBEXHLevel0 7 2" xfId="9594" xr:uid="{B07AA240-35D6-4316-BCBB-B2437837AE2B}"/>
    <cellStyle name="SAPBEXHLevel0 7 3" xfId="13223" xr:uid="{2AA545AE-7F0A-443F-B5AE-099FEC9FE649}"/>
    <cellStyle name="SAPBEXHLevel0 8" xfId="5696" xr:uid="{22A6A026-DF08-42BD-93E1-772C44AFB416}"/>
    <cellStyle name="SAPBEXHLevel0 8 2" xfId="11138" xr:uid="{912783A9-8011-43E7-ABBB-7AC087F49EAA}"/>
    <cellStyle name="SAPBEXHLevel0 8 3" xfId="13344" xr:uid="{9B1C54CA-C62B-4E2B-8F4F-C64D1F25637F}"/>
    <cellStyle name="SAPBEXHLevel0 9" xfId="7212" xr:uid="{DBECAA4E-0CD9-45E1-8957-A8D477E477E8}"/>
    <cellStyle name="SAPBEXHLevel0_2014 CLEAResult Invoices" xfId="3225" xr:uid="{E5202FF5-3388-48CF-A727-C0A10C4EF448}"/>
    <cellStyle name="SAPBEXHLevel0X" xfId="269" xr:uid="{6E83BEEC-BDD7-4FF8-846E-83F05BC614DA}"/>
    <cellStyle name="SAPBEXHLevel0X 10" xfId="8719" xr:uid="{72ABE77F-951B-4281-83A4-1E65F7C486EC}"/>
    <cellStyle name="SAPBEXHLevel0X 2" xfId="3227" xr:uid="{3FB0CE53-A7BD-4F94-9312-261809B5CAA9}"/>
    <cellStyle name="SAPBEXHLevel0X 2 10" xfId="8824" xr:uid="{0F7A6E7D-FC46-4000-B0AB-A2D8108098FB}"/>
    <cellStyle name="SAPBEXHLevel0X 2 11" xfId="12679" xr:uid="{167FD601-23A3-49BA-86E6-B9CA09C07174}"/>
    <cellStyle name="SAPBEXHLevel0X 2 2" xfId="3228" xr:uid="{C703183F-B8B8-4B98-8033-B7112B4CA467}"/>
    <cellStyle name="SAPBEXHLevel0X 2 2 2" xfId="3697" xr:uid="{E40FDB9A-21E2-43E3-83D1-A68D5B278DD9}"/>
    <cellStyle name="SAPBEXHLevel0X 2 2 2 2" xfId="6105" xr:uid="{B37FFFE7-A17C-4D3C-8924-3587C2122E13}"/>
    <cellStyle name="SAPBEXHLevel0X 2 2 2 2 2" xfId="11547" xr:uid="{8DF544EA-3B21-4531-8C3D-FBC29E50F51D}"/>
    <cellStyle name="SAPBEXHLevel0X 2 2 2 2 3" xfId="13624" xr:uid="{CE89CBEF-FEF0-4BF3-9359-FA6A3D828E52}"/>
    <cellStyle name="SAPBEXHLevel0X 2 2 2 3" xfId="6789" xr:uid="{92747062-C7CF-4307-8692-FA38D518B29D}"/>
    <cellStyle name="SAPBEXHLevel0X 2 2 2 3 2" xfId="12231" xr:uid="{84B4E15B-ECD6-4442-B52D-C092C34AF8EA}"/>
    <cellStyle name="SAPBEXHLevel0X 2 2 2 3 3" xfId="14286" xr:uid="{A69CB498-9EBD-41CB-B03A-CE5A48F71F6A}"/>
    <cellStyle name="SAPBEXHLevel0X 2 2 2 4" xfId="9168" xr:uid="{39C051C0-4E4D-4966-8A55-4DA2661C784A}"/>
    <cellStyle name="SAPBEXHLevel0X 2 2 2 5" xfId="12889" xr:uid="{8CCA1FCF-5149-46AE-8271-3D9B4AF447D2}"/>
    <cellStyle name="SAPBEXHLevel0X 2 2 3" xfId="5769" xr:uid="{FC356337-9C6C-419E-8D25-8FBD56C2F65A}"/>
    <cellStyle name="SAPBEXHLevel0X 2 2 3 2" xfId="11211" xr:uid="{A3DDEF37-AC58-4FAA-A3A7-8CD243024AA6}"/>
    <cellStyle name="SAPBEXHLevel0X 2 2 3 3" xfId="13415" xr:uid="{261CE537-0F9E-4B77-9B63-4DCBCA597765}"/>
    <cellStyle name="SAPBEXHLevel0X 2 2 4" xfId="6567" xr:uid="{494AE833-B157-4459-9175-356C8A06C773}"/>
    <cellStyle name="SAPBEXHLevel0X 2 2 4 2" xfId="12009" xr:uid="{AD3BFD78-0105-43D5-A44E-5EE02D999298}"/>
    <cellStyle name="SAPBEXHLevel0X 2 2 4 3" xfId="14077" xr:uid="{534BC3B3-5224-46AE-9ABC-066745BC3E9B}"/>
    <cellStyle name="SAPBEXHLevel0X 2 2 5" xfId="8825" xr:uid="{3C813A00-5268-414A-AB0A-1F67AB7D01F8}"/>
    <cellStyle name="SAPBEXHLevel0X 2 2 6" xfId="12680" xr:uid="{C4E0C100-23E4-429E-84EC-AC50350450C7}"/>
    <cellStyle name="SAPBEXHLevel0X 2 3" xfId="3763" xr:uid="{2118230B-B526-46D5-B194-8972DFF9E199}"/>
    <cellStyle name="SAPBEXHLevel0X 2 3 2" xfId="6171" xr:uid="{A88CB85E-10F8-414B-996E-C78228AD60F1}"/>
    <cellStyle name="SAPBEXHLevel0X 2 3 2 2" xfId="11613" xr:uid="{D115C869-E37A-447C-AD43-00D6E9B4FF5C}"/>
    <cellStyle name="SAPBEXHLevel0X 2 3 2 3" xfId="13688" xr:uid="{18EEFB94-3495-42CE-9753-3AB7FE187A5B}"/>
    <cellStyle name="SAPBEXHLevel0X 2 3 3" xfId="6853" xr:uid="{D9232C1D-02E9-4A6F-8078-4132B40820DE}"/>
    <cellStyle name="SAPBEXHLevel0X 2 3 3 2" xfId="12295" xr:uid="{C132F880-A4B6-4CBB-8BE1-0DBFDFEF8180}"/>
    <cellStyle name="SAPBEXHLevel0X 2 3 3 3" xfId="14348" xr:uid="{82A0BEFD-A6CC-4B8F-9A4A-C7F1D809FB68}"/>
    <cellStyle name="SAPBEXHLevel0X 2 3 4" xfId="9234" xr:uid="{FD73BDF3-E218-4228-B798-FBB13360DA5E}"/>
    <cellStyle name="SAPBEXHLevel0X 2 3 5" xfId="12951" xr:uid="{E4FCC0E8-AA13-46D6-B857-966B145FE1DA}"/>
    <cellStyle name="SAPBEXHLevel0X 2 4" xfId="3829" xr:uid="{E91F5FAA-F179-4974-B0D7-4E9EB8EB5CE4}"/>
    <cellStyle name="SAPBEXHLevel0X 2 4 2" xfId="6236" xr:uid="{7005F38C-15EA-4720-9E2B-0EA44AF4E47F}"/>
    <cellStyle name="SAPBEXHLevel0X 2 4 2 2" xfId="11678" xr:uid="{156EA595-BE25-447D-8CD0-8FC6A6C5F21A}"/>
    <cellStyle name="SAPBEXHLevel0X 2 4 2 3" xfId="13752" xr:uid="{B5FB69B3-58C0-40B4-AA33-C25C99E93779}"/>
    <cellStyle name="SAPBEXHLevel0X 2 4 3" xfId="6916" xr:uid="{1329441F-DDF5-48EC-B6C5-1D85A8FFB4B0}"/>
    <cellStyle name="SAPBEXHLevel0X 2 4 3 2" xfId="12358" xr:uid="{79D6D406-323C-4BD4-BBBB-3BDF2F341059}"/>
    <cellStyle name="SAPBEXHLevel0X 2 4 3 3" xfId="14410" xr:uid="{8B2B77C3-4096-4E87-B386-9905D0EF45F7}"/>
    <cellStyle name="SAPBEXHLevel0X 2 4 4" xfId="9299" xr:uid="{F2CD947B-92B8-4495-A31D-5D621A329617}"/>
    <cellStyle name="SAPBEXHLevel0X 2 4 5" xfId="13013" xr:uid="{0CD0FE45-7A1A-4FEA-96FF-8C0FCDA34C51}"/>
    <cellStyle name="SAPBEXHLevel0X 2 5" xfId="3914" xr:uid="{D57EC30B-A208-4FF6-9AA6-D5099C01AE9C}"/>
    <cellStyle name="SAPBEXHLevel0X 2 5 2" xfId="6319" xr:uid="{469958DF-43A6-4A54-AEFA-8B6EAD8BD83D}"/>
    <cellStyle name="SAPBEXHLevel0X 2 5 2 2" xfId="11761" xr:uid="{CA108127-3E44-4825-B941-65D2E038AF0F}"/>
    <cellStyle name="SAPBEXHLevel0X 2 5 2 3" xfId="13833" xr:uid="{FB298475-E536-466D-9670-A0146F72B9B7}"/>
    <cellStyle name="SAPBEXHLevel0X 2 5 3" xfId="6997" xr:uid="{955DEF11-1CA3-4FA8-A3A7-C32B645BB862}"/>
    <cellStyle name="SAPBEXHLevel0X 2 5 3 2" xfId="12439" xr:uid="{A69E5EA3-DD74-4B29-9BAB-A4B78F229B2D}"/>
    <cellStyle name="SAPBEXHLevel0X 2 5 3 3" xfId="14489" xr:uid="{10FD05B0-6DF2-400A-8F48-C09D21E86918}"/>
    <cellStyle name="SAPBEXHLevel0X 2 5 4" xfId="9382" xr:uid="{6623503C-84F0-42DF-9778-B775276BA421}"/>
    <cellStyle name="SAPBEXHLevel0X 2 5 5" xfId="13092" xr:uid="{C4A0BBB1-8B3F-4D34-AC80-7D462C45FD1F}"/>
    <cellStyle name="SAPBEXHLevel0X 2 6" xfId="3981" xr:uid="{439E1A56-AE1A-479A-BAF4-5DD67C381AD0}"/>
    <cellStyle name="SAPBEXHLevel0X 2 6 2" xfId="6384" xr:uid="{BD0363D3-D645-4478-BE29-A7A23E42A393}"/>
    <cellStyle name="SAPBEXHLevel0X 2 6 2 2" xfId="11826" xr:uid="{07858768-0135-4F3F-97D5-D4721F545FE5}"/>
    <cellStyle name="SAPBEXHLevel0X 2 6 2 3" xfId="13897" xr:uid="{CD7F6966-B2D7-4B52-9782-700A20B89938}"/>
    <cellStyle name="SAPBEXHLevel0X 2 6 3" xfId="7060" xr:uid="{04D0D82E-813F-4AAB-8921-8AFAFE82CA85}"/>
    <cellStyle name="SAPBEXHLevel0X 2 6 3 2" xfId="12502" xr:uid="{24B46FF0-982D-46A1-92C2-5E3CACDA1DA2}"/>
    <cellStyle name="SAPBEXHLevel0X 2 6 3 3" xfId="14551" xr:uid="{6A199443-2BBB-4600-A8AE-5CFDE64F8C2C}"/>
    <cellStyle name="SAPBEXHLevel0X 2 6 4" xfId="9447" xr:uid="{4E026696-2378-49DE-BAF2-30C15377D581}"/>
    <cellStyle name="SAPBEXHLevel0X 2 6 5" xfId="13154" xr:uid="{B71959E1-98C3-4D95-90EA-B292098AD1B7}"/>
    <cellStyle name="SAPBEXHLevel0X 2 7" xfId="3615" xr:uid="{5DDC0215-A5AC-48EB-8A5B-F2E86C4B8F76}"/>
    <cellStyle name="SAPBEXHLevel0X 2 7 2" xfId="6024" xr:uid="{F7F5D358-5E48-43FD-9F02-FF46EF4E28F3}"/>
    <cellStyle name="SAPBEXHLevel0X 2 7 2 2" xfId="11466" xr:uid="{6FE4955E-44F3-4326-8C9F-B3130864FA45}"/>
    <cellStyle name="SAPBEXHLevel0X 2 7 2 3" xfId="13548" xr:uid="{44B66DA6-3857-4A3A-A04D-00A589CDEB82}"/>
    <cellStyle name="SAPBEXHLevel0X 2 7 3" xfId="6708" xr:uid="{03709052-C0C5-405F-BCD4-2785F886445A}"/>
    <cellStyle name="SAPBEXHLevel0X 2 7 3 2" xfId="12150" xr:uid="{C9BF21F1-B192-4A95-8D2F-EA738D997509}"/>
    <cellStyle name="SAPBEXHLevel0X 2 7 3 3" xfId="14210" xr:uid="{F809F6FB-E718-4E1A-A381-DE3ACB894975}"/>
    <cellStyle name="SAPBEXHLevel0X 2 7 4" xfId="9087" xr:uid="{97971F0E-9725-46D2-85B1-F9CC4CC1C32E}"/>
    <cellStyle name="SAPBEXHLevel0X 2 7 5" xfId="12813" xr:uid="{D9C7F7ED-2EE3-4844-8EB8-71C5DB6F81A6}"/>
    <cellStyle name="SAPBEXHLevel0X 2 8" xfId="5768" xr:uid="{B5099909-F977-46E0-BDC6-FF6FE03F4439}"/>
    <cellStyle name="SAPBEXHLevel0X 2 8 2" xfId="11210" xr:uid="{12FA85E2-E5EC-43DF-AD98-356F70481A24}"/>
    <cellStyle name="SAPBEXHLevel0X 2 8 3" xfId="13414" xr:uid="{16991AFC-26A3-459C-A244-398E8DA7D0C2}"/>
    <cellStyle name="SAPBEXHLevel0X 2 9" xfId="6566" xr:uid="{E51EC218-4649-4A4E-A51E-F1897730D635}"/>
    <cellStyle name="SAPBEXHLevel0X 2 9 2" xfId="12008" xr:uid="{D9814BB1-819B-4843-AF61-811A266EF915}"/>
    <cellStyle name="SAPBEXHLevel0X 2 9 3" xfId="14076" xr:uid="{0EAE96AB-0937-4D1F-B0BC-FBCFE0748E9C}"/>
    <cellStyle name="SAPBEXHLevel0X 2_2014 CLEAResult Invoices" xfId="3229" xr:uid="{D47D7B2E-5605-419F-A2F7-8CA6832825E8}"/>
    <cellStyle name="SAPBEXHLevel0X 3" xfId="3230" xr:uid="{5BA4CBB2-861C-4A73-881E-EAEFA824AFAA}"/>
    <cellStyle name="SAPBEXHLevel0X 3 10" xfId="12681" xr:uid="{F8DC131B-7C2B-477A-9ACD-F6B8A5057556}"/>
    <cellStyle name="SAPBEXHLevel0X 3 2" xfId="3231" xr:uid="{790F13DE-82A7-4EBF-8E10-27355DC2F304}"/>
    <cellStyle name="SAPBEXHLevel0X 3 2 2" xfId="3232" xr:uid="{58D66CF1-2023-4DBF-B825-2FE248BA63DB}"/>
    <cellStyle name="SAPBEXHLevel0X 3 2 2 2" xfId="5772" xr:uid="{E1362260-BFA7-4042-BA91-5E574058FD07}"/>
    <cellStyle name="SAPBEXHLevel0X 3 2 2 2 2" xfId="11214" xr:uid="{8FAF721A-1A0A-46CB-B756-2C7E98D926DE}"/>
    <cellStyle name="SAPBEXHLevel0X 3 2 2 2 3" xfId="13418" xr:uid="{C17E81F0-74B1-4CBE-8B1F-94B883C353CA}"/>
    <cellStyle name="SAPBEXHLevel0X 3 2 2 3" xfId="6570" xr:uid="{D7A3BA0B-305C-4F57-85A4-9B87B32C6123}"/>
    <cellStyle name="SAPBEXHLevel0X 3 2 2 3 2" xfId="12012" xr:uid="{DF4D4A64-5861-4C55-9813-4189894DB6B5}"/>
    <cellStyle name="SAPBEXHLevel0X 3 2 2 3 3" xfId="14080" xr:uid="{009B1E59-6D0C-4580-88FB-CB29C04BC502}"/>
    <cellStyle name="SAPBEXHLevel0X 3 2 2 4" xfId="8828" xr:uid="{706F162D-BC9F-4C8C-BAF7-A4321754FB85}"/>
    <cellStyle name="SAPBEXHLevel0X 3 2 2 5" xfId="12683" xr:uid="{1B5A2356-288B-4CE9-8CFA-52FBDFE4F504}"/>
    <cellStyle name="SAPBEXHLevel0X 3 2 3" xfId="3794" xr:uid="{6F3179BE-F438-4B47-BD7F-B5A38AAFFD81}"/>
    <cellStyle name="SAPBEXHLevel0X 3 2 3 2" xfId="6202" xr:uid="{AC988A00-892F-4567-8C27-97CDB60F2838}"/>
    <cellStyle name="SAPBEXHLevel0X 3 2 3 2 2" xfId="11644" xr:uid="{979C6311-887B-4E64-927A-08DD5E362AFE}"/>
    <cellStyle name="SAPBEXHLevel0X 3 2 3 2 3" xfId="13719" xr:uid="{5BCDB341-BFCA-4B2B-81B3-849502EE17E9}"/>
    <cellStyle name="SAPBEXHLevel0X 3 2 3 3" xfId="6884" xr:uid="{09A91C59-FCCD-488D-8E49-46642E4D6DCE}"/>
    <cellStyle name="SAPBEXHLevel0X 3 2 3 3 2" xfId="12326" xr:uid="{109F00CF-832B-4336-864A-1FA8041C354A}"/>
    <cellStyle name="SAPBEXHLevel0X 3 2 3 3 3" xfId="14379" xr:uid="{2A8952D6-B994-4DCA-BFA4-A715DA3FCDE1}"/>
    <cellStyle name="SAPBEXHLevel0X 3 2 3 4" xfId="9265" xr:uid="{904E665C-49F8-4A58-962F-DCFB3FA3EB22}"/>
    <cellStyle name="SAPBEXHLevel0X 3 2 3 5" xfId="12982" xr:uid="{C14E77DF-476E-4E59-A607-9753D41C63E6}"/>
    <cellStyle name="SAPBEXHLevel0X 3 2 4" xfId="5771" xr:uid="{DB755503-5589-45CC-955E-E218EBC93E17}"/>
    <cellStyle name="SAPBEXHLevel0X 3 2 4 2" xfId="11213" xr:uid="{5097B80F-600A-45B0-9060-77DEAC69A1AD}"/>
    <cellStyle name="SAPBEXHLevel0X 3 2 4 3" xfId="13417" xr:uid="{7A762363-28D9-4895-871A-17C5644BCC27}"/>
    <cellStyle name="SAPBEXHLevel0X 3 2 5" xfId="6569" xr:uid="{EAFD249A-5F5D-4CF3-9172-C2FFDDAC37BF}"/>
    <cellStyle name="SAPBEXHLevel0X 3 2 5 2" xfId="12011" xr:uid="{E081C1E2-B1EF-4509-803E-71341CF9065D}"/>
    <cellStyle name="SAPBEXHLevel0X 3 2 5 3" xfId="14079" xr:uid="{26A1AAF7-EE1C-4E22-830C-AC9B6744B0CD}"/>
    <cellStyle name="SAPBEXHLevel0X 3 2 6" xfId="8827" xr:uid="{F7AB3DDE-368C-432D-B7A4-27300BE1B41F}"/>
    <cellStyle name="SAPBEXHLevel0X 3 2 7" xfId="12682" xr:uid="{A9D043E1-3260-4DD3-A951-ADC4850DF307}"/>
    <cellStyle name="SAPBEXHLevel0X 3 3" xfId="3233" xr:uid="{A9FA2FFB-15F4-4C9B-912F-7B194F54603D}"/>
    <cellStyle name="SAPBEXHLevel0X 3 3 2" xfId="3860" xr:uid="{DC6FA130-C718-45E5-ADD9-27B3FEFA4094}"/>
    <cellStyle name="SAPBEXHLevel0X 3 3 2 2" xfId="6267" xr:uid="{5F63F50A-7437-4FDA-AEBD-DC22104BE067}"/>
    <cellStyle name="SAPBEXHLevel0X 3 3 2 2 2" xfId="11709" xr:uid="{9FC2839D-2302-4AB2-9621-A4B75254C834}"/>
    <cellStyle name="SAPBEXHLevel0X 3 3 2 2 3" xfId="13783" xr:uid="{8FE22254-CDFF-45A4-8397-B677A5A03947}"/>
    <cellStyle name="SAPBEXHLevel0X 3 3 2 3" xfId="6947" xr:uid="{75CFD2CF-2C72-400D-BC67-99DD4A5A3195}"/>
    <cellStyle name="SAPBEXHLevel0X 3 3 2 3 2" xfId="12389" xr:uid="{00800439-23F4-418A-9A29-B44613CDCE41}"/>
    <cellStyle name="SAPBEXHLevel0X 3 3 2 3 3" xfId="14441" xr:uid="{77E8AD96-A7B5-4616-87F2-FD4B08DB1F7D}"/>
    <cellStyle name="SAPBEXHLevel0X 3 3 2 4" xfId="9330" xr:uid="{0D6A3C52-82AD-46CB-AA82-9D7904CFE204}"/>
    <cellStyle name="SAPBEXHLevel0X 3 3 2 5" xfId="13044" xr:uid="{98371B87-DD78-426A-94FB-CEA2A6528761}"/>
    <cellStyle name="SAPBEXHLevel0X 3 3 3" xfId="5773" xr:uid="{C0D5FCAC-CF1A-4FAC-9851-8D4FBFAA3658}"/>
    <cellStyle name="SAPBEXHLevel0X 3 3 3 2" xfId="11215" xr:uid="{74F93311-AF82-4A5B-A1A5-8511B4199E3C}"/>
    <cellStyle name="SAPBEXHLevel0X 3 3 3 3" xfId="13419" xr:uid="{BCED4F94-0125-4634-A648-18508E3C1B54}"/>
    <cellStyle name="SAPBEXHLevel0X 3 3 4" xfId="6571" xr:uid="{C903FEB2-0548-46EB-8BB9-F8C9B7915B2D}"/>
    <cellStyle name="SAPBEXHLevel0X 3 3 4 2" xfId="12013" xr:uid="{3C784382-D618-4963-B39B-51E71F467FF0}"/>
    <cellStyle name="SAPBEXHLevel0X 3 3 4 3" xfId="14081" xr:uid="{9DE04836-7881-450F-82CF-AFACBAC6C516}"/>
    <cellStyle name="SAPBEXHLevel0X 3 3 5" xfId="8829" xr:uid="{A936CA7D-5E05-4D70-9F15-91D18554D57C}"/>
    <cellStyle name="SAPBEXHLevel0X 3 3 6" xfId="12684" xr:uid="{7E69D09E-A939-46FB-8C78-7E1DDCEF9B0E}"/>
    <cellStyle name="SAPBEXHLevel0X 3 4" xfId="3945" xr:uid="{DF6CE0FB-7132-4CA3-95BF-48D7994FD1C8}"/>
    <cellStyle name="SAPBEXHLevel0X 3 4 2" xfId="6350" xr:uid="{8441B6DA-6233-4568-A706-584C5B814BF7}"/>
    <cellStyle name="SAPBEXHLevel0X 3 4 2 2" xfId="11792" xr:uid="{7362D8B2-F4DB-49C1-9A6C-CC2292E2AE71}"/>
    <cellStyle name="SAPBEXHLevel0X 3 4 2 3" xfId="13864" xr:uid="{6B5AA2C8-B860-4B27-A4CB-F064C2560E26}"/>
    <cellStyle name="SAPBEXHLevel0X 3 4 3" xfId="7028" xr:uid="{7852E66A-1700-4524-B5BA-E01AB40E0CC1}"/>
    <cellStyle name="SAPBEXHLevel0X 3 4 3 2" xfId="12470" xr:uid="{EDC0EB54-6BE4-4C17-92F0-3E967F79B0BA}"/>
    <cellStyle name="SAPBEXHLevel0X 3 4 3 3" xfId="14520" xr:uid="{54353F31-3F52-4D31-BC07-D30B6040DEA3}"/>
    <cellStyle name="SAPBEXHLevel0X 3 4 4" xfId="9413" xr:uid="{0794E146-C6D3-4345-AEED-4954B0952CC5}"/>
    <cellStyle name="SAPBEXHLevel0X 3 4 5" xfId="13123" xr:uid="{F7CF6BC4-9A3F-437C-BE87-2338DA4E7846}"/>
    <cellStyle name="SAPBEXHLevel0X 3 5" xfId="4012" xr:uid="{C1EF0526-8A8D-4593-BFDF-597C7CE4BD78}"/>
    <cellStyle name="SAPBEXHLevel0X 3 5 2" xfId="6415" xr:uid="{4EACB480-1467-4B0A-996A-9A33305C803E}"/>
    <cellStyle name="SAPBEXHLevel0X 3 5 2 2" xfId="11857" xr:uid="{5D4F971E-B3F4-4129-B6D1-A32104AF6342}"/>
    <cellStyle name="SAPBEXHLevel0X 3 5 2 3" xfId="13928" xr:uid="{59399DDA-F4A9-4F07-97F7-34CFD300F832}"/>
    <cellStyle name="SAPBEXHLevel0X 3 5 3" xfId="7091" xr:uid="{95A8A60A-FD3F-46A9-83F8-4C0ACD9D3C4A}"/>
    <cellStyle name="SAPBEXHLevel0X 3 5 3 2" xfId="12533" xr:uid="{A573775A-B33F-4F13-9584-96203436F4FD}"/>
    <cellStyle name="SAPBEXHLevel0X 3 5 3 3" xfId="14582" xr:uid="{19CB6E7C-0B86-4A6D-AB68-2D50DFA8D24E}"/>
    <cellStyle name="SAPBEXHLevel0X 3 5 4" xfId="9478" xr:uid="{D59B5107-BE2E-4222-B3DA-D63781B39423}"/>
    <cellStyle name="SAPBEXHLevel0X 3 5 5" xfId="13185" xr:uid="{232460AC-32D9-4995-9D21-94BFAB6D48E3}"/>
    <cellStyle name="SAPBEXHLevel0X 3 6" xfId="3728" xr:uid="{6EA7160A-0CF4-49AD-84DE-CDC9BA6E3869}"/>
    <cellStyle name="SAPBEXHLevel0X 3 6 2" xfId="6136" xr:uid="{4A2A1BF1-F4F1-420C-838F-7A4AD40F34CF}"/>
    <cellStyle name="SAPBEXHLevel0X 3 6 2 2" xfId="11578" xr:uid="{71ACD52D-23FD-4D3B-8FE6-7D5E58790688}"/>
    <cellStyle name="SAPBEXHLevel0X 3 6 2 3" xfId="13655" xr:uid="{0436AA41-BA54-40E7-B377-0B6BD5270E7B}"/>
    <cellStyle name="SAPBEXHLevel0X 3 6 3" xfId="6820" xr:uid="{416FB4A3-CFD6-4B0A-9E93-2C62CDC594CE}"/>
    <cellStyle name="SAPBEXHLevel0X 3 6 3 2" xfId="12262" xr:uid="{065FF687-5810-4031-921E-4392E0751B3A}"/>
    <cellStyle name="SAPBEXHLevel0X 3 6 3 3" xfId="14317" xr:uid="{BA5323FF-5F36-4E18-ACB0-9950C344A475}"/>
    <cellStyle name="SAPBEXHLevel0X 3 6 4" xfId="9199" xr:uid="{BF1888C7-0347-40A4-B85B-350A55E8B9DF}"/>
    <cellStyle name="SAPBEXHLevel0X 3 6 5" xfId="12920" xr:uid="{FA5F6063-9B0A-4F79-88C1-24906E1A4CF4}"/>
    <cellStyle name="SAPBEXHLevel0X 3 7" xfId="5770" xr:uid="{AE44ADF6-FEA2-4CC1-967E-F6E10848D451}"/>
    <cellStyle name="SAPBEXHLevel0X 3 7 2" xfId="11212" xr:uid="{3FD41377-BC74-4DE5-A02C-08C01431918F}"/>
    <cellStyle name="SAPBEXHLevel0X 3 7 3" xfId="13416" xr:uid="{C9DFABA9-3103-489E-A640-B1A42195D3BC}"/>
    <cellStyle name="SAPBEXHLevel0X 3 8" xfId="6568" xr:uid="{CEE9AC12-98B9-437F-8FF7-C8B2A13D5A18}"/>
    <cellStyle name="SAPBEXHLevel0X 3 8 2" xfId="12010" xr:uid="{B7A64F3E-D70F-429D-AE1D-EB762786AC91}"/>
    <cellStyle name="SAPBEXHLevel0X 3 8 3" xfId="14078" xr:uid="{9BA929A1-D2A2-48F0-A700-0F2C77211B2E}"/>
    <cellStyle name="SAPBEXHLevel0X 3 9" xfId="8826" xr:uid="{D9E7EAEA-E27A-4753-B067-BBA69C0EF1CC}"/>
    <cellStyle name="SAPBEXHLevel0X 3_2014 CLEAResult Invoices" xfId="3234" xr:uid="{468385C1-E0D4-46D7-8335-9FA18914A6E6}"/>
    <cellStyle name="SAPBEXHLevel0X 4" xfId="3235" xr:uid="{F408D08A-A00D-4770-9CEE-731A720A9E0D}"/>
    <cellStyle name="SAPBEXHLevel0X 4 2" xfId="3663" xr:uid="{D064691B-FF70-4547-9499-2CC4A49312B2}"/>
    <cellStyle name="SAPBEXHLevel0X 4 2 2" xfId="6071" xr:uid="{1B32546A-B74B-4542-8EDA-B87FB2BF38FE}"/>
    <cellStyle name="SAPBEXHLevel0X 4 2 2 2" xfId="11513" xr:uid="{C97EB402-3F1E-46E1-A24F-CB310B1EF138}"/>
    <cellStyle name="SAPBEXHLevel0X 4 2 2 3" xfId="13592" xr:uid="{73DCE565-3233-4B74-A958-808DA5F02E1F}"/>
    <cellStyle name="SAPBEXHLevel0X 4 2 3" xfId="6755" xr:uid="{B4B2A59D-41EE-4EDD-AB60-8243113916D8}"/>
    <cellStyle name="SAPBEXHLevel0X 4 2 3 2" xfId="12197" xr:uid="{B4C89950-93D7-4CD2-887F-693B47F62C3A}"/>
    <cellStyle name="SAPBEXHLevel0X 4 2 3 3" xfId="14254" xr:uid="{2C323A27-4346-4C0E-81F3-AD159446E7C5}"/>
    <cellStyle name="SAPBEXHLevel0X 4 2 4" xfId="9134" xr:uid="{DD5CCDD8-8518-4732-91E0-895CD3B8C6C7}"/>
    <cellStyle name="SAPBEXHLevel0X 4 2 5" xfId="12857" xr:uid="{1031E057-6421-498D-8B19-4197B9DE384B}"/>
    <cellStyle name="SAPBEXHLevel0X 4 3" xfId="5774" xr:uid="{33EB02A7-927D-49F4-844A-CAEFF4310E0E}"/>
    <cellStyle name="SAPBEXHLevel0X 4 3 2" xfId="11216" xr:uid="{EB8449A2-A2DD-40C6-8C9C-BCEB64ECEB32}"/>
    <cellStyle name="SAPBEXHLevel0X 4 3 3" xfId="13420" xr:uid="{1357D05C-0D0A-4205-9359-FB82811684CF}"/>
    <cellStyle name="SAPBEXHLevel0X 4 4" xfId="6572" xr:uid="{99B28F73-2A84-47C8-9328-7700943BE75D}"/>
    <cellStyle name="SAPBEXHLevel0X 4 4 2" xfId="12014" xr:uid="{24AB0C30-41E3-412E-9D80-535CD3E7928A}"/>
    <cellStyle name="SAPBEXHLevel0X 4 4 3" xfId="14082" xr:uid="{B5E228FC-96BF-45B2-91FF-F05D2C482FF1}"/>
    <cellStyle name="SAPBEXHLevel0X 4 5" xfId="8830" xr:uid="{4CD472A0-7BC4-44C8-8288-ECF779578E22}"/>
    <cellStyle name="SAPBEXHLevel0X 4 6" xfId="12685" xr:uid="{B4A0745A-C1A9-4708-A1AF-ECC270154D0F}"/>
    <cellStyle name="SAPBEXHLevel0X 5" xfId="3226" xr:uid="{8D0C4BEA-119C-4DA1-99FD-875F1C159E28}"/>
    <cellStyle name="SAPBEXHLevel0X 5 2" xfId="3877" xr:uid="{8B6CFB23-1987-416E-92B0-5A0D72CDADBC}"/>
    <cellStyle name="SAPBEXHLevel0X 5 2 2" xfId="6284" xr:uid="{6F1DCA9E-F22A-4E52-956C-5CF70BC2925C}"/>
    <cellStyle name="SAPBEXHLevel0X 5 2 2 2" xfId="11726" xr:uid="{9F7A9932-9E92-4B41-8052-562AF013CB64}"/>
    <cellStyle name="SAPBEXHLevel0X 5 2 2 3" xfId="13800" xr:uid="{74057ACB-60F1-43AD-AC5E-4519312ABF1B}"/>
    <cellStyle name="SAPBEXHLevel0X 5 2 3" xfId="6964" xr:uid="{5B4391A3-B8F1-4228-8DE5-D615F8197755}"/>
    <cellStyle name="SAPBEXHLevel0X 5 2 3 2" xfId="12406" xr:uid="{3D11D5A9-D20D-4562-A6F2-1334AB50268E}"/>
    <cellStyle name="SAPBEXHLevel0X 5 2 3 3" xfId="14458" xr:uid="{2298781C-968E-41CC-AAB4-78BC916EF6BA}"/>
    <cellStyle name="SAPBEXHLevel0X 5 2 4" xfId="9347" xr:uid="{E33387EB-6807-44D3-9C83-02D8F1FFDC94}"/>
    <cellStyle name="SAPBEXHLevel0X 5 2 5" xfId="13061" xr:uid="{BF4B7F15-EA80-4BC7-A07F-56164B47908D}"/>
    <cellStyle name="SAPBEXHLevel0X 5 3" xfId="5767" xr:uid="{7ADD766C-4DEB-44C5-BF8F-9F238E0FE538}"/>
    <cellStyle name="SAPBEXHLevel0X 5 3 2" xfId="11209" xr:uid="{4C2DCE11-1B38-469D-BCDC-27521E3EAAEF}"/>
    <cellStyle name="SAPBEXHLevel0X 5 3 3" xfId="13413" xr:uid="{A88A79F9-1B0B-4483-9B7A-F33AE57628A1}"/>
    <cellStyle name="SAPBEXHLevel0X 5 4" xfId="6565" xr:uid="{ADD7AE92-CEEB-4E84-8041-6B6C2B26136C}"/>
    <cellStyle name="SAPBEXHLevel0X 5 4 2" xfId="12007" xr:uid="{E5491522-80C7-4D8A-B3B5-728909B141D0}"/>
    <cellStyle name="SAPBEXHLevel0X 5 4 3" xfId="14075" xr:uid="{8A2522E7-695C-494C-B217-20B8668FE159}"/>
    <cellStyle name="SAPBEXHLevel0X 5 5" xfId="8823" xr:uid="{EF6090A1-937C-461C-BDC2-7113DF83F649}"/>
    <cellStyle name="SAPBEXHLevel0X 5 6" xfId="12678" xr:uid="{4D5A28B4-247E-4509-9B4C-CAAAC0151C14}"/>
    <cellStyle name="SAPBEXHLevel0X 6" xfId="3577" xr:uid="{EA525FDE-4CB4-4D7C-BD9D-381E841A8FF2}"/>
    <cellStyle name="SAPBEXHLevel0X 6 2" xfId="5988" xr:uid="{B55CD619-0067-4748-9F51-D5DFEFEC848D}"/>
    <cellStyle name="SAPBEXHLevel0X 6 2 2" xfId="11430" xr:uid="{960EC825-5746-427F-9FCD-7AC7594B8994}"/>
    <cellStyle name="SAPBEXHLevel0X 6 2 3" xfId="13514" xr:uid="{BE31ED54-88F0-4820-999C-DEF1CDC1694E}"/>
    <cellStyle name="SAPBEXHLevel0X 6 3" xfId="6671" xr:uid="{B6164E46-112D-4BDD-9343-B0535F8220E6}"/>
    <cellStyle name="SAPBEXHLevel0X 6 3 2" xfId="12113" xr:uid="{A920E215-15C9-4694-ADE9-E34ED4D2A463}"/>
    <cellStyle name="SAPBEXHLevel0X 6 3 3" xfId="14175" xr:uid="{91FFFD5A-9C3E-4DAC-BEF5-DA82E7D74A55}"/>
    <cellStyle name="SAPBEXHLevel0X 6 4" xfId="9049" xr:uid="{71C0191D-C4BF-4422-AB36-C73B603CCAB2}"/>
    <cellStyle name="SAPBEXHLevel0X 6 5" xfId="12778" xr:uid="{DF26DCD7-7313-445F-B8BC-AA9FA4787A9E}"/>
    <cellStyle name="SAPBEXHLevel0X 7" xfId="4145" xr:uid="{BA2C1170-C5A7-4912-8910-FC9CC46ACACC}"/>
    <cellStyle name="SAPBEXHLevel0X 7 2" xfId="9595" xr:uid="{24F895F3-CD12-4367-A07A-361E94480808}"/>
    <cellStyle name="SAPBEXHLevel0X 7 3" xfId="13224" xr:uid="{7D95B093-E75A-436E-A475-D20AB2C6F3B0}"/>
    <cellStyle name="SAPBEXHLevel0X 8" xfId="5688" xr:uid="{BCF94971-1F0A-45DC-A536-768FDD4C8C92}"/>
    <cellStyle name="SAPBEXHLevel0X 8 2" xfId="11130" xr:uid="{DA3CBAD8-235F-4B75-B0C4-9B687C5C3B81}"/>
    <cellStyle name="SAPBEXHLevel0X 8 3" xfId="13336" xr:uid="{7580501C-B9EA-46D0-829C-F46E3CF0DCD1}"/>
    <cellStyle name="SAPBEXHLevel0X 9" xfId="7213" xr:uid="{A40C4C65-808E-4537-AA5D-1A9B9F56CCD1}"/>
    <cellStyle name="SAPBEXHLevel0X_2014 CLEAResult Invoices" xfId="3236" xr:uid="{8D6C1705-140D-4719-8025-AD433D26AF8C}"/>
    <cellStyle name="SAPBEXHLevel1" xfId="270" xr:uid="{638D3888-E078-4B6A-928B-4FA8CFF9891B}"/>
    <cellStyle name="SAPBEXHLevel1 10" xfId="7185" xr:uid="{BD7D52D6-FCD6-4EDC-A60B-C8707C99EF47}"/>
    <cellStyle name="SAPBEXHLevel1 2" xfId="3238" xr:uid="{75B1124C-99BC-49CE-933B-F9A0591D7272}"/>
    <cellStyle name="SAPBEXHLevel1 2 10" xfId="8832" xr:uid="{DC36EC20-B2E7-42D2-800A-0312D34EB22A}"/>
    <cellStyle name="SAPBEXHLevel1 2 11" xfId="12687" xr:uid="{CB3C0C81-84D7-44B3-B92D-73813DA29A75}"/>
    <cellStyle name="SAPBEXHLevel1 2 2" xfId="3696" xr:uid="{6E295BDE-9EDC-48E4-A48B-748731647077}"/>
    <cellStyle name="SAPBEXHLevel1 2 2 2" xfId="6104" xr:uid="{EB7847FD-CA13-487E-BABF-CA8646446653}"/>
    <cellStyle name="SAPBEXHLevel1 2 2 2 2" xfId="11546" xr:uid="{667CE7EC-84F3-4356-A4FE-3D04A9A268C2}"/>
    <cellStyle name="SAPBEXHLevel1 2 2 2 3" xfId="13623" xr:uid="{D8ABBB4E-A415-49A6-AACB-6E9ED2007C3D}"/>
    <cellStyle name="SAPBEXHLevel1 2 2 3" xfId="6788" xr:uid="{77BE324C-B340-4696-9D70-449357642DF6}"/>
    <cellStyle name="SAPBEXHLevel1 2 2 3 2" xfId="12230" xr:uid="{EFACFA68-7769-43E7-B1A0-100FD82C5D82}"/>
    <cellStyle name="SAPBEXHLevel1 2 2 3 3" xfId="14285" xr:uid="{19FDB9BD-C4C6-40D5-9E80-E345514C0CC8}"/>
    <cellStyle name="SAPBEXHLevel1 2 2 4" xfId="9167" xr:uid="{F60C6887-90F2-4C0A-BDB9-45B4226102F2}"/>
    <cellStyle name="SAPBEXHLevel1 2 2 5" xfId="12888" xr:uid="{EB2B62C0-036E-4755-915B-11A230FB77AD}"/>
    <cellStyle name="SAPBEXHLevel1 2 3" xfId="3762" xr:uid="{C873FB0B-6BBA-4AD4-B134-28F5CCD37846}"/>
    <cellStyle name="SAPBEXHLevel1 2 3 2" xfId="6170" xr:uid="{69051FC3-0A7A-4972-9861-333D3A4C928D}"/>
    <cellStyle name="SAPBEXHLevel1 2 3 2 2" xfId="11612" xr:uid="{50A45C78-D471-45BF-A4A8-8C151B221338}"/>
    <cellStyle name="SAPBEXHLevel1 2 3 2 3" xfId="13687" xr:uid="{FF173B0B-FADE-495A-A663-C773397B8F8B}"/>
    <cellStyle name="SAPBEXHLevel1 2 3 3" xfId="6852" xr:uid="{F31ABA34-AE02-438F-B8DA-67C82D54E3B5}"/>
    <cellStyle name="SAPBEXHLevel1 2 3 3 2" xfId="12294" xr:uid="{94156E4B-B225-49A5-B722-3C9F534BB643}"/>
    <cellStyle name="SAPBEXHLevel1 2 3 3 3" xfId="14347" xr:uid="{09335EB4-C393-45BD-B057-BA7C852346C9}"/>
    <cellStyle name="SAPBEXHLevel1 2 3 4" xfId="9233" xr:uid="{F11DC3E7-9D98-4AF6-B5F9-6F07791C85DF}"/>
    <cellStyle name="SAPBEXHLevel1 2 3 5" xfId="12950" xr:uid="{D320706F-F730-41C6-9635-235D5C26FC30}"/>
    <cellStyle name="SAPBEXHLevel1 2 4" xfId="3828" xr:uid="{9EA8386E-E771-4D86-A872-284422EDFA4C}"/>
    <cellStyle name="SAPBEXHLevel1 2 4 2" xfId="6235" xr:uid="{22050D8E-07D4-458D-B257-266A6ABC29E8}"/>
    <cellStyle name="SAPBEXHLevel1 2 4 2 2" xfId="11677" xr:uid="{A49D03DF-90D9-4C0F-8AA0-AD8265B05699}"/>
    <cellStyle name="SAPBEXHLevel1 2 4 2 3" xfId="13751" xr:uid="{3B8F54AD-310F-4293-96F7-5FA283F4F1AA}"/>
    <cellStyle name="SAPBEXHLevel1 2 4 3" xfId="6915" xr:uid="{7F55831D-650C-46A4-A822-CBF254DE955A}"/>
    <cellStyle name="SAPBEXHLevel1 2 4 3 2" xfId="12357" xr:uid="{29CA5FA8-E3D3-4187-BEC6-3E73AC58CC07}"/>
    <cellStyle name="SAPBEXHLevel1 2 4 3 3" xfId="14409" xr:uid="{F6069BFD-BA54-40C7-A92D-56A38442712C}"/>
    <cellStyle name="SAPBEXHLevel1 2 4 4" xfId="9298" xr:uid="{149E323C-4A39-46FA-A592-82FD24BFBC06}"/>
    <cellStyle name="SAPBEXHLevel1 2 4 5" xfId="13012" xr:uid="{5D9B1930-2A29-490B-9603-E8DFE9FEB312}"/>
    <cellStyle name="SAPBEXHLevel1 2 5" xfId="3913" xr:uid="{DFD13630-3984-4614-A872-97A46A0AD3A1}"/>
    <cellStyle name="SAPBEXHLevel1 2 5 2" xfId="6318" xr:uid="{19D5E819-114C-4730-AD78-E2A5C87ABADA}"/>
    <cellStyle name="SAPBEXHLevel1 2 5 2 2" xfId="11760" xr:uid="{F104238B-DA87-4986-8DBC-BAE29DEAE103}"/>
    <cellStyle name="SAPBEXHLevel1 2 5 2 3" xfId="13832" xr:uid="{AB8549A5-0199-496F-851B-BA6E33F5A838}"/>
    <cellStyle name="SAPBEXHLevel1 2 5 3" xfId="6996" xr:uid="{3822FDEA-5C83-45D0-AD2E-EEAE8915C935}"/>
    <cellStyle name="SAPBEXHLevel1 2 5 3 2" xfId="12438" xr:uid="{7F603E09-58DC-4AC8-83EA-029F8E2F3504}"/>
    <cellStyle name="SAPBEXHLevel1 2 5 3 3" xfId="14488" xr:uid="{637D732C-AFEA-49B6-A5BF-E844A83DEBD4}"/>
    <cellStyle name="SAPBEXHLevel1 2 5 4" xfId="9381" xr:uid="{D8C34349-0EDE-4DDD-A416-C94721CB833F}"/>
    <cellStyle name="SAPBEXHLevel1 2 5 5" xfId="13091" xr:uid="{CEADF5E5-A1C2-4921-8AE8-A9734727A256}"/>
    <cellStyle name="SAPBEXHLevel1 2 6" xfId="3980" xr:uid="{33F27B60-69B8-4BF1-A4AA-F2E71E5BD7E5}"/>
    <cellStyle name="SAPBEXHLevel1 2 6 2" xfId="6383" xr:uid="{EE9718CF-67AF-4053-9604-33772F498647}"/>
    <cellStyle name="SAPBEXHLevel1 2 6 2 2" xfId="11825" xr:uid="{080C4885-1F28-4A4F-9BEC-8D51D3711DBD}"/>
    <cellStyle name="SAPBEXHLevel1 2 6 2 3" xfId="13896" xr:uid="{90F031B9-601A-4569-8BD5-E91E884080A2}"/>
    <cellStyle name="SAPBEXHLevel1 2 6 3" xfId="7059" xr:uid="{B911E7FF-3183-42F7-83AF-748751F7ED4D}"/>
    <cellStyle name="SAPBEXHLevel1 2 6 3 2" xfId="12501" xr:uid="{0CAFCD4D-E948-47DF-A1BB-8134989104CC}"/>
    <cellStyle name="SAPBEXHLevel1 2 6 3 3" xfId="14550" xr:uid="{FD973E6C-5EB3-429D-97CB-A0AC2D670464}"/>
    <cellStyle name="SAPBEXHLevel1 2 6 4" xfId="9446" xr:uid="{B551CDEB-3D31-4191-AB7C-BCC06F16FEBA}"/>
    <cellStyle name="SAPBEXHLevel1 2 6 5" xfId="13153" xr:uid="{028A430A-F645-4187-A220-7661E023005C}"/>
    <cellStyle name="SAPBEXHLevel1 2 7" xfId="3614" xr:uid="{CE108D2E-EF50-499A-A55E-3E1BA8C77825}"/>
    <cellStyle name="SAPBEXHLevel1 2 7 2" xfId="6023" xr:uid="{D1A25761-75A9-4C7E-80F3-AF7980502B89}"/>
    <cellStyle name="SAPBEXHLevel1 2 7 2 2" xfId="11465" xr:uid="{28E41917-4705-460D-9B96-A9AD195CC0F9}"/>
    <cellStyle name="SAPBEXHLevel1 2 7 2 3" xfId="13547" xr:uid="{5526AE1C-0D7B-4568-BC16-070D24FFDE59}"/>
    <cellStyle name="SAPBEXHLevel1 2 7 3" xfId="6707" xr:uid="{D5977AAA-01C8-4964-B693-657F40F5269D}"/>
    <cellStyle name="SAPBEXHLevel1 2 7 3 2" xfId="12149" xr:uid="{D2E3F26F-FCE2-48BF-B10F-48F6572362F6}"/>
    <cellStyle name="SAPBEXHLevel1 2 7 3 3" xfId="14209" xr:uid="{2BD36249-AB37-4960-8C27-CC447B804E8D}"/>
    <cellStyle name="SAPBEXHLevel1 2 7 4" xfId="9086" xr:uid="{CD5B3EC6-73F2-4FDE-83EE-3A15620DB65D}"/>
    <cellStyle name="SAPBEXHLevel1 2 7 5" xfId="12812" xr:uid="{16801F92-81F0-44A6-B639-C967956CA216}"/>
    <cellStyle name="SAPBEXHLevel1 2 8" xfId="5776" xr:uid="{A4DFF16F-75D9-476D-9576-DAFF10C111F9}"/>
    <cellStyle name="SAPBEXHLevel1 2 8 2" xfId="11218" xr:uid="{60FB8F3E-E3AD-4262-9DDB-D341B5FE890D}"/>
    <cellStyle name="SAPBEXHLevel1 2 8 3" xfId="13422" xr:uid="{727E561E-209F-4255-BC04-9183A861A04D}"/>
    <cellStyle name="SAPBEXHLevel1 2 9" xfId="6574" xr:uid="{BCFCD0FC-51C6-43C6-BF53-327F8A3D084B}"/>
    <cellStyle name="SAPBEXHLevel1 2 9 2" xfId="12016" xr:uid="{36B5E839-D32A-4662-AFC9-49B15C672D57}"/>
    <cellStyle name="SAPBEXHLevel1 2 9 3" xfId="14084" xr:uid="{4DCD7BDF-317E-4539-96AA-E905C965676B}"/>
    <cellStyle name="SAPBEXHLevel1 3" xfId="3237" xr:uid="{30C0F730-B5C2-4B34-85C2-35AF5141AF01}"/>
    <cellStyle name="SAPBEXHLevel1 3 10" xfId="12686" xr:uid="{0DA8768C-7F23-454C-9EAD-2BBD073E771A}"/>
    <cellStyle name="SAPBEXHLevel1 3 2" xfId="3795" xr:uid="{F20312CD-0EA3-4A23-BF4D-A99B2B410BD0}"/>
    <cellStyle name="SAPBEXHLevel1 3 2 2" xfId="6203" xr:uid="{A8DA411B-FECE-4C87-B660-7D70047F9681}"/>
    <cellStyle name="SAPBEXHLevel1 3 2 2 2" xfId="11645" xr:uid="{B65ACF5E-B954-4C71-96C0-0B9E02D04C76}"/>
    <cellStyle name="SAPBEXHLevel1 3 2 2 3" xfId="13720" xr:uid="{92607758-3D78-44CB-A2E8-389D731F9543}"/>
    <cellStyle name="SAPBEXHLevel1 3 2 3" xfId="6885" xr:uid="{27CF7EAE-44F4-4DEA-A8FB-93953741AF92}"/>
    <cellStyle name="SAPBEXHLevel1 3 2 3 2" xfId="12327" xr:uid="{11E0F11F-9028-4111-BD89-985B0C66143C}"/>
    <cellStyle name="SAPBEXHLevel1 3 2 3 3" xfId="14380" xr:uid="{822F2D0B-0D5D-4391-8E71-451B2B84FA68}"/>
    <cellStyle name="SAPBEXHLevel1 3 2 4" xfId="9266" xr:uid="{5F1264CC-B30F-4369-99BF-72C022CE170E}"/>
    <cellStyle name="SAPBEXHLevel1 3 2 5" xfId="12983" xr:uid="{41F3DFF2-4500-4A2A-9338-460EBDE1059B}"/>
    <cellStyle name="SAPBEXHLevel1 3 3" xfId="3861" xr:uid="{89BDF9D4-9558-4569-8F6F-69DF0FEE8F75}"/>
    <cellStyle name="SAPBEXHLevel1 3 3 2" xfId="6268" xr:uid="{E59EF932-B073-49CE-8EB7-B226DFEB1DD7}"/>
    <cellStyle name="SAPBEXHLevel1 3 3 2 2" xfId="11710" xr:uid="{B7943A14-21F3-46B4-B8DE-FD2257DF5C7E}"/>
    <cellStyle name="SAPBEXHLevel1 3 3 2 3" xfId="13784" xr:uid="{97941166-2D28-4702-8D08-6FFCB59F3373}"/>
    <cellStyle name="SAPBEXHLevel1 3 3 3" xfId="6948" xr:uid="{79F2721C-91FE-4488-B518-9C3A6FCBF303}"/>
    <cellStyle name="SAPBEXHLevel1 3 3 3 2" xfId="12390" xr:uid="{8E63C156-D518-4420-AD17-037258042CF3}"/>
    <cellStyle name="SAPBEXHLevel1 3 3 3 3" xfId="14442" xr:uid="{E7CD821E-3481-4E77-B7FD-55DAB92F6FAE}"/>
    <cellStyle name="SAPBEXHLevel1 3 3 4" xfId="9331" xr:uid="{9EE1F966-543E-437F-B2B3-60DFB4B2E9B7}"/>
    <cellStyle name="SAPBEXHLevel1 3 3 5" xfId="13045" xr:uid="{4C302ECA-26D4-4AC3-B20E-B20C25A22649}"/>
    <cellStyle name="SAPBEXHLevel1 3 4" xfId="3946" xr:uid="{1877B386-7469-4E75-B1C8-1EC94317162F}"/>
    <cellStyle name="SAPBEXHLevel1 3 4 2" xfId="6351" xr:uid="{405A15EE-C05A-4A0E-B901-77F6B2693BD5}"/>
    <cellStyle name="SAPBEXHLevel1 3 4 2 2" xfId="11793" xr:uid="{F3A5D4E0-9B53-4CFA-9970-2C1D498E4DE5}"/>
    <cellStyle name="SAPBEXHLevel1 3 4 2 3" xfId="13865" xr:uid="{F77F71A2-4AD6-4871-9B7E-18332E42B826}"/>
    <cellStyle name="SAPBEXHLevel1 3 4 3" xfId="7029" xr:uid="{556AAEDC-9E56-4E21-92B3-59AA0813A557}"/>
    <cellStyle name="SAPBEXHLevel1 3 4 3 2" xfId="12471" xr:uid="{4599F2A6-D526-4544-8092-62FECAD0FD06}"/>
    <cellStyle name="SAPBEXHLevel1 3 4 3 3" xfId="14521" xr:uid="{ACAE4043-055D-4FA0-AFE9-99EBB8D4EEC5}"/>
    <cellStyle name="SAPBEXHLevel1 3 4 4" xfId="9414" xr:uid="{1A676F0F-69D7-41A1-AD94-277CD1F0FA57}"/>
    <cellStyle name="SAPBEXHLevel1 3 4 5" xfId="13124" xr:uid="{0695864D-3700-4966-B003-4078C8A5AB86}"/>
    <cellStyle name="SAPBEXHLevel1 3 5" xfId="4013" xr:uid="{567F0A42-AF22-44E1-B18B-5CBAAB582BDF}"/>
    <cellStyle name="SAPBEXHLevel1 3 5 2" xfId="6416" xr:uid="{79F6E753-413E-43D5-AF63-113D36801E4F}"/>
    <cellStyle name="SAPBEXHLevel1 3 5 2 2" xfId="11858" xr:uid="{FAE5B43D-B490-4DE8-8A1A-5C4471193EEF}"/>
    <cellStyle name="SAPBEXHLevel1 3 5 2 3" xfId="13929" xr:uid="{54CC3A33-AF92-4F63-93B6-0AB9361BDE60}"/>
    <cellStyle name="SAPBEXHLevel1 3 5 3" xfId="7092" xr:uid="{ABAE5397-1B37-4648-A3A4-B6A63293CDA2}"/>
    <cellStyle name="SAPBEXHLevel1 3 5 3 2" xfId="12534" xr:uid="{1BF55E78-F5C3-46E3-9E96-0DF8931D9DD2}"/>
    <cellStyle name="SAPBEXHLevel1 3 5 3 3" xfId="14583" xr:uid="{DEF8FA21-5659-4D90-AC02-69630CD6DCF5}"/>
    <cellStyle name="SAPBEXHLevel1 3 5 4" xfId="9479" xr:uid="{C7278DC1-E30F-4327-98BE-68D55FA656CA}"/>
    <cellStyle name="SAPBEXHLevel1 3 5 5" xfId="13186" xr:uid="{91FF076E-4EF7-4780-AB80-FA8A7B81A50A}"/>
    <cellStyle name="SAPBEXHLevel1 3 6" xfId="3729" xr:uid="{BECCA30A-DE8F-44C8-ACA8-E31215C1BE72}"/>
    <cellStyle name="SAPBEXHLevel1 3 6 2" xfId="6137" xr:uid="{0B6ADF4A-4163-4334-A39E-9590130133CE}"/>
    <cellStyle name="SAPBEXHLevel1 3 6 2 2" xfId="11579" xr:uid="{41D079F3-7505-4E68-831B-B10F7BC7F6D4}"/>
    <cellStyle name="SAPBEXHLevel1 3 6 2 3" xfId="13656" xr:uid="{7F955A71-DFCD-4C35-8D86-646826BF94A7}"/>
    <cellStyle name="SAPBEXHLevel1 3 6 3" xfId="6821" xr:uid="{FD57871F-C54F-4649-A857-27FEABC63372}"/>
    <cellStyle name="SAPBEXHLevel1 3 6 3 2" xfId="12263" xr:uid="{09091D88-1EF4-4341-A8CA-3FADFCADDAFB}"/>
    <cellStyle name="SAPBEXHLevel1 3 6 3 3" xfId="14318" xr:uid="{C2378E8D-E2C2-4239-99DC-EEF8E8A325E7}"/>
    <cellStyle name="SAPBEXHLevel1 3 6 4" xfId="9200" xr:uid="{7B9C948B-635A-4DCA-A3A9-37536BDD0E13}"/>
    <cellStyle name="SAPBEXHLevel1 3 6 5" xfId="12921" xr:uid="{DA3287FE-ADFE-4884-BABC-56C0006A771C}"/>
    <cellStyle name="SAPBEXHLevel1 3 7" xfId="5775" xr:uid="{BA4F4944-3BD5-480A-9FFF-7FC04D51CB0F}"/>
    <cellStyle name="SAPBEXHLevel1 3 7 2" xfId="11217" xr:uid="{55F0EB74-88CE-4F30-AE48-C9128E856607}"/>
    <cellStyle name="SAPBEXHLevel1 3 7 3" xfId="13421" xr:uid="{3D68E16B-5A3C-43D9-9F74-D3116EA896C6}"/>
    <cellStyle name="SAPBEXHLevel1 3 8" xfId="6573" xr:uid="{4FEA0103-5D50-4A63-9667-19822E57C065}"/>
    <cellStyle name="SAPBEXHLevel1 3 8 2" xfId="12015" xr:uid="{3FB098F7-640A-4493-819B-9D12C0A8398A}"/>
    <cellStyle name="SAPBEXHLevel1 3 8 3" xfId="14083" xr:uid="{CF0BCC73-8FE2-45E7-A28F-DC02E3175E69}"/>
    <cellStyle name="SAPBEXHLevel1 3 9" xfId="8831" xr:uid="{E31309F1-CB59-473A-A7E0-CCFA60E93219}"/>
    <cellStyle name="SAPBEXHLevel1 4" xfId="3664" xr:uid="{F282E81C-FCDC-4CCF-9D5B-2C0CFC05E681}"/>
    <cellStyle name="SAPBEXHLevel1 4 2" xfId="6072" xr:uid="{E1F11F04-FD96-48F2-93D3-DFE4C43584C7}"/>
    <cellStyle name="SAPBEXHLevel1 4 2 2" xfId="11514" xr:uid="{BF1F639D-2858-49DA-BC25-134B124B1FE1}"/>
    <cellStyle name="SAPBEXHLevel1 4 2 3" xfId="13593" xr:uid="{909EDFBD-F966-430A-8086-64418E6BB8B6}"/>
    <cellStyle name="SAPBEXHLevel1 4 3" xfId="6756" xr:uid="{533A3E16-3BF5-4FF9-BCD7-B7C1F8DFDAA1}"/>
    <cellStyle name="SAPBEXHLevel1 4 3 2" xfId="12198" xr:uid="{A722E577-0BB5-45D4-B65F-790FAD9177B6}"/>
    <cellStyle name="SAPBEXHLevel1 4 3 3" xfId="14255" xr:uid="{F16BADA0-92D2-4205-9274-4E879B2E9BC5}"/>
    <cellStyle name="SAPBEXHLevel1 4 4" xfId="9135" xr:uid="{EBDEA947-C8B5-4116-BEEF-2A48B1C6B77A}"/>
    <cellStyle name="SAPBEXHLevel1 4 5" xfId="12858" xr:uid="{2DDEFA0B-CADF-4D83-A9E0-262A70C6B452}"/>
    <cellStyle name="SAPBEXHLevel1 5" xfId="3878" xr:uid="{9A379F00-27D5-482E-8D6D-BF58D9642AFB}"/>
    <cellStyle name="SAPBEXHLevel1 5 2" xfId="6285" xr:uid="{B8253067-029E-46CB-9375-866C12F125A7}"/>
    <cellStyle name="SAPBEXHLevel1 5 2 2" xfId="11727" xr:uid="{B7C50DBF-0233-466B-80FD-452F8FBF8279}"/>
    <cellStyle name="SAPBEXHLevel1 5 2 3" xfId="13801" xr:uid="{888A0704-621C-4AA1-9568-40FB23F0FEA1}"/>
    <cellStyle name="SAPBEXHLevel1 5 3" xfId="6965" xr:uid="{4CD69239-1220-4AA8-A824-D754C5CB4D1F}"/>
    <cellStyle name="SAPBEXHLevel1 5 3 2" xfId="12407" xr:uid="{79A798A3-D813-45C6-BD70-A0A45B4DD3AF}"/>
    <cellStyle name="SAPBEXHLevel1 5 3 3" xfId="14459" xr:uid="{336AD26C-5348-4625-B351-AD3D697C5FC7}"/>
    <cellStyle name="SAPBEXHLevel1 5 4" xfId="9348" xr:uid="{3B5D4A81-8599-4D74-9DE9-CB361426FE13}"/>
    <cellStyle name="SAPBEXHLevel1 5 5" xfId="13062" xr:uid="{EBE8EB2E-9946-40A1-8C69-33C7A806D1A1}"/>
    <cellStyle name="SAPBEXHLevel1 6" xfId="3578" xr:uid="{D34452BA-FAA4-40AB-B335-E6D64427B4B0}"/>
    <cellStyle name="SAPBEXHLevel1 6 2" xfId="5989" xr:uid="{9511BC55-7B68-4BC6-8B77-68BBDC60BBE5}"/>
    <cellStyle name="SAPBEXHLevel1 6 2 2" xfId="11431" xr:uid="{4D9814CF-D166-476F-A0E6-BFF19F709208}"/>
    <cellStyle name="SAPBEXHLevel1 6 2 3" xfId="13515" xr:uid="{EE0A2CA8-9F1D-4829-B3C3-8C6A600EF11B}"/>
    <cellStyle name="SAPBEXHLevel1 6 3" xfId="6672" xr:uid="{EE55146B-F817-467E-B0ED-3F9617A55351}"/>
    <cellStyle name="SAPBEXHLevel1 6 3 2" xfId="12114" xr:uid="{22E9F8DA-6B91-4935-A5A5-C04A690D0114}"/>
    <cellStyle name="SAPBEXHLevel1 6 3 3" xfId="14176" xr:uid="{CE802B3F-CD41-4BF6-8CB2-36CD69E16BC9}"/>
    <cellStyle name="SAPBEXHLevel1 6 4" xfId="9050" xr:uid="{C56D767D-22E1-4C62-BDC5-7BAC4EA777AE}"/>
    <cellStyle name="SAPBEXHLevel1 6 5" xfId="12779" xr:uid="{EE6BDC53-EC00-4973-8BAE-B3D31221702C}"/>
    <cellStyle name="SAPBEXHLevel1 7" xfId="4146" xr:uid="{A8D4433B-335B-413B-8965-C8416A92367F}"/>
    <cellStyle name="SAPBEXHLevel1 7 2" xfId="9596" xr:uid="{1A56BC35-E9A4-47F7-AE77-200A847967D6}"/>
    <cellStyle name="SAPBEXHLevel1 7 3" xfId="13225" xr:uid="{CB3EE9A7-F4B0-4F95-96D7-2E1CBCCFAA3D}"/>
    <cellStyle name="SAPBEXHLevel1 8" xfId="5695" xr:uid="{5C9BDC14-0CFF-40EE-A7A3-85A5DCF72DE8}"/>
    <cellStyle name="SAPBEXHLevel1 8 2" xfId="11137" xr:uid="{07A64D91-E3A5-44C0-9500-ED744D6E33E2}"/>
    <cellStyle name="SAPBEXHLevel1 8 3" xfId="13343" xr:uid="{87465ED0-C882-449A-9C88-C027819FA3DC}"/>
    <cellStyle name="SAPBEXHLevel1 9" xfId="7214" xr:uid="{D302A3AA-085E-4894-A47D-53230BFE1E16}"/>
    <cellStyle name="SAPBEXHLevel1_2014 CLEAResult Invoices" xfId="3239" xr:uid="{03DC67AA-0D14-4C79-9452-5E9978AFD7B6}"/>
    <cellStyle name="SAPBEXHLevel1X" xfId="271" xr:uid="{56FADB55-1B19-4881-BEEC-CA35F9213BCC}"/>
    <cellStyle name="SAPBEXHLevel1X 10" xfId="8718" xr:uid="{52207BE4-C2CD-484D-B2E3-1C70FBCA8546}"/>
    <cellStyle name="SAPBEXHLevel1X 2" xfId="3241" xr:uid="{3771B545-78A9-49FE-B59A-AA3E2A955F63}"/>
    <cellStyle name="SAPBEXHLevel1X 2 10" xfId="8834" xr:uid="{27BB5397-3084-4828-8D70-C453181900A4}"/>
    <cellStyle name="SAPBEXHLevel1X 2 11" xfId="12689" xr:uid="{E789566B-6D20-4612-95E1-82FF19B84F39}"/>
    <cellStyle name="SAPBEXHLevel1X 2 2" xfId="3242" xr:uid="{3E8F1143-BB76-41BB-8508-5F4C65BCB73A}"/>
    <cellStyle name="SAPBEXHLevel1X 2 2 2" xfId="3695" xr:uid="{7D84EAD7-4589-4F0A-AD98-A4AE38B8C03D}"/>
    <cellStyle name="SAPBEXHLevel1X 2 2 2 2" xfId="6103" xr:uid="{D2840165-AD6C-4DF9-A5A5-953D4FED5723}"/>
    <cellStyle name="SAPBEXHLevel1X 2 2 2 2 2" xfId="11545" xr:uid="{87A9638B-1154-48E2-934A-9EF0FBD17CEF}"/>
    <cellStyle name="SAPBEXHLevel1X 2 2 2 2 3" xfId="13622" xr:uid="{CAAD3DBD-8A9D-48EF-945D-E007CE99FCDE}"/>
    <cellStyle name="SAPBEXHLevel1X 2 2 2 3" xfId="6787" xr:uid="{23E39C23-40E6-4908-A4F4-F4D74074562E}"/>
    <cellStyle name="SAPBEXHLevel1X 2 2 2 3 2" xfId="12229" xr:uid="{A09FF2BF-5D2F-4F81-A439-9F93DA9A7D64}"/>
    <cellStyle name="SAPBEXHLevel1X 2 2 2 3 3" xfId="14284" xr:uid="{E6BF2E09-1AAB-4E36-AB01-1A84E5CCD8CC}"/>
    <cellStyle name="SAPBEXHLevel1X 2 2 2 4" xfId="9166" xr:uid="{A793A7FE-A7E8-4F01-976F-2814CD4D9581}"/>
    <cellStyle name="SAPBEXHLevel1X 2 2 2 5" xfId="12887" xr:uid="{96FB6D16-08B6-4B99-A734-273000F24ED3}"/>
    <cellStyle name="SAPBEXHLevel1X 2 2 3" xfId="5779" xr:uid="{0992A68B-0D7B-47D4-B3D8-4A7D941BB056}"/>
    <cellStyle name="SAPBEXHLevel1X 2 2 3 2" xfId="11221" xr:uid="{A4FA8D44-EF44-4479-A5BA-684C63D4D475}"/>
    <cellStyle name="SAPBEXHLevel1X 2 2 3 3" xfId="13425" xr:uid="{1FD1C7C4-1CC3-45AE-A181-6DE6A08018D5}"/>
    <cellStyle name="SAPBEXHLevel1X 2 2 4" xfId="6577" xr:uid="{F63C4351-9C03-49A7-9C4D-5FF3817573CA}"/>
    <cellStyle name="SAPBEXHLevel1X 2 2 4 2" xfId="12019" xr:uid="{49FA192A-5A80-4848-ABAD-A3C84CA6A917}"/>
    <cellStyle name="SAPBEXHLevel1X 2 2 4 3" xfId="14087" xr:uid="{D825A84A-7B1A-4BBE-93D7-191E83A48F85}"/>
    <cellStyle name="SAPBEXHLevel1X 2 2 5" xfId="8835" xr:uid="{F53A4B3E-DFB9-4ACB-9613-7BA788F550AB}"/>
    <cellStyle name="SAPBEXHLevel1X 2 2 6" xfId="12690" xr:uid="{DB90BEB5-4466-4F3F-AF1D-443263786588}"/>
    <cellStyle name="SAPBEXHLevel1X 2 3" xfId="3761" xr:uid="{CD5E3EEE-639B-465F-9F90-F2C0C2AA3CA1}"/>
    <cellStyle name="SAPBEXHLevel1X 2 3 2" xfId="6169" xr:uid="{A719868A-56D6-4C67-939E-B28563FD57C6}"/>
    <cellStyle name="SAPBEXHLevel1X 2 3 2 2" xfId="11611" xr:uid="{787AC620-9A2B-40D1-871D-BC3A2E83A4EF}"/>
    <cellStyle name="SAPBEXHLevel1X 2 3 2 3" xfId="13686" xr:uid="{9767F93D-C2A2-49D4-AC31-4CE7846260CA}"/>
    <cellStyle name="SAPBEXHLevel1X 2 3 3" xfId="6851" xr:uid="{1B019692-24B1-4DBA-8819-C3185E05A591}"/>
    <cellStyle name="SAPBEXHLevel1X 2 3 3 2" xfId="12293" xr:uid="{EC3E7D01-5C4D-4164-9B16-508E92A3E228}"/>
    <cellStyle name="SAPBEXHLevel1X 2 3 3 3" xfId="14346" xr:uid="{3663A192-6110-48D3-B9C5-6B7085316FF6}"/>
    <cellStyle name="SAPBEXHLevel1X 2 3 4" xfId="9232" xr:uid="{54212C17-50EF-4B92-8DAC-BE1D8B18B241}"/>
    <cellStyle name="SAPBEXHLevel1X 2 3 5" xfId="12949" xr:uid="{BE58B692-8F16-4A5B-9C08-E090DC9FBD0B}"/>
    <cellStyle name="SAPBEXHLevel1X 2 4" xfId="3827" xr:uid="{DE65CB44-D281-4C81-B7E0-7B762D4ADDF4}"/>
    <cellStyle name="SAPBEXHLevel1X 2 4 2" xfId="6234" xr:uid="{E1E3AF2D-0E13-46EB-8568-8CEA012BD477}"/>
    <cellStyle name="SAPBEXHLevel1X 2 4 2 2" xfId="11676" xr:uid="{94FA0169-B447-4F7E-934E-C260F933E8BB}"/>
    <cellStyle name="SAPBEXHLevel1X 2 4 2 3" xfId="13750" xr:uid="{49013A12-1B0C-4118-9475-DE4A73DFAC10}"/>
    <cellStyle name="SAPBEXHLevel1X 2 4 3" xfId="6914" xr:uid="{2CCA840D-F7DF-4CCB-BF08-BCE4A95CB22C}"/>
    <cellStyle name="SAPBEXHLevel1X 2 4 3 2" xfId="12356" xr:uid="{A38BAF03-37A4-45B5-A8E8-21F92E737EA2}"/>
    <cellStyle name="SAPBEXHLevel1X 2 4 3 3" xfId="14408" xr:uid="{84609DD8-5EA0-47EC-9A75-A3F5A197FD31}"/>
    <cellStyle name="SAPBEXHLevel1X 2 4 4" xfId="9297" xr:uid="{4F0E05E7-70F2-4067-BF9D-17E109747B3C}"/>
    <cellStyle name="SAPBEXHLevel1X 2 4 5" xfId="13011" xr:uid="{62FE5FA5-E16D-4B92-B235-43220ECB43A7}"/>
    <cellStyle name="SAPBEXHLevel1X 2 5" xfId="3912" xr:uid="{992B3A92-BB97-4369-8667-2C0693BE9702}"/>
    <cellStyle name="SAPBEXHLevel1X 2 5 2" xfId="6317" xr:uid="{3E86D1F6-15E1-44DD-BC2C-D68C28DA0D3C}"/>
    <cellStyle name="SAPBEXHLevel1X 2 5 2 2" xfId="11759" xr:uid="{1005D25D-E66A-45FA-ABE6-E834F238CE45}"/>
    <cellStyle name="SAPBEXHLevel1X 2 5 2 3" xfId="13831" xr:uid="{0659A228-D40C-4E42-B9FA-54D84E6CB4B2}"/>
    <cellStyle name="SAPBEXHLevel1X 2 5 3" xfId="6995" xr:uid="{2604B035-EAC8-4A9A-AD74-15597F5A5B03}"/>
    <cellStyle name="SAPBEXHLevel1X 2 5 3 2" xfId="12437" xr:uid="{2B500EB4-3634-47E8-9C0D-C0A270BB0345}"/>
    <cellStyle name="SAPBEXHLevel1X 2 5 3 3" xfId="14487" xr:uid="{B994D3B1-DD15-4BB9-9440-153E13244FB6}"/>
    <cellStyle name="SAPBEXHLevel1X 2 5 4" xfId="9380" xr:uid="{C155BCB6-125F-44F3-A16C-8D28F50FB2ED}"/>
    <cellStyle name="SAPBEXHLevel1X 2 5 5" xfId="13090" xr:uid="{814B8C92-9F3C-439E-A436-B6521E08E579}"/>
    <cellStyle name="SAPBEXHLevel1X 2 6" xfId="3979" xr:uid="{7BEA1F02-E44F-4C44-9914-E7FCC0612447}"/>
    <cellStyle name="SAPBEXHLevel1X 2 6 2" xfId="6382" xr:uid="{555B7454-3172-4F6E-9F44-28B0E7646F2C}"/>
    <cellStyle name="SAPBEXHLevel1X 2 6 2 2" xfId="11824" xr:uid="{431D2301-2A4F-4BA6-B341-721FC9883A93}"/>
    <cellStyle name="SAPBEXHLevel1X 2 6 2 3" xfId="13895" xr:uid="{0137CBC8-97E5-434B-BDC5-566898DCE2B2}"/>
    <cellStyle name="SAPBEXHLevel1X 2 6 3" xfId="7058" xr:uid="{BCA73459-E521-4D9D-AD95-55C3D547A640}"/>
    <cellStyle name="SAPBEXHLevel1X 2 6 3 2" xfId="12500" xr:uid="{2BCFAA1B-D97A-4F4E-AAB5-BDF3E42F077F}"/>
    <cellStyle name="SAPBEXHLevel1X 2 6 3 3" xfId="14549" xr:uid="{E9C22382-2EC4-43AC-AE24-F558C47D969B}"/>
    <cellStyle name="SAPBEXHLevel1X 2 6 4" xfId="9445" xr:uid="{69F748B6-207B-4776-9677-F2B75FAAB3AC}"/>
    <cellStyle name="SAPBEXHLevel1X 2 6 5" xfId="13152" xr:uid="{BE976E95-0719-4FC3-8464-87FE5D052A94}"/>
    <cellStyle name="SAPBEXHLevel1X 2 7" xfId="3613" xr:uid="{CC3AEF56-7CF7-4DA5-858C-3E8BFE9CC01F}"/>
    <cellStyle name="SAPBEXHLevel1X 2 7 2" xfId="6022" xr:uid="{5326C829-7472-41E0-8BCE-6542D6137886}"/>
    <cellStyle name="SAPBEXHLevel1X 2 7 2 2" xfId="11464" xr:uid="{C960C23E-219D-4205-8D23-AE8820364DC1}"/>
    <cellStyle name="SAPBEXHLevel1X 2 7 2 3" xfId="13546" xr:uid="{BE2EA2EA-3ED6-4F8A-9C3F-8D63958A00C3}"/>
    <cellStyle name="SAPBEXHLevel1X 2 7 3" xfId="6706" xr:uid="{0623B71D-0C47-4297-B6C2-A22CD775A83C}"/>
    <cellStyle name="SAPBEXHLevel1X 2 7 3 2" xfId="12148" xr:uid="{E47F6593-F05F-4CA0-B1A0-B7ADF2640746}"/>
    <cellStyle name="SAPBEXHLevel1X 2 7 3 3" xfId="14208" xr:uid="{82F7F1BD-DB3F-43F0-886C-CA95ECB245AA}"/>
    <cellStyle name="SAPBEXHLevel1X 2 7 4" xfId="9085" xr:uid="{8BF3741B-8C0D-48E7-9F39-8D31B65E9C11}"/>
    <cellStyle name="SAPBEXHLevel1X 2 7 5" xfId="12811" xr:uid="{F3AF21B5-B349-4058-9E7D-91F1FCE7FFAE}"/>
    <cellStyle name="SAPBEXHLevel1X 2 8" xfId="5778" xr:uid="{733FF9A0-58BF-4635-8EBA-8CB0EEC7E3D6}"/>
    <cellStyle name="SAPBEXHLevel1X 2 8 2" xfId="11220" xr:uid="{10169DE4-1527-4F6B-9A09-3C6E10B07006}"/>
    <cellStyle name="SAPBEXHLevel1X 2 8 3" xfId="13424" xr:uid="{7C3E140D-E96A-4066-BFFA-61403EE2BAF3}"/>
    <cellStyle name="SAPBEXHLevel1X 2 9" xfId="6576" xr:uid="{9BD84B21-3699-4CAE-A054-A6E3EB25AFFF}"/>
    <cellStyle name="SAPBEXHLevel1X 2 9 2" xfId="12018" xr:uid="{3F7249FF-1D51-4F73-A4A7-5050AD1567C9}"/>
    <cellStyle name="SAPBEXHLevel1X 2 9 3" xfId="14086" xr:uid="{CA6BBE58-E73B-496A-BC1E-85C8911094EE}"/>
    <cellStyle name="SAPBEXHLevel1X 2_2014 CLEAResult Invoices" xfId="3243" xr:uid="{917298EF-DB4A-42FF-BE4C-9754103012E4}"/>
    <cellStyle name="SAPBEXHLevel1X 3" xfId="3244" xr:uid="{28B6C935-4B34-4082-8996-2D8428B92ED9}"/>
    <cellStyle name="SAPBEXHLevel1X 3 10" xfId="12691" xr:uid="{98242AD4-E198-431D-A166-00642A272F3F}"/>
    <cellStyle name="SAPBEXHLevel1X 3 2" xfId="3245" xr:uid="{FD0762D4-C377-4E02-8C89-C4DEAED7E0DB}"/>
    <cellStyle name="SAPBEXHLevel1X 3 2 2" xfId="3246" xr:uid="{E168C25F-EEC4-4F01-A445-D79BB067E7AC}"/>
    <cellStyle name="SAPBEXHLevel1X 3 2 2 2" xfId="5782" xr:uid="{1A979886-0404-408C-BB36-D89DF8E663E6}"/>
    <cellStyle name="SAPBEXHLevel1X 3 2 2 2 2" xfId="11224" xr:uid="{0C099F35-5EBF-49D4-987C-D0B60FF2693A}"/>
    <cellStyle name="SAPBEXHLevel1X 3 2 2 2 3" xfId="13428" xr:uid="{2D34CE9D-1D4B-4325-A93F-EF1467868965}"/>
    <cellStyle name="SAPBEXHLevel1X 3 2 2 3" xfId="6580" xr:uid="{CFDDD54D-467D-4324-8D57-77C3FAFDB37B}"/>
    <cellStyle name="SAPBEXHLevel1X 3 2 2 3 2" xfId="12022" xr:uid="{01E5C223-3E5B-4D3E-88A9-D076F4933DB0}"/>
    <cellStyle name="SAPBEXHLevel1X 3 2 2 3 3" xfId="14090" xr:uid="{843DF8DD-90E8-4DDD-8146-BD98BEB21C9B}"/>
    <cellStyle name="SAPBEXHLevel1X 3 2 2 4" xfId="8838" xr:uid="{AB4AE18C-1138-4659-9109-DE07F5DEBFDC}"/>
    <cellStyle name="SAPBEXHLevel1X 3 2 2 5" xfId="12693" xr:uid="{C8AF8419-A9B8-4A2C-957F-D9A026636D4B}"/>
    <cellStyle name="SAPBEXHLevel1X 3 2 3" xfId="3796" xr:uid="{B5ACE775-4BF3-4B85-960F-D6C9499ABA33}"/>
    <cellStyle name="SAPBEXHLevel1X 3 2 3 2" xfId="6204" xr:uid="{C15E11DB-B805-4306-8E61-A51912CA6535}"/>
    <cellStyle name="SAPBEXHLevel1X 3 2 3 2 2" xfId="11646" xr:uid="{FEE4C4CD-F55D-4BDF-B52D-16D08B71F3B8}"/>
    <cellStyle name="SAPBEXHLevel1X 3 2 3 2 3" xfId="13721" xr:uid="{FF8D9ACE-9F05-401E-9394-C3608EF950AF}"/>
    <cellStyle name="SAPBEXHLevel1X 3 2 3 3" xfId="6886" xr:uid="{BA8E2A67-E966-4882-B5CE-23F60D6ED48F}"/>
    <cellStyle name="SAPBEXHLevel1X 3 2 3 3 2" xfId="12328" xr:uid="{CC40F1BC-0C80-46A5-ADE2-689EA70DC8EA}"/>
    <cellStyle name="SAPBEXHLevel1X 3 2 3 3 3" xfId="14381" xr:uid="{F4728016-CBF6-4797-A110-33342CB77404}"/>
    <cellStyle name="SAPBEXHLevel1X 3 2 3 4" xfId="9267" xr:uid="{064BD0AB-DDC5-4F03-A5CA-6A2C16406900}"/>
    <cellStyle name="SAPBEXHLevel1X 3 2 3 5" xfId="12984" xr:uid="{FE21F295-87B4-4F53-9A2C-51055B4A0EE4}"/>
    <cellStyle name="SAPBEXHLevel1X 3 2 4" xfId="5781" xr:uid="{95E1DDB9-3008-42B8-B006-3251670F8183}"/>
    <cellStyle name="SAPBEXHLevel1X 3 2 4 2" xfId="11223" xr:uid="{CF756AE2-8325-4336-966D-4FC8E5EB006B}"/>
    <cellStyle name="SAPBEXHLevel1X 3 2 4 3" xfId="13427" xr:uid="{F446581D-00BB-47D4-80C6-0E71D7110684}"/>
    <cellStyle name="SAPBEXHLevel1X 3 2 5" xfId="6579" xr:uid="{551771BE-A6DA-429E-A4A2-DD44F66A9B6F}"/>
    <cellStyle name="SAPBEXHLevel1X 3 2 5 2" xfId="12021" xr:uid="{533F4367-F75C-4C8E-8FA6-B5EF512E06D3}"/>
    <cellStyle name="SAPBEXHLevel1X 3 2 5 3" xfId="14089" xr:uid="{52F65691-7C43-4788-9D52-6E09FD222FC5}"/>
    <cellStyle name="SAPBEXHLevel1X 3 2 6" xfId="8837" xr:uid="{EC386015-59DE-4853-A35B-8F9DCC1D2513}"/>
    <cellStyle name="SAPBEXHLevel1X 3 2 7" xfId="12692" xr:uid="{AC5AC5C1-3EBE-4EC4-944B-929B1370908B}"/>
    <cellStyle name="SAPBEXHLevel1X 3 3" xfId="3247" xr:uid="{E68DDCA8-D0D5-4BB3-8062-296E4FCC199C}"/>
    <cellStyle name="SAPBEXHLevel1X 3 3 2" xfId="3862" xr:uid="{422B3F01-9F71-42B6-A9AB-BD97AE5CE675}"/>
    <cellStyle name="SAPBEXHLevel1X 3 3 2 2" xfId="6269" xr:uid="{F3275C31-FFE4-4FE7-A321-657DC99FA0C2}"/>
    <cellStyle name="SAPBEXHLevel1X 3 3 2 2 2" xfId="11711" xr:uid="{B11E7E1E-D234-4678-8F9C-1AF02E93A3D9}"/>
    <cellStyle name="SAPBEXHLevel1X 3 3 2 2 3" xfId="13785" xr:uid="{9166D3D3-21DE-47AB-99AF-FECD6D7305B3}"/>
    <cellStyle name="SAPBEXHLevel1X 3 3 2 3" xfId="6949" xr:uid="{A3619D8B-D9E4-4260-849A-AA55BB8A176B}"/>
    <cellStyle name="SAPBEXHLevel1X 3 3 2 3 2" xfId="12391" xr:uid="{EB15FB1F-AFA4-4705-A6B5-5DB32720C3FC}"/>
    <cellStyle name="SAPBEXHLevel1X 3 3 2 3 3" xfId="14443" xr:uid="{56F9F498-C634-49CE-8F0D-F13B3CE90BB9}"/>
    <cellStyle name="SAPBEXHLevel1X 3 3 2 4" xfId="9332" xr:uid="{BD051FF5-77DD-408C-BA76-3AB288CB4BEA}"/>
    <cellStyle name="SAPBEXHLevel1X 3 3 2 5" xfId="13046" xr:uid="{BE347563-BFA2-4B34-9902-DC496C55AFB0}"/>
    <cellStyle name="SAPBEXHLevel1X 3 3 3" xfId="5783" xr:uid="{05B225DF-6180-412C-A297-6169B2051A02}"/>
    <cellStyle name="SAPBEXHLevel1X 3 3 3 2" xfId="11225" xr:uid="{75B3F79F-0C6E-4FD5-8155-AAFA0D7915A9}"/>
    <cellStyle name="SAPBEXHLevel1X 3 3 3 3" xfId="13429" xr:uid="{12E4FCD3-D078-4120-9CA4-2453E399BF56}"/>
    <cellStyle name="SAPBEXHLevel1X 3 3 4" xfId="6581" xr:uid="{111017E7-6C02-49D6-868D-7323FB6AF418}"/>
    <cellStyle name="SAPBEXHLevel1X 3 3 4 2" xfId="12023" xr:uid="{8C7E5FC7-8137-4177-A455-F407BAC58AC8}"/>
    <cellStyle name="SAPBEXHLevel1X 3 3 4 3" xfId="14091" xr:uid="{221C168C-95C9-471A-BE66-55C296B2DE2D}"/>
    <cellStyle name="SAPBEXHLevel1X 3 3 5" xfId="8839" xr:uid="{983ED62C-C3DC-4B2D-A2AD-D727FBFC375F}"/>
    <cellStyle name="SAPBEXHLevel1X 3 3 6" xfId="12694" xr:uid="{DECA2704-E4DE-42CA-A265-8FCCD97AA12F}"/>
    <cellStyle name="SAPBEXHLevel1X 3 4" xfId="3947" xr:uid="{6388D13B-1CFF-4DA8-B2CC-040FB7C5C8D8}"/>
    <cellStyle name="SAPBEXHLevel1X 3 4 2" xfId="6352" xr:uid="{9ED971FB-2DCB-4D6C-BD0B-EBCF27B6008F}"/>
    <cellStyle name="SAPBEXHLevel1X 3 4 2 2" xfId="11794" xr:uid="{EE884CEE-D802-449F-AAE4-3429BE93A600}"/>
    <cellStyle name="SAPBEXHLevel1X 3 4 2 3" xfId="13866" xr:uid="{79C360EC-B3CE-4077-A23B-A7F14FFF9D16}"/>
    <cellStyle name="SAPBEXHLevel1X 3 4 3" xfId="7030" xr:uid="{885F24C0-2D3D-4EA3-961F-A95DC02D495B}"/>
    <cellStyle name="SAPBEXHLevel1X 3 4 3 2" xfId="12472" xr:uid="{5A84BD6A-4D24-483B-9947-5D9210157114}"/>
    <cellStyle name="SAPBEXHLevel1X 3 4 3 3" xfId="14522" xr:uid="{CA38DEF6-2FB8-4F61-99F5-ACA57B3B0705}"/>
    <cellStyle name="SAPBEXHLevel1X 3 4 4" xfId="9415" xr:uid="{D0898E73-1CF5-4347-A9EC-F6429859494C}"/>
    <cellStyle name="SAPBEXHLevel1X 3 4 5" xfId="13125" xr:uid="{271B7153-91A8-45AA-9F00-67D771D7D8C0}"/>
    <cellStyle name="SAPBEXHLevel1X 3 5" xfId="4014" xr:uid="{524E90A1-FA48-45E6-B821-81C4B3ABA040}"/>
    <cellStyle name="SAPBEXHLevel1X 3 5 2" xfId="6417" xr:uid="{F84527D4-D553-44C8-8C69-4C620D8241C7}"/>
    <cellStyle name="SAPBEXHLevel1X 3 5 2 2" xfId="11859" xr:uid="{37B112E7-9555-423F-ACE8-D857893A36E8}"/>
    <cellStyle name="SAPBEXHLevel1X 3 5 2 3" xfId="13930" xr:uid="{BCEEED6E-449D-41BF-BC2A-8949CC077D6D}"/>
    <cellStyle name="SAPBEXHLevel1X 3 5 3" xfId="7093" xr:uid="{E37B4EE7-8AFF-443A-BDDF-8C5D3A1E37CA}"/>
    <cellStyle name="SAPBEXHLevel1X 3 5 3 2" xfId="12535" xr:uid="{CF2E7A60-9849-4DF5-B5BA-4EF87D7BDC58}"/>
    <cellStyle name="SAPBEXHLevel1X 3 5 3 3" xfId="14584" xr:uid="{4C8AC685-84BC-4052-B0EC-FA56DBCD7522}"/>
    <cellStyle name="SAPBEXHLevel1X 3 5 4" xfId="9480" xr:uid="{80C8915F-832C-4F45-B4AB-1974611B9F9D}"/>
    <cellStyle name="SAPBEXHLevel1X 3 5 5" xfId="13187" xr:uid="{41E06345-3157-4959-B247-576EC45F93A9}"/>
    <cellStyle name="SAPBEXHLevel1X 3 6" xfId="3730" xr:uid="{83F35A86-F614-4792-ACB8-F9BE278FD5DC}"/>
    <cellStyle name="SAPBEXHLevel1X 3 6 2" xfId="6138" xr:uid="{6B91D5AC-0A06-454B-AB0A-BF47E723CCE4}"/>
    <cellStyle name="SAPBEXHLevel1X 3 6 2 2" xfId="11580" xr:uid="{232EF696-4EE9-4A9C-A365-EFBC14A7491C}"/>
    <cellStyle name="SAPBEXHLevel1X 3 6 2 3" xfId="13657" xr:uid="{C2AC5DFE-05C3-4E51-96A7-2B27AF747123}"/>
    <cellStyle name="SAPBEXHLevel1X 3 6 3" xfId="6822" xr:uid="{3DEA0C90-343A-4683-88B2-D739C804B88C}"/>
    <cellStyle name="SAPBEXHLevel1X 3 6 3 2" xfId="12264" xr:uid="{DD1871D3-8CCC-416B-8C66-2FB41F6D6781}"/>
    <cellStyle name="SAPBEXHLevel1X 3 6 3 3" xfId="14319" xr:uid="{CB1EEDDD-209C-47FC-85B9-FC6527E06F86}"/>
    <cellStyle name="SAPBEXHLevel1X 3 6 4" xfId="9201" xr:uid="{0533A23E-9571-443D-84FC-39FA7487D6E7}"/>
    <cellStyle name="SAPBEXHLevel1X 3 6 5" xfId="12922" xr:uid="{AA99C6CF-9797-4D1E-B212-041297F7A409}"/>
    <cellStyle name="SAPBEXHLevel1X 3 7" xfId="5780" xr:uid="{4149DB16-2A9B-4A1A-9315-AE03871A1055}"/>
    <cellStyle name="SAPBEXHLevel1X 3 7 2" xfId="11222" xr:uid="{8997CD25-D872-4CBC-B5CC-B4255B436102}"/>
    <cellStyle name="SAPBEXHLevel1X 3 7 3" xfId="13426" xr:uid="{67E2067F-8985-4587-8D79-22C9A7F7DBB1}"/>
    <cellStyle name="SAPBEXHLevel1X 3 8" xfId="6578" xr:uid="{FECC013A-0203-45A6-A308-56ED72D57E6F}"/>
    <cellStyle name="SAPBEXHLevel1X 3 8 2" xfId="12020" xr:uid="{C6EF1341-D3A3-4E0F-B249-EF4227BB57F8}"/>
    <cellStyle name="SAPBEXHLevel1X 3 8 3" xfId="14088" xr:uid="{FD80D379-BAD9-4A33-BF6F-9E194BF4044B}"/>
    <cellStyle name="SAPBEXHLevel1X 3 9" xfId="8836" xr:uid="{8851E7AA-CA6B-459E-B134-7D7001A2BB00}"/>
    <cellStyle name="SAPBEXHLevel1X 3_2014 CLEAResult Invoices" xfId="3248" xr:uid="{72C77112-3F42-4626-B0A7-BD4E708CFCAF}"/>
    <cellStyle name="SAPBEXHLevel1X 4" xfId="3249" xr:uid="{47927CC4-EBE4-4DAA-BB61-5B9544884016}"/>
    <cellStyle name="SAPBEXHLevel1X 4 2" xfId="3678" xr:uid="{27B11296-90E9-4C53-B710-DE4D08DFC97B}"/>
    <cellStyle name="SAPBEXHLevel1X 4 2 2" xfId="6086" xr:uid="{8F5AD1CC-71FF-4598-A144-A50E7D9C69D4}"/>
    <cellStyle name="SAPBEXHLevel1X 4 2 2 2" xfId="11528" xr:uid="{446F328F-D6EA-459D-A611-AD61376C2C3F}"/>
    <cellStyle name="SAPBEXHLevel1X 4 2 2 3" xfId="13607" xr:uid="{FE0C027F-CA26-40B4-8F83-48125ED264EE}"/>
    <cellStyle name="SAPBEXHLevel1X 4 2 3" xfId="6770" xr:uid="{0CC1A3E3-2A3C-44FA-AF74-6E107464B951}"/>
    <cellStyle name="SAPBEXHLevel1X 4 2 3 2" xfId="12212" xr:uid="{C894EFE5-8BC0-4BB9-8FC1-F30CC99CBD4B}"/>
    <cellStyle name="SAPBEXHLevel1X 4 2 3 3" xfId="14269" xr:uid="{FE787CA7-B8D9-40F4-9978-9CCACED702B9}"/>
    <cellStyle name="SAPBEXHLevel1X 4 2 4" xfId="9149" xr:uid="{07A30AFF-6038-4B79-BBF3-BB0F9BA21921}"/>
    <cellStyle name="SAPBEXHLevel1X 4 2 5" xfId="12872" xr:uid="{3D2994A1-01CC-4D4A-9965-2DC27D4BC976}"/>
    <cellStyle name="SAPBEXHLevel1X 4 3" xfId="5784" xr:uid="{67580A2A-FAD7-4CF1-BA46-208428C1759E}"/>
    <cellStyle name="SAPBEXHLevel1X 4 3 2" xfId="11226" xr:uid="{A2F58BC9-37EF-4A98-B974-2FDD80995C5C}"/>
    <cellStyle name="SAPBEXHLevel1X 4 3 3" xfId="13430" xr:uid="{33654686-60E6-4C87-99E0-C8EFCAD44016}"/>
    <cellStyle name="SAPBEXHLevel1X 4 4" xfId="6582" xr:uid="{7E74FDB5-38FE-4850-9441-0570543C003A}"/>
    <cellStyle name="SAPBEXHLevel1X 4 4 2" xfId="12024" xr:uid="{3918A7B2-08FC-4AA4-821C-C81A21A8365D}"/>
    <cellStyle name="SAPBEXHLevel1X 4 4 3" xfId="14092" xr:uid="{FBDB0729-FC8D-4787-91AC-4D2456E09B41}"/>
    <cellStyle name="SAPBEXHLevel1X 4 5" xfId="8840" xr:uid="{B2B1972C-8173-4D15-9700-BAC05A0FF9D1}"/>
    <cellStyle name="SAPBEXHLevel1X 4 6" xfId="12695" xr:uid="{740BDFEB-E903-4CE3-B76D-9EBE424E85DA}"/>
    <cellStyle name="SAPBEXHLevel1X 5" xfId="3240" xr:uid="{7ACE35E8-5B27-45AD-B4F3-688AC5260BA5}"/>
    <cellStyle name="SAPBEXHLevel1X 5 2" xfId="3879" xr:uid="{14010A8B-C323-425C-B120-61FD449DD5A7}"/>
    <cellStyle name="SAPBEXHLevel1X 5 2 2" xfId="6286" xr:uid="{6F417CB5-A29E-44B7-90B4-C907B34B6C0B}"/>
    <cellStyle name="SAPBEXHLevel1X 5 2 2 2" xfId="11728" xr:uid="{4AD62C03-317F-457C-9B4C-C1438A3857F0}"/>
    <cellStyle name="SAPBEXHLevel1X 5 2 2 3" xfId="13802" xr:uid="{601F5CC7-E6E3-4937-9903-ADE28EF42D11}"/>
    <cellStyle name="SAPBEXHLevel1X 5 2 3" xfId="6966" xr:uid="{4B74A9B9-3891-47BA-A1F5-06E28E7FDDFE}"/>
    <cellStyle name="SAPBEXHLevel1X 5 2 3 2" xfId="12408" xr:uid="{CF14F6A0-3969-4408-8B57-087C1A2FC84A}"/>
    <cellStyle name="SAPBEXHLevel1X 5 2 3 3" xfId="14460" xr:uid="{13C6EBA1-213A-494D-9E87-BA5C5449EFCF}"/>
    <cellStyle name="SAPBEXHLevel1X 5 2 4" xfId="9349" xr:uid="{A1A254AA-EC0A-4F6F-AC0F-1C0BAF22CA07}"/>
    <cellStyle name="SAPBEXHLevel1X 5 2 5" xfId="13063" xr:uid="{E192FB15-A836-4E17-A5EF-5B61FE2E5B04}"/>
    <cellStyle name="SAPBEXHLevel1X 5 3" xfId="5777" xr:uid="{BA20E349-E943-4FA5-8898-2A8F99FECB3A}"/>
    <cellStyle name="SAPBEXHLevel1X 5 3 2" xfId="11219" xr:uid="{92BE753E-6D1C-4607-B1BD-E496814F1871}"/>
    <cellStyle name="SAPBEXHLevel1X 5 3 3" xfId="13423" xr:uid="{65914F9E-5212-42E9-91D4-47AB0AAFF2A6}"/>
    <cellStyle name="SAPBEXHLevel1X 5 4" xfId="6575" xr:uid="{DFD951D7-D628-424B-99FE-0E44E450A6BF}"/>
    <cellStyle name="SAPBEXHLevel1X 5 4 2" xfId="12017" xr:uid="{5E1CBE49-9494-45F3-9B88-E94C307F91A3}"/>
    <cellStyle name="SAPBEXHLevel1X 5 4 3" xfId="14085" xr:uid="{5ABCDBCB-6A26-49FA-A16A-55FD8CA216F5}"/>
    <cellStyle name="SAPBEXHLevel1X 5 5" xfId="8833" xr:uid="{5FABA9EA-83B5-4886-8774-B06A54798D72}"/>
    <cellStyle name="SAPBEXHLevel1X 5 6" xfId="12688" xr:uid="{3CD5430C-C945-4FDC-B1F5-D54B68E1D541}"/>
    <cellStyle name="SAPBEXHLevel1X 6" xfId="3579" xr:uid="{133699A2-9EB9-45DB-9EE7-701D8A4426DE}"/>
    <cellStyle name="SAPBEXHLevel1X 6 2" xfId="5990" xr:uid="{4191BBC3-663F-4B4F-9242-D134A0B1FB37}"/>
    <cellStyle name="SAPBEXHLevel1X 6 2 2" xfId="11432" xr:uid="{0E3B6705-FD14-4865-A3A1-F469F6280044}"/>
    <cellStyle name="SAPBEXHLevel1X 6 2 3" xfId="13516" xr:uid="{5AC17D08-B3BA-4509-B9D8-CF445EB79DB3}"/>
    <cellStyle name="SAPBEXHLevel1X 6 3" xfId="6673" xr:uid="{7252467A-A7CF-4C56-93B3-7C3CA6B2E6DF}"/>
    <cellStyle name="SAPBEXHLevel1X 6 3 2" xfId="12115" xr:uid="{69325CD6-E2C5-4CB6-B471-59DA9D3D3D6F}"/>
    <cellStyle name="SAPBEXHLevel1X 6 3 3" xfId="14177" xr:uid="{BC01C28B-8152-4842-8AE9-D037474F20A3}"/>
    <cellStyle name="SAPBEXHLevel1X 6 4" xfId="9051" xr:uid="{E2F3C01D-3435-4882-A905-DB3DBB2349CB}"/>
    <cellStyle name="SAPBEXHLevel1X 6 5" xfId="12780" xr:uid="{39014736-378E-471A-BDC6-8F87EE024F34}"/>
    <cellStyle name="SAPBEXHLevel1X 7" xfId="4147" xr:uid="{6E2A56BB-A6BE-4892-AB5A-AA5B60E1C272}"/>
    <cellStyle name="SAPBEXHLevel1X 7 2" xfId="9597" xr:uid="{2186371B-2888-4B6B-BE4D-B913E2089B70}"/>
    <cellStyle name="SAPBEXHLevel1X 7 3" xfId="13226" xr:uid="{F5E28266-25E1-41E7-8837-18D0761CA1EA}"/>
    <cellStyle name="SAPBEXHLevel1X 8" xfId="5694" xr:uid="{AD634D76-EE51-48A2-87BB-4600FF3A9074}"/>
    <cellStyle name="SAPBEXHLevel1X 8 2" xfId="11136" xr:uid="{1961D7B0-DE3D-4907-9104-DBAE19AA38FA}"/>
    <cellStyle name="SAPBEXHLevel1X 8 3" xfId="13342" xr:uid="{4DA8CAAA-F4A9-4426-ACC9-4D447B4D0221}"/>
    <cellStyle name="SAPBEXHLevel1X 9" xfId="7215" xr:uid="{2D33411A-51DB-4960-97FF-5550BD287CC2}"/>
    <cellStyle name="SAPBEXHLevel1X_2014 CLEAResult Invoices" xfId="3250" xr:uid="{37B1D142-8568-4F95-A297-381CD6DAC34C}"/>
    <cellStyle name="SAPBEXHLevel2" xfId="272" xr:uid="{47B0058A-F7F3-47B0-AEB2-477C8AC66BBC}"/>
    <cellStyle name="SAPBEXHLevel2 10" xfId="8717" xr:uid="{F7AB6A7A-F0D8-4EBC-B08A-56D493525C75}"/>
    <cellStyle name="SAPBEXHLevel2 2" xfId="3252" xr:uid="{5048E5ED-FA58-4034-8890-B8B2033272BF}"/>
    <cellStyle name="SAPBEXHLevel2 2 10" xfId="8842" xr:uid="{C9CAC331-8E1A-485F-BB5D-721D682B8873}"/>
    <cellStyle name="SAPBEXHLevel2 2 11" xfId="12697" xr:uid="{F510F7B7-7111-4CE2-BB20-F7BD81DE155A}"/>
    <cellStyle name="SAPBEXHLevel2 2 2" xfId="3694" xr:uid="{8B5EBEFD-F85B-42F8-BCCC-B13C436A8D69}"/>
    <cellStyle name="SAPBEXHLevel2 2 2 2" xfId="6102" xr:uid="{F2D8D963-CABC-47C2-83C9-DB18DD2568FD}"/>
    <cellStyle name="SAPBEXHLevel2 2 2 2 2" xfId="11544" xr:uid="{0C547175-A5EA-4505-B027-AE8D6930D2A9}"/>
    <cellStyle name="SAPBEXHLevel2 2 2 2 3" xfId="13621" xr:uid="{2AA025D4-BE00-409A-A0AC-C9794F6DA980}"/>
    <cellStyle name="SAPBEXHLevel2 2 2 3" xfId="6786" xr:uid="{EA969E8A-0D6D-4D97-8AB2-B18AEA886BA3}"/>
    <cellStyle name="SAPBEXHLevel2 2 2 3 2" xfId="12228" xr:uid="{8273A376-E760-4C4D-95BB-BE0A40A0C23C}"/>
    <cellStyle name="SAPBEXHLevel2 2 2 3 3" xfId="14283" xr:uid="{A2E48E0D-B13C-4136-AB7B-C05129D5B34D}"/>
    <cellStyle name="SAPBEXHLevel2 2 2 4" xfId="9165" xr:uid="{A3F98C96-BCAE-4A5F-83E5-D108E209F916}"/>
    <cellStyle name="SAPBEXHLevel2 2 2 5" xfId="12886" xr:uid="{A3571E58-6EA7-460F-8E86-3606326CDA29}"/>
    <cellStyle name="SAPBEXHLevel2 2 3" xfId="3760" xr:uid="{B7551C56-B38C-490C-BE19-80F7A0D50C76}"/>
    <cellStyle name="SAPBEXHLevel2 2 3 2" xfId="6168" xr:uid="{CB778D3A-63BF-45A4-98C5-A694A1073204}"/>
    <cellStyle name="SAPBEXHLevel2 2 3 2 2" xfId="11610" xr:uid="{FBF74E5D-39A3-40F4-B368-FD4624305EAA}"/>
    <cellStyle name="SAPBEXHLevel2 2 3 2 3" xfId="13685" xr:uid="{C74B0E49-216C-400D-AD80-E762C6F13FF5}"/>
    <cellStyle name="SAPBEXHLevel2 2 3 3" xfId="6850" xr:uid="{0823AC19-DBBD-4BEF-9BE1-FF26C9A9A34F}"/>
    <cellStyle name="SAPBEXHLevel2 2 3 3 2" xfId="12292" xr:uid="{45E973FF-FCD5-49F6-940D-DA079E1A1C56}"/>
    <cellStyle name="SAPBEXHLevel2 2 3 3 3" xfId="14345" xr:uid="{64C06575-9806-409F-A6E8-FB54D6FF7EFE}"/>
    <cellStyle name="SAPBEXHLevel2 2 3 4" xfId="9231" xr:uid="{55913650-7F1D-43E5-A771-8D11F3E88DF6}"/>
    <cellStyle name="SAPBEXHLevel2 2 3 5" xfId="12948" xr:uid="{620E6008-FA8B-42A9-BC9B-15AA57D4B472}"/>
    <cellStyle name="SAPBEXHLevel2 2 4" xfId="3826" xr:uid="{449EC748-0246-4B19-86B5-E3501C4248E6}"/>
    <cellStyle name="SAPBEXHLevel2 2 4 2" xfId="6233" xr:uid="{48A963F0-A385-46A9-A9D0-77FD4C60860E}"/>
    <cellStyle name="SAPBEXHLevel2 2 4 2 2" xfId="11675" xr:uid="{90A022A8-3244-48BF-A18E-4A55C44DC6F7}"/>
    <cellStyle name="SAPBEXHLevel2 2 4 2 3" xfId="13749" xr:uid="{1D4D9FDC-986D-42D1-9D7D-8E132E36102C}"/>
    <cellStyle name="SAPBEXHLevel2 2 4 3" xfId="6913" xr:uid="{00766D67-9CC8-484A-8069-5CC5A309FEAA}"/>
    <cellStyle name="SAPBEXHLevel2 2 4 3 2" xfId="12355" xr:uid="{8440E900-1F2C-4245-80F5-14AE556265C4}"/>
    <cellStyle name="SAPBEXHLevel2 2 4 3 3" xfId="14407" xr:uid="{37531EBB-D3CB-4CBD-8AB6-CDC0CF3B91F5}"/>
    <cellStyle name="SAPBEXHLevel2 2 4 4" xfId="9296" xr:uid="{7B886E4D-DEB7-4EDC-BC48-942F432F35E1}"/>
    <cellStyle name="SAPBEXHLevel2 2 4 5" xfId="13010" xr:uid="{B27AF83A-E820-4928-B2DE-F72D1A3FE5ED}"/>
    <cellStyle name="SAPBEXHLevel2 2 5" xfId="3911" xr:uid="{58358237-C453-413A-8969-1127CC0F5CDD}"/>
    <cellStyle name="SAPBEXHLevel2 2 5 2" xfId="6316" xr:uid="{E4569553-F46D-4041-9962-679AA50EFF18}"/>
    <cellStyle name="SAPBEXHLevel2 2 5 2 2" xfId="11758" xr:uid="{031FFBB3-7B45-4813-BD05-774AD71A34AC}"/>
    <cellStyle name="SAPBEXHLevel2 2 5 2 3" xfId="13830" xr:uid="{78BF6F87-7EB0-4917-8992-DDBD0730D3D1}"/>
    <cellStyle name="SAPBEXHLevel2 2 5 3" xfId="6994" xr:uid="{DD398A09-0E33-4720-9FCB-92B6643948F6}"/>
    <cellStyle name="SAPBEXHLevel2 2 5 3 2" xfId="12436" xr:uid="{D3C11509-7CE2-4F74-A800-E4A7BA08902B}"/>
    <cellStyle name="SAPBEXHLevel2 2 5 3 3" xfId="14486" xr:uid="{6D418A63-86CD-4BA2-A1B0-3F745CE083E4}"/>
    <cellStyle name="SAPBEXHLevel2 2 5 4" xfId="9379" xr:uid="{77F420DC-05C3-44F0-928C-3D407AF4DA9A}"/>
    <cellStyle name="SAPBEXHLevel2 2 5 5" xfId="13089" xr:uid="{EBE2DC80-2C38-491C-8CCE-1DF629C28488}"/>
    <cellStyle name="SAPBEXHLevel2 2 6" xfId="3978" xr:uid="{08F65B9B-8032-43D9-BCE1-3621CF0C3C27}"/>
    <cellStyle name="SAPBEXHLevel2 2 6 2" xfId="6381" xr:uid="{BD72D63C-B293-4320-9FEC-0490E3FA0797}"/>
    <cellStyle name="SAPBEXHLevel2 2 6 2 2" xfId="11823" xr:uid="{ECEB0319-EDD6-42C3-B892-4B42F26FC2E3}"/>
    <cellStyle name="SAPBEXHLevel2 2 6 2 3" xfId="13894" xr:uid="{ACC0DF64-462D-44F4-8B01-C1348D3B03FD}"/>
    <cellStyle name="SAPBEXHLevel2 2 6 3" xfId="7057" xr:uid="{CEBCC32A-8BD4-45A4-A2B8-70B44B0D06C2}"/>
    <cellStyle name="SAPBEXHLevel2 2 6 3 2" xfId="12499" xr:uid="{FD709834-9EC9-4FEB-A08C-E0A47A8C9737}"/>
    <cellStyle name="SAPBEXHLevel2 2 6 3 3" xfId="14548" xr:uid="{751A246C-8264-4CD6-A42A-E5EAB85FF94C}"/>
    <cellStyle name="SAPBEXHLevel2 2 6 4" xfId="9444" xr:uid="{C87EFD49-3577-46C0-A2C1-062E0EE719A1}"/>
    <cellStyle name="SAPBEXHLevel2 2 6 5" xfId="13151" xr:uid="{60B441D9-4660-4890-83A7-E8C95AF5824E}"/>
    <cellStyle name="SAPBEXHLevel2 2 7" xfId="3612" xr:uid="{B2130523-52B9-45BB-9395-8C955FB4D888}"/>
    <cellStyle name="SAPBEXHLevel2 2 7 2" xfId="6021" xr:uid="{DB6A8522-A4E9-4C1B-98AF-874FEADC7CFC}"/>
    <cellStyle name="SAPBEXHLevel2 2 7 2 2" xfId="11463" xr:uid="{2C8BBAD3-05E6-4FE3-B5EB-FE8FC9A46F42}"/>
    <cellStyle name="SAPBEXHLevel2 2 7 2 3" xfId="13545" xr:uid="{02E073D1-25F4-4EFD-A492-150A7B49B31A}"/>
    <cellStyle name="SAPBEXHLevel2 2 7 3" xfId="6705" xr:uid="{58499527-3817-4639-91FD-77016E411A15}"/>
    <cellStyle name="SAPBEXHLevel2 2 7 3 2" xfId="12147" xr:uid="{B5F63789-BA14-4A31-85E3-6DDF5B98B8DE}"/>
    <cellStyle name="SAPBEXHLevel2 2 7 3 3" xfId="14207" xr:uid="{568B0424-A83D-482C-A709-5F20E1B0F94F}"/>
    <cellStyle name="SAPBEXHLevel2 2 7 4" xfId="9084" xr:uid="{AE3536E0-4688-4950-B180-AD1C4850951A}"/>
    <cellStyle name="SAPBEXHLevel2 2 7 5" xfId="12810" xr:uid="{F575B12A-5438-43C0-9E53-6F4382BAF603}"/>
    <cellStyle name="SAPBEXHLevel2 2 8" xfId="5786" xr:uid="{223EE2A6-4F63-4BA9-B669-F141640907A2}"/>
    <cellStyle name="SAPBEXHLevel2 2 8 2" xfId="11228" xr:uid="{71D83DEB-192E-4D7E-AD2B-F88718804C6B}"/>
    <cellStyle name="SAPBEXHLevel2 2 8 3" xfId="13432" xr:uid="{95535882-672C-4F76-9423-79F09C49C34B}"/>
    <cellStyle name="SAPBEXHLevel2 2 9" xfId="6584" xr:uid="{C5C0E9B1-EDB7-45FB-8F07-10B32D49A7DF}"/>
    <cellStyle name="SAPBEXHLevel2 2 9 2" xfId="12026" xr:uid="{05276A01-5F89-4398-A7EE-5E1D78169964}"/>
    <cellStyle name="SAPBEXHLevel2 2 9 3" xfId="14094" xr:uid="{5D497E06-CE5F-453F-8C12-81935CC2E0A4}"/>
    <cellStyle name="SAPBEXHLevel2 3" xfId="3251" xr:uid="{B23464F3-F6EF-41E9-9B8A-D1826DAE7EC5}"/>
    <cellStyle name="SAPBEXHLevel2 3 10" xfId="12696" xr:uid="{0F56B110-589E-4ED2-8223-00636DFD7FF2}"/>
    <cellStyle name="SAPBEXHLevel2 3 2" xfId="3797" xr:uid="{683E6FC8-1C56-4F60-838C-BB94F7650006}"/>
    <cellStyle name="SAPBEXHLevel2 3 2 2" xfId="6205" xr:uid="{D2486ED7-73E4-4AE2-8F85-0187413468BC}"/>
    <cellStyle name="SAPBEXHLevel2 3 2 2 2" xfId="11647" xr:uid="{FFAFAFF3-2435-46C8-8AB5-80C46369E880}"/>
    <cellStyle name="SAPBEXHLevel2 3 2 2 3" xfId="13722" xr:uid="{BDFADE08-BC1D-4D1E-9DE8-29AC5A7ACA97}"/>
    <cellStyle name="SAPBEXHLevel2 3 2 3" xfId="6887" xr:uid="{6B1C47BC-8B06-4308-9DF7-8E79693FFF95}"/>
    <cellStyle name="SAPBEXHLevel2 3 2 3 2" xfId="12329" xr:uid="{4280F9CA-316D-425D-BE18-182AB9B735EE}"/>
    <cellStyle name="SAPBEXHLevel2 3 2 3 3" xfId="14382" xr:uid="{3486D49A-C2DC-4B82-8B40-9EB4474AFE51}"/>
    <cellStyle name="SAPBEXHLevel2 3 2 4" xfId="9268" xr:uid="{83A49E14-48B6-4E3F-A0BE-CEBFD6717C85}"/>
    <cellStyle name="SAPBEXHLevel2 3 2 5" xfId="12985" xr:uid="{C23D215F-FEC1-4281-ACC2-8FF8CC2F66F5}"/>
    <cellStyle name="SAPBEXHLevel2 3 3" xfId="3863" xr:uid="{AF0DDCB9-54C3-498C-92C7-07F315A5411D}"/>
    <cellStyle name="SAPBEXHLevel2 3 3 2" xfId="6270" xr:uid="{65228E8F-0656-489B-8F57-260A2B760D0A}"/>
    <cellStyle name="SAPBEXHLevel2 3 3 2 2" xfId="11712" xr:uid="{F4350E34-81D8-4221-B9C0-D0863094C4FA}"/>
    <cellStyle name="SAPBEXHLevel2 3 3 2 3" xfId="13786" xr:uid="{C45D7601-619B-43EE-93F1-A5F22714C851}"/>
    <cellStyle name="SAPBEXHLevel2 3 3 3" xfId="6950" xr:uid="{DC3C4598-D863-4983-94CE-2BF8EAF2006C}"/>
    <cellStyle name="SAPBEXHLevel2 3 3 3 2" xfId="12392" xr:uid="{411B7C61-BFD5-4161-A0CE-D225422AD9F7}"/>
    <cellStyle name="SAPBEXHLevel2 3 3 3 3" xfId="14444" xr:uid="{BABBF83B-DA8C-423E-B60A-FDBA2E7F91BC}"/>
    <cellStyle name="SAPBEXHLevel2 3 3 4" xfId="9333" xr:uid="{D56B9D76-098A-4739-BEFA-564E749043FC}"/>
    <cellStyle name="SAPBEXHLevel2 3 3 5" xfId="13047" xr:uid="{BA0E53F6-8D7B-45C6-A0DF-BEEDE528207E}"/>
    <cellStyle name="SAPBEXHLevel2 3 4" xfId="3948" xr:uid="{32E030C7-ABDB-4B10-88AF-237B461EB65D}"/>
    <cellStyle name="SAPBEXHLevel2 3 4 2" xfId="6353" xr:uid="{0A71DA84-8260-4250-AEAD-C70D4C1E24E7}"/>
    <cellStyle name="SAPBEXHLevel2 3 4 2 2" xfId="11795" xr:uid="{D690BDA5-40A1-4974-9F3F-05C8485301CE}"/>
    <cellStyle name="SAPBEXHLevel2 3 4 2 3" xfId="13867" xr:uid="{6A8E4228-360E-46A7-9DFE-18779CD4FA7D}"/>
    <cellStyle name="SAPBEXHLevel2 3 4 3" xfId="7031" xr:uid="{B7B3184C-1D5B-49E5-A26F-F561FDD1CB98}"/>
    <cellStyle name="SAPBEXHLevel2 3 4 3 2" xfId="12473" xr:uid="{D93B6213-EB10-4903-9F6E-4373788766C5}"/>
    <cellStyle name="SAPBEXHLevel2 3 4 3 3" xfId="14523" xr:uid="{E3072174-B1B6-4D6D-B7F7-DC0AE94CEE1F}"/>
    <cellStyle name="SAPBEXHLevel2 3 4 4" xfId="9416" xr:uid="{5EDFAA51-BF24-46B1-AF48-56325E14560D}"/>
    <cellStyle name="SAPBEXHLevel2 3 4 5" xfId="13126" xr:uid="{9333572E-942D-472B-B5A6-2204B934F4F5}"/>
    <cellStyle name="SAPBEXHLevel2 3 5" xfId="4015" xr:uid="{81549697-B54F-4D75-92FF-B2CB1B8980B8}"/>
    <cellStyle name="SAPBEXHLevel2 3 5 2" xfId="6418" xr:uid="{CA675FD8-3EE9-42F6-9DEA-F902B28E3BAD}"/>
    <cellStyle name="SAPBEXHLevel2 3 5 2 2" xfId="11860" xr:uid="{41BFF2AC-2196-4C0B-8591-7C8C8316CEB9}"/>
    <cellStyle name="SAPBEXHLevel2 3 5 2 3" xfId="13931" xr:uid="{44EB328F-342A-49E6-A99D-D7AD7C807225}"/>
    <cellStyle name="SAPBEXHLevel2 3 5 3" xfId="7094" xr:uid="{0B3FEEA8-A370-4B74-B83B-4710B17EBF90}"/>
    <cellStyle name="SAPBEXHLevel2 3 5 3 2" xfId="12536" xr:uid="{4210FE84-620A-4216-948F-70F686549D42}"/>
    <cellStyle name="SAPBEXHLevel2 3 5 3 3" xfId="14585" xr:uid="{430FA965-B978-49B8-8080-F77B652B5237}"/>
    <cellStyle name="SAPBEXHLevel2 3 5 4" xfId="9481" xr:uid="{68ADB85B-B24A-40D6-ABD8-DA588DB90F1A}"/>
    <cellStyle name="SAPBEXHLevel2 3 5 5" xfId="13188" xr:uid="{517C2691-B18D-4078-BB3D-E568C4D6CEBD}"/>
    <cellStyle name="SAPBEXHLevel2 3 6" xfId="3731" xr:uid="{9EDA0383-05D8-45EA-945D-96BD81901140}"/>
    <cellStyle name="SAPBEXHLevel2 3 6 2" xfId="6139" xr:uid="{C61CAFF2-5A36-469B-9D41-DFA594464675}"/>
    <cellStyle name="SAPBEXHLevel2 3 6 2 2" xfId="11581" xr:uid="{77B7F9B0-F0F1-4ABD-93FD-5A5506918413}"/>
    <cellStyle name="SAPBEXHLevel2 3 6 2 3" xfId="13658" xr:uid="{1FC1FCAB-0786-4E66-8BF7-61358399B17A}"/>
    <cellStyle name="SAPBEXHLevel2 3 6 3" xfId="6823" xr:uid="{D5E29787-DCBE-4B6F-8407-FCC996BF0AA7}"/>
    <cellStyle name="SAPBEXHLevel2 3 6 3 2" xfId="12265" xr:uid="{C07CB856-6C33-4A8C-B1F1-0BDD5EE03F80}"/>
    <cellStyle name="SAPBEXHLevel2 3 6 3 3" xfId="14320" xr:uid="{5CBDE3D7-46EA-45DB-B11F-DD286157E99C}"/>
    <cellStyle name="SAPBEXHLevel2 3 6 4" xfId="9202" xr:uid="{0CC19F55-3F1F-48A7-AC67-50C5FB099D8E}"/>
    <cellStyle name="SAPBEXHLevel2 3 6 5" xfId="12923" xr:uid="{08AFDEC3-A898-4FB2-9FD7-493A0AB78C63}"/>
    <cellStyle name="SAPBEXHLevel2 3 7" xfId="5785" xr:uid="{86F905D3-5CBD-402D-BAB1-02493D36F4D4}"/>
    <cellStyle name="SAPBEXHLevel2 3 7 2" xfId="11227" xr:uid="{59877225-424D-45BD-952D-9692F3850802}"/>
    <cellStyle name="SAPBEXHLevel2 3 7 3" xfId="13431" xr:uid="{1BABDA95-3B28-4A95-9BEF-4846965A970A}"/>
    <cellStyle name="SAPBEXHLevel2 3 8" xfId="6583" xr:uid="{5AB6E1D0-FABB-4850-9893-B30B02017723}"/>
    <cellStyle name="SAPBEXHLevel2 3 8 2" xfId="12025" xr:uid="{3429219B-E13E-44FD-837B-DFCD820E7B0D}"/>
    <cellStyle name="SAPBEXHLevel2 3 8 3" xfId="14093" xr:uid="{FDB2CB78-578E-4286-8A74-BC9FC63A87EA}"/>
    <cellStyle name="SAPBEXHLevel2 3 9" xfId="8841" xr:uid="{9C23CB82-B4D7-44FA-B231-6B5AED0793D0}"/>
    <cellStyle name="SAPBEXHLevel2 4" xfId="3665" xr:uid="{02475E66-27BC-4694-982B-C95D4BC9815B}"/>
    <cellStyle name="SAPBEXHLevel2 4 2" xfId="6073" xr:uid="{4E5B8DC0-A478-4E06-9B72-9D3E4CD90391}"/>
    <cellStyle name="SAPBEXHLevel2 4 2 2" xfId="11515" xr:uid="{74A03DB4-D36C-470C-A4AE-CE0D2360D0AD}"/>
    <cellStyle name="SAPBEXHLevel2 4 2 3" xfId="13594" xr:uid="{EE37D2A6-4932-4115-9B75-456F8903D0A9}"/>
    <cellStyle name="SAPBEXHLevel2 4 3" xfId="6757" xr:uid="{5C143A37-823E-407D-83F4-36733D310B8C}"/>
    <cellStyle name="SAPBEXHLevel2 4 3 2" xfId="12199" xr:uid="{FE5F8C62-317F-4D2E-A127-0C229DD40B22}"/>
    <cellStyle name="SAPBEXHLevel2 4 3 3" xfId="14256" xr:uid="{78C15E0A-25BA-4985-8887-223F55F979BB}"/>
    <cellStyle name="SAPBEXHLevel2 4 4" xfId="9136" xr:uid="{00038E73-9EBE-409F-B458-D5DB9CED60A1}"/>
    <cellStyle name="SAPBEXHLevel2 4 5" xfId="12859" xr:uid="{B0D9C073-5BB6-4CD4-8489-A0A119E45F8F}"/>
    <cellStyle name="SAPBEXHLevel2 5" xfId="3880" xr:uid="{050F320C-04B1-4743-A560-58B7F59DAD9B}"/>
    <cellStyle name="SAPBEXHLevel2 5 2" xfId="6287" xr:uid="{45C48DB7-227F-4DEB-B0C5-05A81D56708D}"/>
    <cellStyle name="SAPBEXHLevel2 5 2 2" xfId="11729" xr:uid="{132F52A1-2104-4EB4-ACE5-D978EBAC1897}"/>
    <cellStyle name="SAPBEXHLevel2 5 2 3" xfId="13803" xr:uid="{23D5D66D-375F-4EA7-8436-42D2B8811BBC}"/>
    <cellStyle name="SAPBEXHLevel2 5 3" xfId="6967" xr:uid="{97BB49FF-DD2F-4ECD-92AF-17BB9310331D}"/>
    <cellStyle name="SAPBEXHLevel2 5 3 2" xfId="12409" xr:uid="{FDD1E02F-D032-462E-8794-4B0C8994AAC5}"/>
    <cellStyle name="SAPBEXHLevel2 5 3 3" xfId="14461" xr:uid="{F39B53E6-1D9C-4E38-8FC9-E852D3EAB744}"/>
    <cellStyle name="SAPBEXHLevel2 5 4" xfId="9350" xr:uid="{3E64249F-3228-460F-AED6-97C64815E50C}"/>
    <cellStyle name="SAPBEXHLevel2 5 5" xfId="13064" xr:uid="{2DFC13EE-8F0B-46E1-A300-769AD0E8C9F3}"/>
    <cellStyle name="SAPBEXHLevel2 6" xfId="3580" xr:uid="{94C1ABC8-E006-4E27-BBEC-D0807B544E46}"/>
    <cellStyle name="SAPBEXHLevel2 6 2" xfId="5991" xr:uid="{8BB886FE-A609-41B9-B71D-195AB1AF0536}"/>
    <cellStyle name="SAPBEXHLevel2 6 2 2" xfId="11433" xr:uid="{D8F518AA-BB84-4C40-ABDF-E7B6F4D6E0CD}"/>
    <cellStyle name="SAPBEXHLevel2 6 2 3" xfId="13517" xr:uid="{619A9FEE-270E-47B5-8923-732C7ED03E18}"/>
    <cellStyle name="SAPBEXHLevel2 6 3" xfId="6674" xr:uid="{06D9AE65-F3F2-4242-829E-A61FEE618EBA}"/>
    <cellStyle name="SAPBEXHLevel2 6 3 2" xfId="12116" xr:uid="{305A18CE-22F8-4F4B-B6BD-A5CE16BA26B4}"/>
    <cellStyle name="SAPBEXHLevel2 6 3 3" xfId="14178" xr:uid="{B7DDFF54-33B8-485E-A2BB-51397A0B1C31}"/>
    <cellStyle name="SAPBEXHLevel2 6 4" xfId="9052" xr:uid="{FAA540A0-0EEC-43A3-A6BF-1707FDCFF4BE}"/>
    <cellStyle name="SAPBEXHLevel2 6 5" xfId="12781" xr:uid="{9BC769E3-D742-47E0-8F1C-588E1D72228B}"/>
    <cellStyle name="SAPBEXHLevel2 7" xfId="4148" xr:uid="{34D1440C-AB3A-4BA6-B023-E0E91D5DB2E3}"/>
    <cellStyle name="SAPBEXHLevel2 7 2" xfId="9598" xr:uid="{F5A52875-C1C4-47EF-BF4D-73FB4AC2DDA8}"/>
    <cellStyle name="SAPBEXHLevel2 7 3" xfId="13227" xr:uid="{2C219BC8-E101-44CB-B8C3-68ADB755E2DE}"/>
    <cellStyle name="SAPBEXHLevel2 8" xfId="5689" xr:uid="{87A0E120-1DB3-47FA-A480-AB17F9557232}"/>
    <cellStyle name="SAPBEXHLevel2 8 2" xfId="11131" xr:uid="{C529ED9A-D5D2-4B3F-9AAE-04BB7C315D10}"/>
    <cellStyle name="SAPBEXHLevel2 8 3" xfId="13337" xr:uid="{620C3BA6-A74D-4626-AC6D-69D100B3A754}"/>
    <cellStyle name="SAPBEXHLevel2 9" xfId="7216" xr:uid="{2ACF1FD8-CD85-448B-8D90-BC468319B365}"/>
    <cellStyle name="SAPBEXHLevel2_2014 CLEAResult Invoices" xfId="3253" xr:uid="{CDF4D7CA-0A88-4EA1-B2DF-8757C13D665B}"/>
    <cellStyle name="SAPBEXHLevel2X" xfId="273" xr:uid="{2CA7A1BC-8F93-40A0-8393-11F29F8D44B2}"/>
    <cellStyle name="SAPBEXHLevel2X 10" xfId="8716" xr:uid="{400E385C-C5D3-4C37-9D86-4D4B68FA1DD6}"/>
    <cellStyle name="SAPBEXHLevel2X 2" xfId="3255" xr:uid="{8190C8CA-1113-4111-A45B-35256A5C68FC}"/>
    <cellStyle name="SAPBEXHLevel2X 2 10" xfId="8844" xr:uid="{1979D46A-891A-4522-90D3-DF2F1D90F6B8}"/>
    <cellStyle name="SAPBEXHLevel2X 2 11" xfId="12699" xr:uid="{FEECB991-70F5-46D3-BE00-9E2A4D3B591C}"/>
    <cellStyle name="SAPBEXHLevel2X 2 2" xfId="3256" xr:uid="{45D93884-930C-45A6-8346-C6B553AFDEB3}"/>
    <cellStyle name="SAPBEXHLevel2X 2 2 2" xfId="3693" xr:uid="{762D3193-973E-4189-BC7C-4292CE91000A}"/>
    <cellStyle name="SAPBEXHLevel2X 2 2 2 2" xfId="6101" xr:uid="{1DCEF867-5C90-4940-9D8E-E952311B2565}"/>
    <cellStyle name="SAPBEXHLevel2X 2 2 2 2 2" xfId="11543" xr:uid="{4BA63EB6-14B3-4B5E-8C4E-DCECF70DD07F}"/>
    <cellStyle name="SAPBEXHLevel2X 2 2 2 2 3" xfId="13620" xr:uid="{8738DE14-6D63-44BE-B664-DD33C3757CC5}"/>
    <cellStyle name="SAPBEXHLevel2X 2 2 2 3" xfId="6785" xr:uid="{C537766B-044B-44C9-A1D1-5738692F84B9}"/>
    <cellStyle name="SAPBEXHLevel2X 2 2 2 3 2" xfId="12227" xr:uid="{0C72E48E-0E0A-4269-B812-C49A5CD405DE}"/>
    <cellStyle name="SAPBEXHLevel2X 2 2 2 3 3" xfId="14282" xr:uid="{AC957D8F-F3F8-4914-9B2D-C1350653E2DD}"/>
    <cellStyle name="SAPBEXHLevel2X 2 2 2 4" xfId="9164" xr:uid="{24C12D74-A49A-42EA-941B-9BF146FEEF9C}"/>
    <cellStyle name="SAPBEXHLevel2X 2 2 2 5" xfId="12885" xr:uid="{CF73AADD-3047-4079-BF4F-D6ECB0970741}"/>
    <cellStyle name="SAPBEXHLevel2X 2 2 3" xfId="5789" xr:uid="{2135F531-E593-4AE6-B6C5-CF7285A82532}"/>
    <cellStyle name="SAPBEXHLevel2X 2 2 3 2" xfId="11231" xr:uid="{8D34E72E-F85D-4628-A814-DD541F51B325}"/>
    <cellStyle name="SAPBEXHLevel2X 2 2 3 3" xfId="13435" xr:uid="{3C74F261-5ACE-426F-A1CA-885F5B5130D7}"/>
    <cellStyle name="SAPBEXHLevel2X 2 2 4" xfId="6587" xr:uid="{21BE6522-9318-446C-AB57-9C9B5FBE79A3}"/>
    <cellStyle name="SAPBEXHLevel2X 2 2 4 2" xfId="12029" xr:uid="{6F415F14-1C3F-41B0-B49A-14EB7A659AF4}"/>
    <cellStyle name="SAPBEXHLevel2X 2 2 4 3" xfId="14097" xr:uid="{63CD0FF7-9164-4577-9250-E4746BE93731}"/>
    <cellStyle name="SAPBEXHLevel2X 2 2 5" xfId="8845" xr:uid="{17F575BB-200F-4934-8D28-6562D24711B2}"/>
    <cellStyle name="SAPBEXHLevel2X 2 2 6" xfId="12700" xr:uid="{26DF48B8-9BA5-411E-A3FD-A522AE970E92}"/>
    <cellStyle name="SAPBEXHLevel2X 2 3" xfId="3759" xr:uid="{746F748C-9B95-458E-848F-1A004E65B33C}"/>
    <cellStyle name="SAPBEXHLevel2X 2 3 2" xfId="6167" xr:uid="{DCE480FA-6EB6-44F9-A1FD-85C6A9FC4F08}"/>
    <cellStyle name="SAPBEXHLevel2X 2 3 2 2" xfId="11609" xr:uid="{9875356B-E213-4589-8724-34385ACA86BF}"/>
    <cellStyle name="SAPBEXHLevel2X 2 3 2 3" xfId="13684" xr:uid="{4A5A1987-7384-47BE-9034-15192872336D}"/>
    <cellStyle name="SAPBEXHLevel2X 2 3 3" xfId="6849" xr:uid="{A59433B4-10C7-462D-9BFA-0F62DE92689A}"/>
    <cellStyle name="SAPBEXHLevel2X 2 3 3 2" xfId="12291" xr:uid="{81908131-890D-4BB1-B20B-D9C470928717}"/>
    <cellStyle name="SAPBEXHLevel2X 2 3 3 3" xfId="14344" xr:uid="{CA401A0F-878C-4666-B172-E2DE20E49693}"/>
    <cellStyle name="SAPBEXHLevel2X 2 3 4" xfId="9230" xr:uid="{DA1E5A88-2E53-48D4-8C67-7008B4FB04D3}"/>
    <cellStyle name="SAPBEXHLevel2X 2 3 5" xfId="12947" xr:uid="{9957BAA5-4471-4168-915A-3266F44D3A01}"/>
    <cellStyle name="SAPBEXHLevel2X 2 4" xfId="3825" xr:uid="{13D09A9F-7AC1-444A-9D98-4A4B35DE1BCE}"/>
    <cellStyle name="SAPBEXHLevel2X 2 4 2" xfId="6232" xr:uid="{4460C785-AB71-4EF1-A74B-975314DCDA2B}"/>
    <cellStyle name="SAPBEXHLevel2X 2 4 2 2" xfId="11674" xr:uid="{A47B4C5D-3C0E-461E-A40B-58B750F34F0A}"/>
    <cellStyle name="SAPBEXHLevel2X 2 4 2 3" xfId="13748" xr:uid="{8D43950F-4E24-47BE-AA7F-42BEE208B0A3}"/>
    <cellStyle name="SAPBEXHLevel2X 2 4 3" xfId="6912" xr:uid="{312876F2-6F19-4D6C-8A61-86FBF3AF5EA3}"/>
    <cellStyle name="SAPBEXHLevel2X 2 4 3 2" xfId="12354" xr:uid="{35A8DB41-04F3-4968-A9EC-8BE11AD04E06}"/>
    <cellStyle name="SAPBEXHLevel2X 2 4 3 3" xfId="14406" xr:uid="{EA15437A-C4C7-42D4-8DF8-8A6765911943}"/>
    <cellStyle name="SAPBEXHLevel2X 2 4 4" xfId="9295" xr:uid="{DFA289F2-4361-428F-B278-413BEDA76750}"/>
    <cellStyle name="SAPBEXHLevel2X 2 4 5" xfId="13009" xr:uid="{2E0DDF7B-16EB-4B2F-BFAF-3BE812E3B6B6}"/>
    <cellStyle name="SAPBEXHLevel2X 2 5" xfId="3910" xr:uid="{8001E087-F648-427F-8D1E-25C76C7ED375}"/>
    <cellStyle name="SAPBEXHLevel2X 2 5 2" xfId="6315" xr:uid="{4CE0DC57-49F2-44CC-91CD-2D0BFD67C97C}"/>
    <cellStyle name="SAPBEXHLevel2X 2 5 2 2" xfId="11757" xr:uid="{6094DB05-9DF7-4A3D-AB62-CDBB4B2465DD}"/>
    <cellStyle name="SAPBEXHLevel2X 2 5 2 3" xfId="13829" xr:uid="{F078B76C-A97C-4D7B-A287-AAEF269D2D4D}"/>
    <cellStyle name="SAPBEXHLevel2X 2 5 3" xfId="6993" xr:uid="{CF59FBA3-1CB6-4E1F-834A-35272F29C304}"/>
    <cellStyle name="SAPBEXHLevel2X 2 5 3 2" xfId="12435" xr:uid="{98209105-A269-4652-8EE8-33983B5E81BF}"/>
    <cellStyle name="SAPBEXHLevel2X 2 5 3 3" xfId="14485" xr:uid="{17931C07-239C-4380-8E01-E2DFF34F523A}"/>
    <cellStyle name="SAPBEXHLevel2X 2 5 4" xfId="9378" xr:uid="{E2FE8813-FF53-43A2-898F-2026A391CB03}"/>
    <cellStyle name="SAPBEXHLevel2X 2 5 5" xfId="13088" xr:uid="{A045DA5D-CB4B-4EEB-A45D-64C6D1FC1BB2}"/>
    <cellStyle name="SAPBEXHLevel2X 2 6" xfId="3977" xr:uid="{3FAEDD52-75B0-43A6-8AB0-7DB951B229B9}"/>
    <cellStyle name="SAPBEXHLevel2X 2 6 2" xfId="6380" xr:uid="{38DF43BA-3D8C-4B76-B989-48F252101CAD}"/>
    <cellStyle name="SAPBEXHLevel2X 2 6 2 2" xfId="11822" xr:uid="{266F9BA5-ECBB-4F13-A133-2F84AC4C3A70}"/>
    <cellStyle name="SAPBEXHLevel2X 2 6 2 3" xfId="13893" xr:uid="{C481A0C4-ADA4-48AA-BFE2-563CE9B2F9B3}"/>
    <cellStyle name="SAPBEXHLevel2X 2 6 3" xfId="7056" xr:uid="{9EB6E871-2604-4B00-9A15-4ED4DDC33063}"/>
    <cellStyle name="SAPBEXHLevel2X 2 6 3 2" xfId="12498" xr:uid="{78599E63-BD04-4536-BACB-6DA9B4D038EF}"/>
    <cellStyle name="SAPBEXHLevel2X 2 6 3 3" xfId="14547" xr:uid="{6DD72A55-74E9-412A-B0B7-C00058ADD66C}"/>
    <cellStyle name="SAPBEXHLevel2X 2 6 4" xfId="9443" xr:uid="{61F7EB5A-08C4-4A34-B3F9-2959CC8BBBA5}"/>
    <cellStyle name="SAPBEXHLevel2X 2 6 5" xfId="13150" xr:uid="{ED5E8F35-6D4B-459F-AD76-7CCD2420142D}"/>
    <cellStyle name="SAPBEXHLevel2X 2 7" xfId="3611" xr:uid="{5D3C36AD-D4FB-4341-887F-FBCD7091ED26}"/>
    <cellStyle name="SAPBEXHLevel2X 2 7 2" xfId="6020" xr:uid="{CB6BD684-70DB-4EAE-B413-86A0AA2FEC60}"/>
    <cellStyle name="SAPBEXHLevel2X 2 7 2 2" xfId="11462" xr:uid="{235D14FC-D6A5-42D6-8D28-B825AB987193}"/>
    <cellStyle name="SAPBEXHLevel2X 2 7 2 3" xfId="13544" xr:uid="{5CC580F3-B9E8-4CFE-8239-36ABF15FE07F}"/>
    <cellStyle name="SAPBEXHLevel2X 2 7 3" xfId="6704" xr:uid="{4A94D81B-48CE-4F74-8579-3CAB742DE828}"/>
    <cellStyle name="SAPBEXHLevel2X 2 7 3 2" xfId="12146" xr:uid="{641DBCD8-AB12-467F-BB02-EC7BEF9BF841}"/>
    <cellStyle name="SAPBEXHLevel2X 2 7 3 3" xfId="14206" xr:uid="{388A1EA6-015F-4781-B66D-FF96DF0B3963}"/>
    <cellStyle name="SAPBEXHLevel2X 2 7 4" xfId="9083" xr:uid="{248315E3-55C5-4E80-A223-51F1B974424A}"/>
    <cellStyle name="SAPBEXHLevel2X 2 7 5" xfId="12809" xr:uid="{245CF696-2F3A-4421-88DD-254641766CDE}"/>
    <cellStyle name="SAPBEXHLevel2X 2 8" xfId="5788" xr:uid="{ACD7F260-8A81-4F94-8BEA-52F12C8F0605}"/>
    <cellStyle name="SAPBEXHLevel2X 2 8 2" xfId="11230" xr:uid="{4B3E0564-836B-4DE1-9ECA-224D85425AB1}"/>
    <cellStyle name="SAPBEXHLevel2X 2 8 3" xfId="13434" xr:uid="{BDC92F36-07DC-4DF4-A37B-214533A77505}"/>
    <cellStyle name="SAPBEXHLevel2X 2 9" xfId="6586" xr:uid="{7546009C-E669-4936-A235-E3B48D4370F7}"/>
    <cellStyle name="SAPBEXHLevel2X 2 9 2" xfId="12028" xr:uid="{865CADDF-1932-4123-83B1-432C9AF5AB09}"/>
    <cellStyle name="SAPBEXHLevel2X 2 9 3" xfId="14096" xr:uid="{7575F46C-168C-4A05-A4AB-199F93937065}"/>
    <cellStyle name="SAPBEXHLevel2X 2_2014 CLEAResult Invoices" xfId="3257" xr:uid="{D0E41862-B403-4B96-9909-479B1235BB25}"/>
    <cellStyle name="SAPBEXHLevel2X 3" xfId="3258" xr:uid="{B0DE4D07-F846-4997-A86F-EAF298290122}"/>
    <cellStyle name="SAPBEXHLevel2X 3 10" xfId="12701" xr:uid="{A65CDE0C-9613-4B28-8471-18A8A6E5CF3E}"/>
    <cellStyle name="SAPBEXHLevel2X 3 2" xfId="3259" xr:uid="{F0B855B7-8884-4F00-AE6F-89A45B3505FB}"/>
    <cellStyle name="SAPBEXHLevel2X 3 2 2" xfId="3260" xr:uid="{97C385FB-C000-48FC-A9D4-107453EEBE35}"/>
    <cellStyle name="SAPBEXHLevel2X 3 2 2 2" xfId="5792" xr:uid="{D5945A09-25A0-42F4-8747-670AB474C97C}"/>
    <cellStyle name="SAPBEXHLevel2X 3 2 2 2 2" xfId="11234" xr:uid="{4F408A14-2475-4C2F-8B80-02DC311FB273}"/>
    <cellStyle name="SAPBEXHLevel2X 3 2 2 2 3" xfId="13438" xr:uid="{20F39C85-916B-4CB0-A17B-79591B5BC257}"/>
    <cellStyle name="SAPBEXHLevel2X 3 2 2 3" xfId="6590" xr:uid="{2AACAA09-3885-483E-A6E7-7DC5E2285E40}"/>
    <cellStyle name="SAPBEXHLevel2X 3 2 2 3 2" xfId="12032" xr:uid="{924E3042-8906-4E60-BD19-247D151B9179}"/>
    <cellStyle name="SAPBEXHLevel2X 3 2 2 3 3" xfId="14100" xr:uid="{4EF9ADFD-4855-43DD-A812-7EAAA8264084}"/>
    <cellStyle name="SAPBEXHLevel2X 3 2 2 4" xfId="8848" xr:uid="{A3208B1F-FF5C-477F-8BA9-0FBCE28A619F}"/>
    <cellStyle name="SAPBEXHLevel2X 3 2 2 5" xfId="12703" xr:uid="{47BEF5A3-5D25-4B43-800C-7EAC1F1939A5}"/>
    <cellStyle name="SAPBEXHLevel2X 3 2 3" xfId="3798" xr:uid="{D5033DB0-D310-4241-BED0-FBB54534A5B9}"/>
    <cellStyle name="SAPBEXHLevel2X 3 2 3 2" xfId="6206" xr:uid="{A6CEBB67-3CBC-4B56-9757-DEEAFCE059D6}"/>
    <cellStyle name="SAPBEXHLevel2X 3 2 3 2 2" xfId="11648" xr:uid="{D015453F-8DE1-4C75-AC23-63B1C16837CA}"/>
    <cellStyle name="SAPBEXHLevel2X 3 2 3 2 3" xfId="13723" xr:uid="{EE274BF6-FCDB-40FA-9B6F-383D0DEE30F0}"/>
    <cellStyle name="SAPBEXHLevel2X 3 2 3 3" xfId="6888" xr:uid="{CCB06256-94A2-456A-8FAA-B7D9C5C38234}"/>
    <cellStyle name="SAPBEXHLevel2X 3 2 3 3 2" xfId="12330" xr:uid="{6FD0E150-7915-451A-8070-99B74ACE11B0}"/>
    <cellStyle name="SAPBEXHLevel2X 3 2 3 3 3" xfId="14383" xr:uid="{ED9FFE32-14FB-49E5-9414-0D04230843CD}"/>
    <cellStyle name="SAPBEXHLevel2X 3 2 3 4" xfId="9269" xr:uid="{D51D3E17-6188-4C2F-BD08-13B8D8DA5BF8}"/>
    <cellStyle name="SAPBEXHLevel2X 3 2 3 5" xfId="12986" xr:uid="{4A636B08-63D3-47BD-A58D-98A0F42743FF}"/>
    <cellStyle name="SAPBEXHLevel2X 3 2 4" xfId="5791" xr:uid="{E5A08815-8147-4796-BFBB-73F02051790F}"/>
    <cellStyle name="SAPBEXHLevel2X 3 2 4 2" xfId="11233" xr:uid="{A0D56763-CBC8-4D0E-BA4E-1A7798DD4491}"/>
    <cellStyle name="SAPBEXHLevel2X 3 2 4 3" xfId="13437" xr:uid="{35F7D735-289E-4FF8-91AC-31EFCD40A314}"/>
    <cellStyle name="SAPBEXHLevel2X 3 2 5" xfId="6589" xr:uid="{3BAB0580-327F-4528-9DC9-DA236591B410}"/>
    <cellStyle name="SAPBEXHLevel2X 3 2 5 2" xfId="12031" xr:uid="{6DAED1C4-98F4-4555-9DDF-B54CB223D5F5}"/>
    <cellStyle name="SAPBEXHLevel2X 3 2 5 3" xfId="14099" xr:uid="{E62DF709-C55C-434C-BF65-51BE3A85AE6F}"/>
    <cellStyle name="SAPBEXHLevel2X 3 2 6" xfId="8847" xr:uid="{958E4488-A35B-469C-BF32-649148AD90B6}"/>
    <cellStyle name="SAPBEXHLevel2X 3 2 7" xfId="12702" xr:uid="{73C835B4-63B9-484E-9B17-5599C0CF9EC9}"/>
    <cellStyle name="SAPBEXHLevel2X 3 3" xfId="3261" xr:uid="{10A9BA6C-EC9C-41B0-8CEC-873F8CD3D075}"/>
    <cellStyle name="SAPBEXHLevel2X 3 3 2" xfId="3864" xr:uid="{FA542B9A-2D50-4942-883A-E07ECB6F633A}"/>
    <cellStyle name="SAPBEXHLevel2X 3 3 2 2" xfId="6271" xr:uid="{8E473CE9-FA5F-428F-9403-CA457E75E58D}"/>
    <cellStyle name="SAPBEXHLevel2X 3 3 2 2 2" xfId="11713" xr:uid="{89BE8756-2423-4DA9-965E-65337DA09F78}"/>
    <cellStyle name="SAPBEXHLevel2X 3 3 2 2 3" xfId="13787" xr:uid="{87C2BBA7-2FD7-426C-A528-29D4948A881D}"/>
    <cellStyle name="SAPBEXHLevel2X 3 3 2 3" xfId="6951" xr:uid="{79786533-F6AD-45D1-AC34-0FAB661C3482}"/>
    <cellStyle name="SAPBEXHLevel2X 3 3 2 3 2" xfId="12393" xr:uid="{36D36AF7-BF9E-4C76-A98E-37340735FB00}"/>
    <cellStyle name="SAPBEXHLevel2X 3 3 2 3 3" xfId="14445" xr:uid="{6ED8B6C3-CC2A-407B-8CC3-F8CE3367CAE6}"/>
    <cellStyle name="SAPBEXHLevel2X 3 3 2 4" xfId="9334" xr:uid="{08F0480E-6841-4339-A699-7487F7B134E6}"/>
    <cellStyle name="SAPBEXHLevel2X 3 3 2 5" xfId="13048" xr:uid="{A8CE11E1-4DEC-478F-B0D9-BE1776A40AEA}"/>
    <cellStyle name="SAPBEXHLevel2X 3 3 3" xfId="5793" xr:uid="{4FAFC8C1-7259-4F30-AC9C-99A9B2880C86}"/>
    <cellStyle name="SAPBEXHLevel2X 3 3 3 2" xfId="11235" xr:uid="{AEC02A6E-87C5-4829-B3F3-A01BF3DBB234}"/>
    <cellStyle name="SAPBEXHLevel2X 3 3 3 3" xfId="13439" xr:uid="{0D1DEC39-04CE-446F-AF7D-60EE5161E85D}"/>
    <cellStyle name="SAPBEXHLevel2X 3 3 4" xfId="6591" xr:uid="{96D84D23-88F4-4F8C-BC5D-6EA8F85B9C07}"/>
    <cellStyle name="SAPBEXHLevel2X 3 3 4 2" xfId="12033" xr:uid="{A4555BC7-EB70-49F1-9CFD-52FA7398B299}"/>
    <cellStyle name="SAPBEXHLevel2X 3 3 4 3" xfId="14101" xr:uid="{FF08CF80-2807-4302-B600-6223CC4C98DA}"/>
    <cellStyle name="SAPBEXHLevel2X 3 3 5" xfId="8849" xr:uid="{4ED19916-BACB-48A1-B11A-1B3D8F87FC77}"/>
    <cellStyle name="SAPBEXHLevel2X 3 3 6" xfId="12704" xr:uid="{0D480A09-0F34-4109-B930-AF87BC424621}"/>
    <cellStyle name="SAPBEXHLevel2X 3 4" xfId="3949" xr:uid="{7510FA71-4D3F-419C-AEF2-94AC3638630A}"/>
    <cellStyle name="SAPBEXHLevel2X 3 4 2" xfId="6354" xr:uid="{95C25327-DF48-4575-9509-19173A7D9028}"/>
    <cellStyle name="SAPBEXHLevel2X 3 4 2 2" xfId="11796" xr:uid="{37E7C593-3E7A-45A5-9F8C-DA203F3ADD4A}"/>
    <cellStyle name="SAPBEXHLevel2X 3 4 2 3" xfId="13868" xr:uid="{74894CC1-F1C6-4DB9-953A-CF453700B94F}"/>
    <cellStyle name="SAPBEXHLevel2X 3 4 3" xfId="7032" xr:uid="{C76969F7-ED58-4625-BBB1-BD2F56C44375}"/>
    <cellStyle name="SAPBEXHLevel2X 3 4 3 2" xfId="12474" xr:uid="{DE08E0DB-44C5-49BD-98E4-64C81E154887}"/>
    <cellStyle name="SAPBEXHLevel2X 3 4 3 3" xfId="14524" xr:uid="{9E4DBE16-AD06-4721-A780-6A1186DC73C5}"/>
    <cellStyle name="SAPBEXHLevel2X 3 4 4" xfId="9417" xr:uid="{EB67D6AF-6BF7-46DC-AF52-9331C090E259}"/>
    <cellStyle name="SAPBEXHLevel2X 3 4 5" xfId="13127" xr:uid="{CFF94442-79FF-4380-AC32-64C70477ECDF}"/>
    <cellStyle name="SAPBEXHLevel2X 3 5" xfId="4016" xr:uid="{39FF4299-4C11-4DD1-8836-03B0437A39F7}"/>
    <cellStyle name="SAPBEXHLevel2X 3 5 2" xfId="6419" xr:uid="{4611507A-65E8-4E04-BB59-505DBA1C781C}"/>
    <cellStyle name="SAPBEXHLevel2X 3 5 2 2" xfId="11861" xr:uid="{784CB35C-30F3-4501-8BBF-379C172E3BB8}"/>
    <cellStyle name="SAPBEXHLevel2X 3 5 2 3" xfId="13932" xr:uid="{E59741AE-88E4-478E-8C1D-722FD39E5403}"/>
    <cellStyle name="SAPBEXHLevel2X 3 5 3" xfId="7095" xr:uid="{9A6CBA5F-ACF2-4934-A6AE-1B4AC726A783}"/>
    <cellStyle name="SAPBEXHLevel2X 3 5 3 2" xfId="12537" xr:uid="{9F1422AC-8AB4-48A9-8BEF-3074F47E31BA}"/>
    <cellStyle name="SAPBEXHLevel2X 3 5 3 3" xfId="14586" xr:uid="{C96297BB-D087-4E2E-9FAF-EE7DB44269D6}"/>
    <cellStyle name="SAPBEXHLevel2X 3 5 4" xfId="9482" xr:uid="{923B347C-1EEB-4FD6-AA28-3C5D84EBC8F5}"/>
    <cellStyle name="SAPBEXHLevel2X 3 5 5" xfId="13189" xr:uid="{933A23D7-B284-4AB5-8A61-5CEE46F9614A}"/>
    <cellStyle name="SAPBEXHLevel2X 3 6" xfId="3732" xr:uid="{EA38E2A3-3F2F-46D4-BFA6-75A7ECE42356}"/>
    <cellStyle name="SAPBEXHLevel2X 3 6 2" xfId="6140" xr:uid="{96906F46-0334-42EF-8435-FCA6F0D7951E}"/>
    <cellStyle name="SAPBEXHLevel2X 3 6 2 2" xfId="11582" xr:uid="{8CE46FAD-AD15-4FCE-AEC5-DBE0A6B2B686}"/>
    <cellStyle name="SAPBEXHLevel2X 3 6 2 3" xfId="13659" xr:uid="{7724A85B-F57B-4D91-A637-ADB836547C77}"/>
    <cellStyle name="SAPBEXHLevel2X 3 6 3" xfId="6824" xr:uid="{BB37E045-FB3A-4E8E-90B8-EC3529359698}"/>
    <cellStyle name="SAPBEXHLevel2X 3 6 3 2" xfId="12266" xr:uid="{082F4DCA-D8FA-47B5-9FAB-1373ACC37EAD}"/>
    <cellStyle name="SAPBEXHLevel2X 3 6 3 3" xfId="14321" xr:uid="{8BD34B5B-56B5-4214-83C7-2BFF0BF67340}"/>
    <cellStyle name="SAPBEXHLevel2X 3 6 4" xfId="9203" xr:uid="{39245814-7536-4DBF-9B62-13C56A61983F}"/>
    <cellStyle name="SAPBEXHLevel2X 3 6 5" xfId="12924" xr:uid="{268E82A5-C18E-4E2C-9782-1B5F9F9974A2}"/>
    <cellStyle name="SAPBEXHLevel2X 3 7" xfId="5790" xr:uid="{74AD48EA-5137-436E-B570-5508DAE07D27}"/>
    <cellStyle name="SAPBEXHLevel2X 3 7 2" xfId="11232" xr:uid="{33785747-A11D-462D-8C4D-2954C1155C8E}"/>
    <cellStyle name="SAPBEXHLevel2X 3 7 3" xfId="13436" xr:uid="{617BF5F1-3F2C-44C3-BCC2-F5CBBC737FFE}"/>
    <cellStyle name="SAPBEXHLevel2X 3 8" xfId="6588" xr:uid="{6CF7A04D-E05A-4949-8A84-9F4598311253}"/>
    <cellStyle name="SAPBEXHLevel2X 3 8 2" xfId="12030" xr:uid="{730A2904-0CCC-4F08-9ACD-7DFA4FAD9542}"/>
    <cellStyle name="SAPBEXHLevel2X 3 8 3" xfId="14098" xr:uid="{8EBCE43D-1AA2-4227-AD84-320A94371339}"/>
    <cellStyle name="SAPBEXHLevel2X 3 9" xfId="8846" xr:uid="{1828644E-685D-4D33-9D52-68702FA28C78}"/>
    <cellStyle name="SAPBEXHLevel2X 3_2014 CLEAResult Invoices" xfId="3262" xr:uid="{94A5DFFB-E004-4D95-9C4F-8CC625372F35}"/>
    <cellStyle name="SAPBEXHLevel2X 4" xfId="3263" xr:uid="{1ABDB1AE-6BC7-40E8-B4E1-19EA5013B9F7}"/>
    <cellStyle name="SAPBEXHLevel2X 4 2" xfId="3666" xr:uid="{7936B4BA-D31C-4D70-A9E8-C71930F96CE2}"/>
    <cellStyle name="SAPBEXHLevel2X 4 2 2" xfId="6074" xr:uid="{83F1B2A1-56D6-44C1-9E5E-2FD3ABE16775}"/>
    <cellStyle name="SAPBEXHLevel2X 4 2 2 2" xfId="11516" xr:uid="{CB890C78-2060-4F08-9D59-BD3C3D50EAF5}"/>
    <cellStyle name="SAPBEXHLevel2X 4 2 2 3" xfId="13595" xr:uid="{3F34556E-E25F-4A96-8693-0283EB6D591D}"/>
    <cellStyle name="SAPBEXHLevel2X 4 2 3" xfId="6758" xr:uid="{61CE8813-992C-41B6-AC14-633ADE237315}"/>
    <cellStyle name="SAPBEXHLevel2X 4 2 3 2" xfId="12200" xr:uid="{9F2D95B1-4C48-470A-8BC1-E55AE13A7F0A}"/>
    <cellStyle name="SAPBEXHLevel2X 4 2 3 3" xfId="14257" xr:uid="{63CF7258-B0B7-4292-9DE7-138330B5FB86}"/>
    <cellStyle name="SAPBEXHLevel2X 4 2 4" xfId="9137" xr:uid="{98C4EF0B-61BC-4DCE-897F-0A81E0793D80}"/>
    <cellStyle name="SAPBEXHLevel2X 4 2 5" xfId="12860" xr:uid="{8C864DAD-4983-4AE9-BA5E-AC884CCEB56E}"/>
    <cellStyle name="SAPBEXHLevel2X 4 3" xfId="5794" xr:uid="{7031D703-F2EE-49C9-92F6-C2C57E6B099E}"/>
    <cellStyle name="SAPBEXHLevel2X 4 3 2" xfId="11236" xr:uid="{42146E5A-C383-4FD6-B86B-B849A803D312}"/>
    <cellStyle name="SAPBEXHLevel2X 4 3 3" xfId="13440" xr:uid="{C57F975E-3012-48D1-8BE7-4938A044612D}"/>
    <cellStyle name="SAPBEXHLevel2X 4 4" xfId="6592" xr:uid="{578E7658-6ECA-4924-B1BB-E8FA52E69641}"/>
    <cellStyle name="SAPBEXHLevel2X 4 4 2" xfId="12034" xr:uid="{35A8AFAD-004B-452E-845F-1AC0E915E354}"/>
    <cellStyle name="SAPBEXHLevel2X 4 4 3" xfId="14102" xr:uid="{0838964A-2762-487B-BDBC-459645EF8C57}"/>
    <cellStyle name="SAPBEXHLevel2X 4 5" xfId="8850" xr:uid="{148E5A5D-FC78-4F66-92E2-65718FF837D3}"/>
    <cellStyle name="SAPBEXHLevel2X 4 6" xfId="12705" xr:uid="{325268FB-F347-4FC5-B00D-8B148F85C62C}"/>
    <cellStyle name="SAPBEXHLevel2X 5" xfId="3254" xr:uid="{F347DA24-AC9A-4EE2-927B-EBB2DE0F3DB8}"/>
    <cellStyle name="SAPBEXHLevel2X 5 2" xfId="3881" xr:uid="{45B1E8CD-5152-449B-9A7A-69C4543E6775}"/>
    <cellStyle name="SAPBEXHLevel2X 5 2 2" xfId="6288" xr:uid="{132F4AB0-E584-43D8-B5B0-529EB6222CD8}"/>
    <cellStyle name="SAPBEXHLevel2X 5 2 2 2" xfId="11730" xr:uid="{655B1CAE-5A2D-4E29-B37D-882F9FBE44B8}"/>
    <cellStyle name="SAPBEXHLevel2X 5 2 2 3" xfId="13804" xr:uid="{9F1C148C-75AC-442D-8BF9-21E7A76D6E6E}"/>
    <cellStyle name="SAPBEXHLevel2X 5 2 3" xfId="6968" xr:uid="{978938A9-0B6E-436A-A4E3-07E1D6986BAD}"/>
    <cellStyle name="SAPBEXHLevel2X 5 2 3 2" xfId="12410" xr:uid="{52F1B41A-870A-4D4B-A817-29EF142FC09B}"/>
    <cellStyle name="SAPBEXHLevel2X 5 2 3 3" xfId="14462" xr:uid="{9B47473A-EE61-42AC-808F-044DBB2179A2}"/>
    <cellStyle name="SAPBEXHLevel2X 5 2 4" xfId="9351" xr:uid="{2DB4324D-4DEE-4985-AB85-007355BAE2B8}"/>
    <cellStyle name="SAPBEXHLevel2X 5 2 5" xfId="13065" xr:uid="{B7AB3980-2740-4931-91F3-D615119EF47C}"/>
    <cellStyle name="SAPBEXHLevel2X 5 3" xfId="5787" xr:uid="{AABE514B-CEBD-4E8A-BFC6-FA7764711362}"/>
    <cellStyle name="SAPBEXHLevel2X 5 3 2" xfId="11229" xr:uid="{09B6CA94-7463-4A80-8BB8-9431A3ADC15C}"/>
    <cellStyle name="SAPBEXHLevel2X 5 3 3" xfId="13433" xr:uid="{8A0D2DFD-45C7-4519-894D-B2898B565EA2}"/>
    <cellStyle name="SAPBEXHLevel2X 5 4" xfId="6585" xr:uid="{87D621F6-ACEC-459B-928E-C23070CD510C}"/>
    <cellStyle name="SAPBEXHLevel2X 5 4 2" xfId="12027" xr:uid="{F1C01B75-DB03-4647-B353-E66B0C9AD1DB}"/>
    <cellStyle name="SAPBEXHLevel2X 5 4 3" xfId="14095" xr:uid="{526F9131-574E-4C8C-BCF6-F4F758CAA8BF}"/>
    <cellStyle name="SAPBEXHLevel2X 5 5" xfId="8843" xr:uid="{24880C3C-DFEF-45D8-B721-2ABDE5229543}"/>
    <cellStyle name="SAPBEXHLevel2X 5 6" xfId="12698" xr:uid="{ECC859AA-10A0-4809-AAAF-F4D599D5AFA7}"/>
    <cellStyle name="SAPBEXHLevel2X 6" xfId="3581" xr:uid="{F8A0FBA6-76DA-4D3F-8D69-1DDE55ADF888}"/>
    <cellStyle name="SAPBEXHLevel2X 6 2" xfId="5992" xr:uid="{F9885ED8-D368-4827-AA6A-32608122DA65}"/>
    <cellStyle name="SAPBEXHLevel2X 6 2 2" xfId="11434" xr:uid="{45FC382B-6EC9-49E3-9498-511543FEE7AC}"/>
    <cellStyle name="SAPBEXHLevel2X 6 2 3" xfId="13518" xr:uid="{CF3931C7-BB88-4330-AE01-B4349B58894D}"/>
    <cellStyle name="SAPBEXHLevel2X 6 3" xfId="6675" xr:uid="{BFC4915B-4C73-4CED-8487-17B36D1FA653}"/>
    <cellStyle name="SAPBEXHLevel2X 6 3 2" xfId="12117" xr:uid="{45AA6770-F6AE-40B8-A992-05C6A871CEBC}"/>
    <cellStyle name="SAPBEXHLevel2X 6 3 3" xfId="14179" xr:uid="{3E22CEAE-9BA5-462E-8850-A694798DD195}"/>
    <cellStyle name="SAPBEXHLevel2X 6 4" xfId="9053" xr:uid="{9245CB02-CC0F-4903-9C1F-189D824B0C3C}"/>
    <cellStyle name="SAPBEXHLevel2X 6 5" xfId="12782" xr:uid="{BFDCC9F4-8C1C-49E7-A2F3-465DF3DBCDC5}"/>
    <cellStyle name="SAPBEXHLevel2X 7" xfId="4149" xr:uid="{4619FE42-3A8C-4378-B601-E761E5718175}"/>
    <cellStyle name="SAPBEXHLevel2X 7 2" xfId="9599" xr:uid="{1016C2A7-89B0-46E1-938B-168F92F93A95}"/>
    <cellStyle name="SAPBEXHLevel2X 7 3" xfId="13228" xr:uid="{C3A6B9CD-D599-4921-A98B-68AAAD3D76BE}"/>
    <cellStyle name="SAPBEXHLevel2X 8" xfId="5691" xr:uid="{B101A809-4C6B-442A-81A7-333DF92E4005}"/>
    <cellStyle name="SAPBEXHLevel2X 8 2" xfId="11133" xr:uid="{3C2FBD11-FB78-4D24-B044-B91D07C576EF}"/>
    <cellStyle name="SAPBEXHLevel2X 8 3" xfId="13339" xr:uid="{6C14F276-9FE2-431E-B9F6-69CB45E1E90F}"/>
    <cellStyle name="SAPBEXHLevel2X 9" xfId="7217" xr:uid="{35BE685F-2418-4FEC-9C1F-8DD7D8657441}"/>
    <cellStyle name="SAPBEXHLevel2X_2014 CLEAResult Invoices" xfId="3264" xr:uid="{B7CC4C1D-EB7D-4EC2-88E4-35A39B498C42}"/>
    <cellStyle name="SAPBEXHLevel3" xfId="274" xr:uid="{7E3E3710-5DC9-4278-89C3-888832F38D2E}"/>
    <cellStyle name="SAPBEXHLevel3 10" xfId="8715" xr:uid="{A54AA48A-6EF8-4E7C-AE50-451CA2A6DA9C}"/>
    <cellStyle name="SAPBEXHLevel3 2" xfId="3266" xr:uid="{76D88D72-9CB2-4BF7-BC77-2A84F8580D90}"/>
    <cellStyle name="SAPBEXHLevel3 2 10" xfId="8852" xr:uid="{476B4520-8B77-4524-8653-4238AC3B7759}"/>
    <cellStyle name="SAPBEXHLevel3 2 11" xfId="12707" xr:uid="{0A8186D2-3A7B-4F39-97F2-240D6A04C1D2}"/>
    <cellStyle name="SAPBEXHLevel3 2 2" xfId="3692" xr:uid="{EDECA308-D463-4BD1-BE91-2010C7C991B2}"/>
    <cellStyle name="SAPBEXHLevel3 2 2 2" xfId="6100" xr:uid="{468BA0CA-7A32-4400-A5A6-EC6734430A3D}"/>
    <cellStyle name="SAPBEXHLevel3 2 2 2 2" xfId="11542" xr:uid="{B16E2E87-7661-4B20-B575-684EDA69E30E}"/>
    <cellStyle name="SAPBEXHLevel3 2 2 2 3" xfId="13619" xr:uid="{705154FD-89A3-46B8-9549-93C97B5AAB71}"/>
    <cellStyle name="SAPBEXHLevel3 2 2 3" xfId="6784" xr:uid="{4D750DED-FA6B-489D-9CE7-E270EBA6839E}"/>
    <cellStyle name="SAPBEXHLevel3 2 2 3 2" xfId="12226" xr:uid="{52AA899E-DF2A-48E1-B379-F38E7B91178D}"/>
    <cellStyle name="SAPBEXHLevel3 2 2 3 3" xfId="14281" xr:uid="{2BBA9FBF-1C42-49ED-A2EE-D8D215EF0E76}"/>
    <cellStyle name="SAPBEXHLevel3 2 2 4" xfId="9163" xr:uid="{96BD6BBE-C2AD-4726-A468-4E19690A4310}"/>
    <cellStyle name="SAPBEXHLevel3 2 2 5" xfId="12884" xr:uid="{47162D60-B6EC-403B-A064-90526353FDE0}"/>
    <cellStyle name="SAPBEXHLevel3 2 3" xfId="3758" xr:uid="{D1DDFD8E-B685-4066-B249-0535FB1C5946}"/>
    <cellStyle name="SAPBEXHLevel3 2 3 2" xfId="6166" xr:uid="{B58B8586-9DD2-4C50-8C76-5CEC5F66A45E}"/>
    <cellStyle name="SAPBEXHLevel3 2 3 2 2" xfId="11608" xr:uid="{0EAF32E8-FAB2-488B-8657-CC870FCDAA9F}"/>
    <cellStyle name="SAPBEXHLevel3 2 3 2 3" xfId="13683" xr:uid="{9081D8D3-D3FB-46C2-9B68-CBBA0DD97034}"/>
    <cellStyle name="SAPBEXHLevel3 2 3 3" xfId="6848" xr:uid="{20DCF3A3-D31F-456E-BF51-2D69D66737F1}"/>
    <cellStyle name="SAPBEXHLevel3 2 3 3 2" xfId="12290" xr:uid="{92124B96-11DC-41A1-B7D8-DA798E726465}"/>
    <cellStyle name="SAPBEXHLevel3 2 3 3 3" xfId="14343" xr:uid="{92B173D1-339B-46E0-BB3F-8F629EC72347}"/>
    <cellStyle name="SAPBEXHLevel3 2 3 4" xfId="9229" xr:uid="{0179E15B-5574-47A3-82F1-B034C748D49F}"/>
    <cellStyle name="SAPBEXHLevel3 2 3 5" xfId="12946" xr:uid="{34BFF655-CC0D-496A-8EBD-C341FDF4395A}"/>
    <cellStyle name="SAPBEXHLevel3 2 4" xfId="3824" xr:uid="{0F9CB81C-E167-44A2-AFA3-7D6D04FF0C9C}"/>
    <cellStyle name="SAPBEXHLevel3 2 4 2" xfId="6231" xr:uid="{A7074ABD-87C1-4989-9ADE-527B3DFA6954}"/>
    <cellStyle name="SAPBEXHLevel3 2 4 2 2" xfId="11673" xr:uid="{904B5B60-991C-469A-BFCB-BD86837BBE81}"/>
    <cellStyle name="SAPBEXHLevel3 2 4 2 3" xfId="13747" xr:uid="{E09F12FB-ADDA-4CB8-9CB7-37DEEE99F935}"/>
    <cellStyle name="SAPBEXHLevel3 2 4 3" xfId="6911" xr:uid="{CC764BDA-D1E4-4035-B81F-16E4D6D6527A}"/>
    <cellStyle name="SAPBEXHLevel3 2 4 3 2" xfId="12353" xr:uid="{44B56ACC-EDC7-46F2-9192-51CA0BBA5790}"/>
    <cellStyle name="SAPBEXHLevel3 2 4 3 3" xfId="14405" xr:uid="{B6438E67-1A7A-4DA9-AEAD-56CA917FB2B3}"/>
    <cellStyle name="SAPBEXHLevel3 2 4 4" xfId="9294" xr:uid="{7E76C310-BD37-4A5A-851F-839F8B82050B}"/>
    <cellStyle name="SAPBEXHLevel3 2 4 5" xfId="13008" xr:uid="{486965EA-24B3-47A7-B1E9-4DDCFCB07244}"/>
    <cellStyle name="SAPBEXHLevel3 2 5" xfId="3909" xr:uid="{080FDF99-91C6-4281-A923-0989D9594C49}"/>
    <cellStyle name="SAPBEXHLevel3 2 5 2" xfId="6314" xr:uid="{59146F2B-97DB-479D-A01B-936E1FFBAE6E}"/>
    <cellStyle name="SAPBEXHLevel3 2 5 2 2" xfId="11756" xr:uid="{8CA6ADAC-812E-4BEB-AF13-AF802531F43F}"/>
    <cellStyle name="SAPBEXHLevel3 2 5 2 3" xfId="13828" xr:uid="{2AACF4A4-FF78-4AFB-A162-580ACCAF994B}"/>
    <cellStyle name="SAPBEXHLevel3 2 5 3" xfId="6992" xr:uid="{531DB2EC-CB3E-4453-BE6E-A06E16A2F9DA}"/>
    <cellStyle name="SAPBEXHLevel3 2 5 3 2" xfId="12434" xr:uid="{D06D0FEA-C931-47F4-8488-4895789E1C9D}"/>
    <cellStyle name="SAPBEXHLevel3 2 5 3 3" xfId="14484" xr:uid="{226F547B-436E-4655-9217-AE9CA34545E7}"/>
    <cellStyle name="SAPBEXHLevel3 2 5 4" xfId="9377" xr:uid="{BA7217C8-F0F5-4B76-838D-CB6A319D18EE}"/>
    <cellStyle name="SAPBEXHLevel3 2 5 5" xfId="13087" xr:uid="{CECDAFB7-9EE2-4B8F-B906-974673385669}"/>
    <cellStyle name="SAPBEXHLevel3 2 6" xfId="3976" xr:uid="{A931F195-919D-4661-BCCB-457CF96BDA8B}"/>
    <cellStyle name="SAPBEXHLevel3 2 6 2" xfId="6379" xr:uid="{88F237F5-5090-48B9-B8F7-BED713C5D1AD}"/>
    <cellStyle name="SAPBEXHLevel3 2 6 2 2" xfId="11821" xr:uid="{B6EE6FCB-56E1-4F79-BE04-2D492A7A9F06}"/>
    <cellStyle name="SAPBEXHLevel3 2 6 2 3" xfId="13892" xr:uid="{F601E7A4-5BA1-41F9-8086-2311ADC11E8A}"/>
    <cellStyle name="SAPBEXHLevel3 2 6 3" xfId="7055" xr:uid="{2242B8F7-1F9A-4AAE-8679-5CF0D39CF1B3}"/>
    <cellStyle name="SAPBEXHLevel3 2 6 3 2" xfId="12497" xr:uid="{362D609F-7B3B-47BF-8375-9BCC0E69EE76}"/>
    <cellStyle name="SAPBEXHLevel3 2 6 3 3" xfId="14546" xr:uid="{3536B8E9-6BC9-4315-BB65-E96AE3E53AB3}"/>
    <cellStyle name="SAPBEXHLevel3 2 6 4" xfId="9442" xr:uid="{9F246909-B29E-4FEC-A2BF-32DC95469593}"/>
    <cellStyle name="SAPBEXHLevel3 2 6 5" xfId="13149" xr:uid="{4E204382-4CFA-4E08-9800-73D79F74C8B1}"/>
    <cellStyle name="SAPBEXHLevel3 2 7" xfId="3610" xr:uid="{F1361805-516E-4ADC-A56B-3F9FED050976}"/>
    <cellStyle name="SAPBEXHLevel3 2 7 2" xfId="6019" xr:uid="{A9B9C1AC-86D9-4537-9567-6168F758CE7C}"/>
    <cellStyle name="SAPBEXHLevel3 2 7 2 2" xfId="11461" xr:uid="{3DE744F8-6EBC-48DE-A484-7A60B9B44F2F}"/>
    <cellStyle name="SAPBEXHLevel3 2 7 2 3" xfId="13543" xr:uid="{55DC0CBD-E2F7-4C61-9E2F-976BA960D41C}"/>
    <cellStyle name="SAPBEXHLevel3 2 7 3" xfId="6703" xr:uid="{B39ABB36-7C3C-4723-B0ED-449335EB210F}"/>
    <cellStyle name="SAPBEXHLevel3 2 7 3 2" xfId="12145" xr:uid="{7BCB96D8-1D86-4F0B-8FB7-225073195826}"/>
    <cellStyle name="SAPBEXHLevel3 2 7 3 3" xfId="14205" xr:uid="{A12C4AEB-9594-44DF-A2CB-72424851FFDB}"/>
    <cellStyle name="SAPBEXHLevel3 2 7 4" xfId="9082" xr:uid="{2D30C4F3-D897-4742-8CD4-04DDC774C9BE}"/>
    <cellStyle name="SAPBEXHLevel3 2 7 5" xfId="12808" xr:uid="{7D1F1757-14B9-4F5B-947E-0A7DB614BDAE}"/>
    <cellStyle name="SAPBEXHLevel3 2 8" xfId="5796" xr:uid="{CCFA0934-428F-4CA2-9050-4DF11DC9D634}"/>
    <cellStyle name="SAPBEXHLevel3 2 8 2" xfId="11238" xr:uid="{C108E8F1-63CB-4B51-BAD9-77B400F99171}"/>
    <cellStyle name="SAPBEXHLevel3 2 8 3" xfId="13442" xr:uid="{77E91395-409F-4AEB-A24A-75BBC3426F95}"/>
    <cellStyle name="SAPBEXHLevel3 2 9" xfId="6594" xr:uid="{0AB9871A-E46E-43F5-B660-42B0561094CB}"/>
    <cellStyle name="SAPBEXHLevel3 2 9 2" xfId="12036" xr:uid="{52C79AC3-18CB-459E-BCB3-F956949933A6}"/>
    <cellStyle name="SAPBEXHLevel3 2 9 3" xfId="14104" xr:uid="{951FFDA2-9921-451D-95E8-3657DA55CE88}"/>
    <cellStyle name="SAPBEXHLevel3 3" xfId="3265" xr:uid="{F6507007-83C2-40F6-A760-B478DBBEE6F3}"/>
    <cellStyle name="SAPBEXHLevel3 3 10" xfId="12706" xr:uid="{37D1DAA9-8D7B-4E90-8D9A-E2CAEFC2FB98}"/>
    <cellStyle name="SAPBEXHLevel3 3 2" xfId="3799" xr:uid="{1FEBBE89-0F98-4284-9599-0418D0FF9E9F}"/>
    <cellStyle name="SAPBEXHLevel3 3 2 2" xfId="6207" xr:uid="{337362BB-A711-4D3C-9AB4-421DE076D330}"/>
    <cellStyle name="SAPBEXHLevel3 3 2 2 2" xfId="11649" xr:uid="{7548C6DC-B7E9-41B5-9181-8E66CB4FBA76}"/>
    <cellStyle name="SAPBEXHLevel3 3 2 2 3" xfId="13724" xr:uid="{A40C833C-CC1D-4360-84A0-83B4961788A8}"/>
    <cellStyle name="SAPBEXHLevel3 3 2 3" xfId="6889" xr:uid="{00B8217A-E979-41F2-A255-E6131528BCB1}"/>
    <cellStyle name="SAPBEXHLevel3 3 2 3 2" xfId="12331" xr:uid="{1F1BA748-BCBF-40B3-BD10-D7C7618A1113}"/>
    <cellStyle name="SAPBEXHLevel3 3 2 3 3" xfId="14384" xr:uid="{77CD5D37-50F5-480B-9263-A9D244507F4C}"/>
    <cellStyle name="SAPBEXHLevel3 3 2 4" xfId="9270" xr:uid="{9404AC33-44C2-4CFD-9097-AD6100774A35}"/>
    <cellStyle name="SAPBEXHLevel3 3 2 5" xfId="12987" xr:uid="{51B6B47F-2BDB-43EE-920C-EB80D590E1CB}"/>
    <cellStyle name="SAPBEXHLevel3 3 3" xfId="3865" xr:uid="{55E88351-D24D-4772-B87A-B7B85E3CBFFB}"/>
    <cellStyle name="SAPBEXHLevel3 3 3 2" xfId="6272" xr:uid="{0021F4C6-C63E-4C7A-AB2C-392F8C806144}"/>
    <cellStyle name="SAPBEXHLevel3 3 3 2 2" xfId="11714" xr:uid="{CA5139C1-CBFD-4ABF-AE6C-CF72D5E16EF2}"/>
    <cellStyle name="SAPBEXHLevel3 3 3 2 3" xfId="13788" xr:uid="{DD01FD1F-6AD1-4801-B0F4-9D48400D13F7}"/>
    <cellStyle name="SAPBEXHLevel3 3 3 3" xfId="6952" xr:uid="{9B17A3A0-2E44-4CD7-A264-EC42E67CA152}"/>
    <cellStyle name="SAPBEXHLevel3 3 3 3 2" xfId="12394" xr:uid="{EB3BA3A4-D9BC-4157-B49C-CBE1276A44FD}"/>
    <cellStyle name="SAPBEXHLevel3 3 3 3 3" xfId="14446" xr:uid="{3B97F8BD-DA70-4A55-AA93-6B77FAA3D2A8}"/>
    <cellStyle name="SAPBEXHLevel3 3 3 4" xfId="9335" xr:uid="{55C41EC7-0DD0-4553-875E-20D94B9DF9A8}"/>
    <cellStyle name="SAPBEXHLevel3 3 3 5" xfId="13049" xr:uid="{B9611363-A00D-45A2-AA4D-E4835C05288A}"/>
    <cellStyle name="SAPBEXHLevel3 3 4" xfId="3950" xr:uid="{453F9866-D18C-4F22-8105-AC5951176501}"/>
    <cellStyle name="SAPBEXHLevel3 3 4 2" xfId="6355" xr:uid="{385538EE-1140-416F-97E3-F467FFDE596C}"/>
    <cellStyle name="SAPBEXHLevel3 3 4 2 2" xfId="11797" xr:uid="{1F3FBDF7-B98D-459A-A792-CA853EF84FCB}"/>
    <cellStyle name="SAPBEXHLevel3 3 4 2 3" xfId="13869" xr:uid="{DA5C79CA-4EFF-4A9D-BBF2-9B4735BEAF97}"/>
    <cellStyle name="SAPBEXHLevel3 3 4 3" xfId="7033" xr:uid="{D85BD614-5523-4F78-AA79-F0ED77F20E29}"/>
    <cellStyle name="SAPBEXHLevel3 3 4 3 2" xfId="12475" xr:uid="{3E343946-6BB8-4DCD-9DA3-97EE196A8103}"/>
    <cellStyle name="SAPBEXHLevel3 3 4 3 3" xfId="14525" xr:uid="{F1AEC72D-3F24-4515-8950-32D837884448}"/>
    <cellStyle name="SAPBEXHLevel3 3 4 4" xfId="9418" xr:uid="{5C588113-9932-4E21-A1C6-4CA89126FB1B}"/>
    <cellStyle name="SAPBEXHLevel3 3 4 5" xfId="13128" xr:uid="{B33A4F33-A420-4918-8D84-FEB634B51153}"/>
    <cellStyle name="SAPBEXHLevel3 3 5" xfId="4017" xr:uid="{32526994-4C32-4510-A454-FC28593D0628}"/>
    <cellStyle name="SAPBEXHLevel3 3 5 2" xfId="6420" xr:uid="{1452BBFF-30E4-4ED7-9FB1-812B32DC2834}"/>
    <cellStyle name="SAPBEXHLevel3 3 5 2 2" xfId="11862" xr:uid="{D21784C9-27A7-4E4D-9BE5-432B909E7460}"/>
    <cellStyle name="SAPBEXHLevel3 3 5 2 3" xfId="13933" xr:uid="{EF037179-E64F-4B95-93AD-806258C604AD}"/>
    <cellStyle name="SAPBEXHLevel3 3 5 3" xfId="7096" xr:uid="{7B88F217-1255-4161-B5CB-7A15BC0EDAAD}"/>
    <cellStyle name="SAPBEXHLevel3 3 5 3 2" xfId="12538" xr:uid="{F4F9E602-5DD1-449C-A782-FEB4E1D149AC}"/>
    <cellStyle name="SAPBEXHLevel3 3 5 3 3" xfId="14587" xr:uid="{9A3F4E9A-D587-45E3-B60B-267C7AC305AA}"/>
    <cellStyle name="SAPBEXHLevel3 3 5 4" xfId="9483" xr:uid="{247190ED-5A3B-4055-AD11-F715051E9A4F}"/>
    <cellStyle name="SAPBEXHLevel3 3 5 5" xfId="13190" xr:uid="{75BF10B5-752D-4C3A-8208-EF5362CDF2C6}"/>
    <cellStyle name="SAPBEXHLevel3 3 6" xfId="3733" xr:uid="{EF587566-050B-4784-A1CC-8965A6709D89}"/>
    <cellStyle name="SAPBEXHLevel3 3 6 2" xfId="6141" xr:uid="{17238E20-29E0-4E62-BE51-0C32C4A27491}"/>
    <cellStyle name="SAPBEXHLevel3 3 6 2 2" xfId="11583" xr:uid="{70D0AE55-1826-46AE-BEA9-5B0AC58FD368}"/>
    <cellStyle name="SAPBEXHLevel3 3 6 2 3" xfId="13660" xr:uid="{803F9BF8-78FD-400C-B317-7CE714E2A46F}"/>
    <cellStyle name="SAPBEXHLevel3 3 6 3" xfId="6825" xr:uid="{37F740FB-9E37-4379-933B-D513BE2A52ED}"/>
    <cellStyle name="SAPBEXHLevel3 3 6 3 2" xfId="12267" xr:uid="{0320898D-B6F7-45B3-8337-4FA5900395EB}"/>
    <cellStyle name="SAPBEXHLevel3 3 6 3 3" xfId="14322" xr:uid="{F05C9361-260A-4D01-9056-DC968A0F1DB4}"/>
    <cellStyle name="SAPBEXHLevel3 3 6 4" xfId="9204" xr:uid="{3FDCA10B-2CF4-4FB8-82C5-B2D387B0D19F}"/>
    <cellStyle name="SAPBEXHLevel3 3 6 5" xfId="12925" xr:uid="{22380269-C968-4E2C-B6AF-9FAA4B7C5ABE}"/>
    <cellStyle name="SAPBEXHLevel3 3 7" xfId="5795" xr:uid="{C3E58E3A-5885-4614-8ACA-2A4F360170B9}"/>
    <cellStyle name="SAPBEXHLevel3 3 7 2" xfId="11237" xr:uid="{A70B55A4-2EE9-4EE2-8624-3E5F490EF9CD}"/>
    <cellStyle name="SAPBEXHLevel3 3 7 3" xfId="13441" xr:uid="{280E6A57-5AEE-4B7E-9D1B-3776FCFFC46A}"/>
    <cellStyle name="SAPBEXHLevel3 3 8" xfId="6593" xr:uid="{2FB3F8E9-5A3B-41F3-8045-78EFD5871237}"/>
    <cellStyle name="SAPBEXHLevel3 3 8 2" xfId="12035" xr:uid="{16B3EB83-22B1-46E6-9DD5-04709491F564}"/>
    <cellStyle name="SAPBEXHLevel3 3 8 3" xfId="14103" xr:uid="{59E0C559-696D-4CF0-B3EB-3D77520CFB0B}"/>
    <cellStyle name="SAPBEXHLevel3 3 9" xfId="8851" xr:uid="{37D9537C-CF09-4BA7-A874-EB5DCFBBEE6B}"/>
    <cellStyle name="SAPBEXHLevel3 4" xfId="3667" xr:uid="{0E330A0B-7C09-47EA-8149-F8E26679F6DF}"/>
    <cellStyle name="SAPBEXHLevel3 4 2" xfId="6075" xr:uid="{26A6848C-A86B-41B7-BD6B-D79C6516F732}"/>
    <cellStyle name="SAPBEXHLevel3 4 2 2" xfId="11517" xr:uid="{B99C42BE-D148-45FF-AB2A-AE093DC13F2F}"/>
    <cellStyle name="SAPBEXHLevel3 4 2 3" xfId="13596" xr:uid="{41F17343-EB01-41B3-8D86-0E90DBDB9383}"/>
    <cellStyle name="SAPBEXHLevel3 4 3" xfId="6759" xr:uid="{3A858352-B0C1-48E4-BC36-9C8E5BDDABCA}"/>
    <cellStyle name="SAPBEXHLevel3 4 3 2" xfId="12201" xr:uid="{7830F7B2-4EF5-4AFA-B338-B5149270F48D}"/>
    <cellStyle name="SAPBEXHLevel3 4 3 3" xfId="14258" xr:uid="{20FB5D27-5E1B-4499-8E9E-D7C4353B1401}"/>
    <cellStyle name="SAPBEXHLevel3 4 4" xfId="9138" xr:uid="{2EA3411D-4CAD-4ADF-92F6-6CC0E6D59D2F}"/>
    <cellStyle name="SAPBEXHLevel3 4 5" xfId="12861" xr:uid="{6F15A560-D261-461E-99B6-E2086DF954DC}"/>
    <cellStyle name="SAPBEXHLevel3 5" xfId="3882" xr:uid="{9D492081-2F86-47DE-89C3-0CA73A3AF0E9}"/>
    <cellStyle name="SAPBEXHLevel3 5 2" xfId="6289" xr:uid="{9419EC80-3580-4FBE-BA1E-58E5780E6870}"/>
    <cellStyle name="SAPBEXHLevel3 5 2 2" xfId="11731" xr:uid="{5501CCB7-6F92-4FAD-B5C4-BEDFADD6277D}"/>
    <cellStyle name="SAPBEXHLevel3 5 2 3" xfId="13805" xr:uid="{21A3AAAE-61B0-45CF-B470-FE9D6664A111}"/>
    <cellStyle name="SAPBEXHLevel3 5 3" xfId="6969" xr:uid="{4CAF1A41-A231-4CEC-B790-E0B251E94177}"/>
    <cellStyle name="SAPBEXHLevel3 5 3 2" xfId="12411" xr:uid="{BBEA22E5-4AEA-470C-8D5B-1BB058C18029}"/>
    <cellStyle name="SAPBEXHLevel3 5 3 3" xfId="14463" xr:uid="{77955FE9-8DC4-4FCC-B276-70F1C79A7B98}"/>
    <cellStyle name="SAPBEXHLevel3 5 4" xfId="9352" xr:uid="{8A27A1F9-0EA3-45DF-8D57-4D03E1F0BA03}"/>
    <cellStyle name="SAPBEXHLevel3 5 5" xfId="13066" xr:uid="{8E7DE874-4D43-451E-9683-1ED4EF26BC65}"/>
    <cellStyle name="SAPBEXHLevel3 6" xfId="3582" xr:uid="{64382336-D827-4C60-8D6F-A0C7F6BA2F29}"/>
    <cellStyle name="SAPBEXHLevel3 6 2" xfId="5993" xr:uid="{4EF555C0-2CDA-4455-B4F2-DFCCB7418F15}"/>
    <cellStyle name="SAPBEXHLevel3 6 2 2" xfId="11435" xr:uid="{CC184FB4-20C2-434C-B968-007BE25A7430}"/>
    <cellStyle name="SAPBEXHLevel3 6 2 3" xfId="13519" xr:uid="{AFAA0AF5-996E-4576-8398-0975FE6BC893}"/>
    <cellStyle name="SAPBEXHLevel3 6 3" xfId="6676" xr:uid="{CC77FE5C-4FA7-4DF8-8D4B-E42285A72AA1}"/>
    <cellStyle name="SAPBEXHLevel3 6 3 2" xfId="12118" xr:uid="{D34E8294-B6E2-4D5B-9490-4AB490D9EC47}"/>
    <cellStyle name="SAPBEXHLevel3 6 3 3" xfId="14180" xr:uid="{71120293-0A0B-46EE-8A40-3F9176AEBB0C}"/>
    <cellStyle name="SAPBEXHLevel3 6 4" xfId="9054" xr:uid="{38FF4EA9-86B0-49BD-A453-125529352799}"/>
    <cellStyle name="SAPBEXHLevel3 6 5" xfId="12783" xr:uid="{9CD353B5-65EB-41FA-970A-23B342C3D367}"/>
    <cellStyle name="SAPBEXHLevel3 7" xfId="4150" xr:uid="{BD485551-02AC-43D0-9C08-AB4DDD67BBAF}"/>
    <cellStyle name="SAPBEXHLevel3 7 2" xfId="9600" xr:uid="{F9E48480-FBD1-4AB7-A397-CD76EF4A65FA}"/>
    <cellStyle name="SAPBEXHLevel3 7 3" xfId="13229" xr:uid="{000A979E-D8B3-40B6-9AC7-85CA53161A3B}"/>
    <cellStyle name="SAPBEXHLevel3 8" xfId="5690" xr:uid="{58759B82-7AA2-44B5-B32D-459AAB3D237C}"/>
    <cellStyle name="SAPBEXHLevel3 8 2" xfId="11132" xr:uid="{6C9EEBC9-4965-4677-87D5-828556DA3D4D}"/>
    <cellStyle name="SAPBEXHLevel3 8 3" xfId="13338" xr:uid="{56E42257-FFCA-495B-A36C-AB24C3CD3A0F}"/>
    <cellStyle name="SAPBEXHLevel3 9" xfId="7218" xr:uid="{8703FD7B-6F30-4823-B8D6-5916341AFAF7}"/>
    <cellStyle name="SAPBEXHLevel3_2014 CLEAResult Invoices" xfId="3267" xr:uid="{54C8C466-2787-4D9C-914A-555F28041940}"/>
    <cellStyle name="SAPBEXHLevel3X" xfId="275" xr:uid="{40F4A693-045C-4B69-89B6-3AE704221D30}"/>
    <cellStyle name="SAPBEXHLevel3X 10" xfId="8714" xr:uid="{C933DFB9-F9CB-4BB4-9418-AF2358C44549}"/>
    <cellStyle name="SAPBEXHLevel3X 2" xfId="3269" xr:uid="{F970A323-11C6-4C18-BB82-21917D3CBB36}"/>
    <cellStyle name="SAPBEXHLevel3X 2 10" xfId="8854" xr:uid="{54BEE527-7E4B-46A5-BE2A-64B12B1D86B1}"/>
    <cellStyle name="SAPBEXHLevel3X 2 11" xfId="12709" xr:uid="{FC1D9086-6098-4012-BA66-36EC9B95FF37}"/>
    <cellStyle name="SAPBEXHLevel3X 2 2" xfId="3270" xr:uid="{6CD03B6F-5670-430A-8652-AAF0B9939A64}"/>
    <cellStyle name="SAPBEXHLevel3X 2 2 2" xfId="3691" xr:uid="{5FE9937C-4CC6-4573-9724-7A97DC7C8EC5}"/>
    <cellStyle name="SAPBEXHLevel3X 2 2 2 2" xfId="6099" xr:uid="{B8ECD828-21CB-4B68-93D0-DC91EB23CE71}"/>
    <cellStyle name="SAPBEXHLevel3X 2 2 2 2 2" xfId="11541" xr:uid="{6343B19B-6A7D-40DE-8FCA-54679EFF225B}"/>
    <cellStyle name="SAPBEXHLevel3X 2 2 2 2 3" xfId="13618" xr:uid="{0DE9DC0B-B30D-4E85-8FB0-6FCDBC7B8377}"/>
    <cellStyle name="SAPBEXHLevel3X 2 2 2 3" xfId="6783" xr:uid="{2AF46AA1-E9CE-4C6B-922D-6F99256AA258}"/>
    <cellStyle name="SAPBEXHLevel3X 2 2 2 3 2" xfId="12225" xr:uid="{B99DC580-AB28-49A9-AB9F-31DE43CCC55B}"/>
    <cellStyle name="SAPBEXHLevel3X 2 2 2 3 3" xfId="14280" xr:uid="{4E4D68FA-DF8B-46FE-BD5E-44B2FF6CE8C8}"/>
    <cellStyle name="SAPBEXHLevel3X 2 2 2 4" xfId="9162" xr:uid="{3C0D2EA5-9A50-495D-90C9-9394DE50389D}"/>
    <cellStyle name="SAPBEXHLevel3X 2 2 2 5" xfId="12883" xr:uid="{28E57EFA-FF75-4001-BC80-5B4CD938FDE4}"/>
    <cellStyle name="SAPBEXHLevel3X 2 2 3" xfId="5799" xr:uid="{F63CE532-ACA4-4D04-A467-E8AD85303D1B}"/>
    <cellStyle name="SAPBEXHLevel3X 2 2 3 2" xfId="11241" xr:uid="{828B888F-9389-4BB0-B56D-C0B08A33F064}"/>
    <cellStyle name="SAPBEXHLevel3X 2 2 3 3" xfId="13445" xr:uid="{1DDA13C9-8051-40D3-B8A5-CCA8AAC2640D}"/>
    <cellStyle name="SAPBEXHLevel3X 2 2 4" xfId="6597" xr:uid="{C25FB423-4A3A-4D4D-A1A7-69B02E8F6A0D}"/>
    <cellStyle name="SAPBEXHLevel3X 2 2 4 2" xfId="12039" xr:uid="{9EB4BC63-FF60-40AA-9C65-FAB58D62C3DE}"/>
    <cellStyle name="SAPBEXHLevel3X 2 2 4 3" xfId="14107" xr:uid="{26FC24B7-69F0-47BC-BE1D-A537CCD65CD1}"/>
    <cellStyle name="SAPBEXHLevel3X 2 2 5" xfId="8855" xr:uid="{6D865076-7122-4099-BDD4-3C25B5F4D077}"/>
    <cellStyle name="SAPBEXHLevel3X 2 2 6" xfId="12710" xr:uid="{D89F6920-F311-4A96-8D2F-B987FEE577E5}"/>
    <cellStyle name="SAPBEXHLevel3X 2 3" xfId="3757" xr:uid="{2F57DCCB-CD4A-454B-BEF1-81A4997ACE2A}"/>
    <cellStyle name="SAPBEXHLevel3X 2 3 2" xfId="6165" xr:uid="{74572124-E37E-4A5E-9D0E-D2559D8D85F4}"/>
    <cellStyle name="SAPBEXHLevel3X 2 3 2 2" xfId="11607" xr:uid="{777C58BE-09F1-4D4B-B523-D60BE9C488E7}"/>
    <cellStyle name="SAPBEXHLevel3X 2 3 2 3" xfId="13682" xr:uid="{7E4ED97A-4085-4DC9-B4B7-89E8BC9C817C}"/>
    <cellStyle name="SAPBEXHLevel3X 2 3 3" xfId="6847" xr:uid="{038A3190-4C77-4D37-8159-271DEB25AB23}"/>
    <cellStyle name="SAPBEXHLevel3X 2 3 3 2" xfId="12289" xr:uid="{5235FEB2-930C-4827-BAE0-41767A1F3048}"/>
    <cellStyle name="SAPBEXHLevel3X 2 3 3 3" xfId="14342" xr:uid="{84ACD39F-AEE7-4EC2-B901-090D9E329FBB}"/>
    <cellStyle name="SAPBEXHLevel3X 2 3 4" xfId="9228" xr:uid="{78F88498-68EA-445A-BFC3-35E04DA99F1F}"/>
    <cellStyle name="SAPBEXHLevel3X 2 3 5" xfId="12945" xr:uid="{8BD4A436-07B5-4A0A-8ECD-D75FCAFE9AE0}"/>
    <cellStyle name="SAPBEXHLevel3X 2 4" xfId="3823" xr:uid="{7D1071D9-D93E-498B-95D9-627B81840415}"/>
    <cellStyle name="SAPBEXHLevel3X 2 4 2" xfId="6230" xr:uid="{88EEDFFA-0127-4B66-AE4A-9AD49DD2DB37}"/>
    <cellStyle name="SAPBEXHLevel3X 2 4 2 2" xfId="11672" xr:uid="{D3D5359C-ADE9-431C-98A4-4AEBDE31D197}"/>
    <cellStyle name="SAPBEXHLevel3X 2 4 2 3" xfId="13746" xr:uid="{84F6B8FE-9AB6-4ECD-8E7C-72A48835CAF8}"/>
    <cellStyle name="SAPBEXHLevel3X 2 4 3" xfId="6910" xr:uid="{3932C966-2F27-4A82-811C-518E6651C873}"/>
    <cellStyle name="SAPBEXHLevel3X 2 4 3 2" xfId="12352" xr:uid="{486EACD1-B6B5-47E9-B323-8964CAF083DF}"/>
    <cellStyle name="SAPBEXHLevel3X 2 4 3 3" xfId="14404" xr:uid="{C1142566-7721-4870-8021-79C76712FAB8}"/>
    <cellStyle name="SAPBEXHLevel3X 2 4 4" xfId="9293" xr:uid="{5B2A3D0E-D255-41FE-8F75-D1A806498D3B}"/>
    <cellStyle name="SAPBEXHLevel3X 2 4 5" xfId="13007" xr:uid="{28B2A1A5-5694-4643-934B-102074D62917}"/>
    <cellStyle name="SAPBEXHLevel3X 2 5" xfId="3908" xr:uid="{40818736-FEE7-4DED-9F76-CFA5E1EE352D}"/>
    <cellStyle name="SAPBEXHLevel3X 2 5 2" xfId="6313" xr:uid="{9965AE27-D935-4E0B-A40A-2AB6B09E1B8E}"/>
    <cellStyle name="SAPBEXHLevel3X 2 5 2 2" xfId="11755" xr:uid="{A1D39897-F0CC-4314-8ACD-CD43BC081402}"/>
    <cellStyle name="SAPBEXHLevel3X 2 5 2 3" xfId="13827" xr:uid="{B12CB508-56EE-4F0F-8AB9-CB492CD4BFDF}"/>
    <cellStyle name="SAPBEXHLevel3X 2 5 3" xfId="6991" xr:uid="{C77883A3-70AC-4C48-A62F-2F6FDA40961D}"/>
    <cellStyle name="SAPBEXHLevel3X 2 5 3 2" xfId="12433" xr:uid="{F4F7B200-9D38-4BE9-B9B7-7193EF001A7F}"/>
    <cellStyle name="SAPBEXHLevel3X 2 5 3 3" xfId="14483" xr:uid="{840362AE-C089-431D-8A24-D7C975127976}"/>
    <cellStyle name="SAPBEXHLevel3X 2 5 4" xfId="9376" xr:uid="{7B60A792-07CA-4463-AC6A-169C330A6354}"/>
    <cellStyle name="SAPBEXHLevel3X 2 5 5" xfId="13086" xr:uid="{30A4BA38-29A8-4538-B708-30F27A05694C}"/>
    <cellStyle name="SAPBEXHLevel3X 2 6" xfId="3975" xr:uid="{BA962271-0CDC-4D10-BB27-C60F3E83FB11}"/>
    <cellStyle name="SAPBEXHLevel3X 2 6 2" xfId="6378" xr:uid="{FFE2D619-9006-424A-813D-2236AB352EDD}"/>
    <cellStyle name="SAPBEXHLevel3X 2 6 2 2" xfId="11820" xr:uid="{7581C431-5887-4501-9EAC-8819E1CB4536}"/>
    <cellStyle name="SAPBEXHLevel3X 2 6 2 3" xfId="13891" xr:uid="{6E71DAE4-8BAE-4896-B096-0EC7107ACA8A}"/>
    <cellStyle name="SAPBEXHLevel3X 2 6 3" xfId="7054" xr:uid="{F6FBBBA8-80EA-4155-B9C1-0F0781F8A44C}"/>
    <cellStyle name="SAPBEXHLevel3X 2 6 3 2" xfId="12496" xr:uid="{F8E30381-CD24-46B5-B8FB-FC3976FEC1D5}"/>
    <cellStyle name="SAPBEXHLevel3X 2 6 3 3" xfId="14545" xr:uid="{FB758193-A2C0-4466-85A4-563D5D4780CE}"/>
    <cellStyle name="SAPBEXHLevel3X 2 6 4" xfId="9441" xr:uid="{CC520CA5-2779-46EF-981D-AE5BB4EBBA7A}"/>
    <cellStyle name="SAPBEXHLevel3X 2 6 5" xfId="13148" xr:uid="{B054280F-B851-4E1B-8531-DF5C8369F275}"/>
    <cellStyle name="SAPBEXHLevel3X 2 7" xfId="3609" xr:uid="{F8857770-5D68-4681-AA76-022BEB4ED020}"/>
    <cellStyle name="SAPBEXHLevel3X 2 7 2" xfId="6018" xr:uid="{8C75F0F6-A6BE-45B1-B8B7-E556603B5B1A}"/>
    <cellStyle name="SAPBEXHLevel3X 2 7 2 2" xfId="11460" xr:uid="{285D26FD-1D75-479A-94A3-22C0D9A4DA09}"/>
    <cellStyle name="SAPBEXHLevel3X 2 7 2 3" xfId="13542" xr:uid="{0711D0B1-4FE2-4142-BA4E-881D46A24007}"/>
    <cellStyle name="SAPBEXHLevel3X 2 7 3" xfId="6702" xr:uid="{D4C16CEE-259E-4A5B-8ED7-9C35B837752E}"/>
    <cellStyle name="SAPBEXHLevel3X 2 7 3 2" xfId="12144" xr:uid="{F4B90726-10BA-4DC3-819B-3D1F9B29EEEC}"/>
    <cellStyle name="SAPBEXHLevel3X 2 7 3 3" xfId="14204" xr:uid="{7AC29239-96D4-4D31-BBE9-FE8947F6E1C1}"/>
    <cellStyle name="SAPBEXHLevel3X 2 7 4" xfId="9081" xr:uid="{C252FC73-0684-4CE5-8B64-3EDCB1108671}"/>
    <cellStyle name="SAPBEXHLevel3X 2 7 5" xfId="12807" xr:uid="{452D13A3-8633-436D-9131-4FC7B6737445}"/>
    <cellStyle name="SAPBEXHLevel3X 2 8" xfId="5798" xr:uid="{A60FFA73-6FC7-4D83-B158-4D89FB863067}"/>
    <cellStyle name="SAPBEXHLevel3X 2 8 2" xfId="11240" xr:uid="{185575DD-0245-457C-B3A1-3A88E6F807D0}"/>
    <cellStyle name="SAPBEXHLevel3X 2 8 3" xfId="13444" xr:uid="{1E50688A-6BEC-48CD-BFA7-EA2D7467AB51}"/>
    <cellStyle name="SAPBEXHLevel3X 2 9" xfId="6596" xr:uid="{61D0138D-B10D-4C2C-B7DB-3A91593386CA}"/>
    <cellStyle name="SAPBEXHLevel3X 2 9 2" xfId="12038" xr:uid="{B8E050BB-B662-4540-BD96-7316F9728673}"/>
    <cellStyle name="SAPBEXHLevel3X 2 9 3" xfId="14106" xr:uid="{9D944596-52FB-4A51-9C81-CC3CA0457D88}"/>
    <cellStyle name="SAPBEXHLevel3X 2_2014 CLEAResult Invoices" xfId="3271" xr:uid="{345CAE6C-2008-496F-8502-E5F6E0DB0763}"/>
    <cellStyle name="SAPBEXHLevel3X 3" xfId="3272" xr:uid="{3BEC47BB-124F-4F51-957E-08A849CABD00}"/>
    <cellStyle name="SAPBEXHLevel3X 3 10" xfId="12711" xr:uid="{77B8A720-9C3D-414A-80A9-82B40E7FD7ED}"/>
    <cellStyle name="SAPBEXHLevel3X 3 2" xfId="3273" xr:uid="{F50F70BA-39FA-4013-A78B-65B5C9745CF5}"/>
    <cellStyle name="SAPBEXHLevel3X 3 2 2" xfId="3274" xr:uid="{0D0690EA-8B78-49AB-AB22-7BC8B17F940C}"/>
    <cellStyle name="SAPBEXHLevel3X 3 2 2 2" xfId="5802" xr:uid="{54BB86AF-EAE0-467C-B803-F341DA9AE858}"/>
    <cellStyle name="SAPBEXHLevel3X 3 2 2 2 2" xfId="11244" xr:uid="{99E31A30-6A3B-45CE-BA99-1AE835E9BB84}"/>
    <cellStyle name="SAPBEXHLevel3X 3 2 2 2 3" xfId="13448" xr:uid="{1171BAE4-319A-42D8-A64C-7DF7B2E269B3}"/>
    <cellStyle name="SAPBEXHLevel3X 3 2 2 3" xfId="6600" xr:uid="{7F6E68A9-1A08-4F37-9134-FAC99B575548}"/>
    <cellStyle name="SAPBEXHLevel3X 3 2 2 3 2" xfId="12042" xr:uid="{4742E2F6-B101-4ED9-AFC0-AC57B9962CD2}"/>
    <cellStyle name="SAPBEXHLevel3X 3 2 2 3 3" xfId="14110" xr:uid="{3828D57D-327E-43DC-B15C-ACBB43C2915B}"/>
    <cellStyle name="SAPBEXHLevel3X 3 2 2 4" xfId="8858" xr:uid="{C58A70EE-116A-40E0-A7C6-D169D871F552}"/>
    <cellStyle name="SAPBEXHLevel3X 3 2 2 5" xfId="12713" xr:uid="{801CFC58-ECA9-4BC9-AD83-DF130C53EC71}"/>
    <cellStyle name="SAPBEXHLevel3X 3 2 3" xfId="3800" xr:uid="{227A3C7C-5FA0-4C68-BC01-FCA03F07285E}"/>
    <cellStyle name="SAPBEXHLevel3X 3 2 3 2" xfId="6208" xr:uid="{5D528B68-0FE9-47CA-972F-F3F168868A58}"/>
    <cellStyle name="SAPBEXHLevel3X 3 2 3 2 2" xfId="11650" xr:uid="{5478447B-FDCD-4A95-A415-5462C1860EB4}"/>
    <cellStyle name="SAPBEXHLevel3X 3 2 3 2 3" xfId="13725" xr:uid="{A4CFAD45-7B9D-45FD-B4A7-4F79660666A2}"/>
    <cellStyle name="SAPBEXHLevel3X 3 2 3 3" xfId="6890" xr:uid="{D2E37F7E-07B4-41D2-B77B-66D5506E06F2}"/>
    <cellStyle name="SAPBEXHLevel3X 3 2 3 3 2" xfId="12332" xr:uid="{D305BF85-9FAC-4277-89CA-97DBCCA9B05F}"/>
    <cellStyle name="SAPBEXHLevel3X 3 2 3 3 3" xfId="14385" xr:uid="{B24C2F48-1F58-4845-8DC2-EE1BA282EF52}"/>
    <cellStyle name="SAPBEXHLevel3X 3 2 3 4" xfId="9271" xr:uid="{338A60EE-9AA3-40A7-B5A0-2530B45177B9}"/>
    <cellStyle name="SAPBEXHLevel3X 3 2 3 5" xfId="12988" xr:uid="{12C34807-B9D9-4B75-8670-F853A0BC169C}"/>
    <cellStyle name="SAPBEXHLevel3X 3 2 4" xfId="5801" xr:uid="{2DEF72C8-E6B6-4A9B-8B8D-80D7402B1A7E}"/>
    <cellStyle name="SAPBEXHLevel3X 3 2 4 2" xfId="11243" xr:uid="{205CFCA2-6D86-4A48-8A32-D43347227CEE}"/>
    <cellStyle name="SAPBEXHLevel3X 3 2 4 3" xfId="13447" xr:uid="{189AE937-4580-4CD5-AA6D-BF04973C714C}"/>
    <cellStyle name="SAPBEXHLevel3X 3 2 5" xfId="6599" xr:uid="{349143C8-B528-42E0-B85C-D46464605270}"/>
    <cellStyle name="SAPBEXHLevel3X 3 2 5 2" xfId="12041" xr:uid="{661908F0-F4ED-4054-833E-0237D44DF480}"/>
    <cellStyle name="SAPBEXHLevel3X 3 2 5 3" xfId="14109" xr:uid="{7A4DBFCF-9509-4D17-A71F-7EEFE78EC5A3}"/>
    <cellStyle name="SAPBEXHLevel3X 3 2 6" xfId="8857" xr:uid="{0E215D2F-38FC-40A8-BBC0-D290FEBCABBD}"/>
    <cellStyle name="SAPBEXHLevel3X 3 2 7" xfId="12712" xr:uid="{73F1DCD2-C7F1-49DC-849A-00BAD888BCED}"/>
    <cellStyle name="SAPBEXHLevel3X 3 3" xfId="3275" xr:uid="{7A213774-B588-4E82-9F74-BB63E1366DFF}"/>
    <cellStyle name="SAPBEXHLevel3X 3 3 2" xfId="3866" xr:uid="{8C5962F7-B04D-4515-B6DF-0D6350A24A54}"/>
    <cellStyle name="SAPBEXHLevel3X 3 3 2 2" xfId="6273" xr:uid="{350F8283-C103-4FCB-B01D-FC3EDE315B63}"/>
    <cellStyle name="SAPBEXHLevel3X 3 3 2 2 2" xfId="11715" xr:uid="{2AFE1BD0-6692-4505-AB6D-686F1539A8B4}"/>
    <cellStyle name="SAPBEXHLevel3X 3 3 2 2 3" xfId="13789" xr:uid="{2823A9A7-FD46-4390-8283-9E05D78F5E61}"/>
    <cellStyle name="SAPBEXHLevel3X 3 3 2 3" xfId="6953" xr:uid="{EF35C014-24D6-45F8-AD30-9776708BA635}"/>
    <cellStyle name="SAPBEXHLevel3X 3 3 2 3 2" xfId="12395" xr:uid="{374FC9C7-EEA8-48C1-A2CA-299CCD861A7B}"/>
    <cellStyle name="SAPBEXHLevel3X 3 3 2 3 3" xfId="14447" xr:uid="{0FD3C923-72C9-4F1A-A305-0D049A8473EB}"/>
    <cellStyle name="SAPBEXHLevel3X 3 3 2 4" xfId="9336" xr:uid="{E3CD1D85-38CC-4F86-BB65-7DB4726718D7}"/>
    <cellStyle name="SAPBEXHLevel3X 3 3 2 5" xfId="13050" xr:uid="{5B979903-D8DD-4C08-AF7F-2AF7922C0456}"/>
    <cellStyle name="SAPBEXHLevel3X 3 3 3" xfId="5803" xr:uid="{F8A46259-729C-44B2-9E49-153F6E50742B}"/>
    <cellStyle name="SAPBEXHLevel3X 3 3 3 2" xfId="11245" xr:uid="{E692B110-C0FE-4E32-8D78-304C0FF0F296}"/>
    <cellStyle name="SAPBEXHLevel3X 3 3 3 3" xfId="13449" xr:uid="{26959E0B-B404-44FE-A379-6AD8AF5FBF3B}"/>
    <cellStyle name="SAPBEXHLevel3X 3 3 4" xfId="6601" xr:uid="{05BADB6E-4543-415A-95EB-EDE574E39623}"/>
    <cellStyle name="SAPBEXHLevel3X 3 3 4 2" xfId="12043" xr:uid="{EC61E084-CBCE-4D5D-BF52-104072529FA3}"/>
    <cellStyle name="SAPBEXHLevel3X 3 3 4 3" xfId="14111" xr:uid="{39BA1972-7604-4299-8C8E-62BC48D5CAD7}"/>
    <cellStyle name="SAPBEXHLevel3X 3 3 5" xfId="8859" xr:uid="{E38D279A-B4DB-48A0-B673-B6D62CCECEA4}"/>
    <cellStyle name="SAPBEXHLevel3X 3 3 6" xfId="12714" xr:uid="{8DE7EAED-157F-43AF-822F-25C722B31F77}"/>
    <cellStyle name="SAPBEXHLevel3X 3 4" xfId="3951" xr:uid="{2D1F133D-190B-4563-924A-64071B80BE0A}"/>
    <cellStyle name="SAPBEXHLevel3X 3 4 2" xfId="6356" xr:uid="{6C698AD5-70FA-4A6D-8A3B-DAAB85D01442}"/>
    <cellStyle name="SAPBEXHLevel3X 3 4 2 2" xfId="11798" xr:uid="{92744D06-007A-4B43-81BE-5E4C746036A4}"/>
    <cellStyle name="SAPBEXHLevel3X 3 4 2 3" xfId="13870" xr:uid="{4EDF6663-B823-4C9E-AD9F-9CACB017A46E}"/>
    <cellStyle name="SAPBEXHLevel3X 3 4 3" xfId="7034" xr:uid="{2B144022-C645-468B-BC96-2E66EB8C90CE}"/>
    <cellStyle name="SAPBEXHLevel3X 3 4 3 2" xfId="12476" xr:uid="{01715503-CE04-4E66-B8EC-6F77A8537B5D}"/>
    <cellStyle name="SAPBEXHLevel3X 3 4 3 3" xfId="14526" xr:uid="{EA610CD8-D522-44E2-AEB2-176B3FE7CB5D}"/>
    <cellStyle name="SAPBEXHLevel3X 3 4 4" xfId="9419" xr:uid="{AFDEE7C5-3E4A-46B4-9185-7CE45B192964}"/>
    <cellStyle name="SAPBEXHLevel3X 3 4 5" xfId="13129" xr:uid="{48BDD376-3BA4-46DD-AF3C-6B2151D48975}"/>
    <cellStyle name="SAPBEXHLevel3X 3 5" xfId="4018" xr:uid="{9E7AF78A-10DB-4E22-A4D8-2DCFDA375E75}"/>
    <cellStyle name="SAPBEXHLevel3X 3 5 2" xfId="6421" xr:uid="{30846F19-D4E9-4341-8D35-456F2F08B5D4}"/>
    <cellStyle name="SAPBEXHLevel3X 3 5 2 2" xfId="11863" xr:uid="{E60A7CBC-F05C-4D80-900B-A8A643EB6BD8}"/>
    <cellStyle name="SAPBEXHLevel3X 3 5 2 3" xfId="13934" xr:uid="{79B85D8B-447C-47CC-B4EC-72CBAF898E67}"/>
    <cellStyle name="SAPBEXHLevel3X 3 5 3" xfId="7097" xr:uid="{1126BAD1-B3C5-4E55-B008-5586866A5A13}"/>
    <cellStyle name="SAPBEXHLevel3X 3 5 3 2" xfId="12539" xr:uid="{9002B4C6-50BD-458A-896D-CD15BE7AC10A}"/>
    <cellStyle name="SAPBEXHLevel3X 3 5 3 3" xfId="14588" xr:uid="{B2BB5D64-B0F8-482E-B9F4-E5D4FB2D1E44}"/>
    <cellStyle name="SAPBEXHLevel3X 3 5 4" xfId="9484" xr:uid="{F9EC759A-2F62-4E3D-BD36-29ABD7627B27}"/>
    <cellStyle name="SAPBEXHLevel3X 3 5 5" xfId="13191" xr:uid="{96504270-FDE2-4F24-BC51-D517BA230548}"/>
    <cellStyle name="SAPBEXHLevel3X 3 6" xfId="3734" xr:uid="{62C0F423-CEAF-40AE-88C7-B58D8A49412F}"/>
    <cellStyle name="SAPBEXHLevel3X 3 6 2" xfId="6142" xr:uid="{088137EA-9860-4EB9-AE3B-10890372E8E6}"/>
    <cellStyle name="SAPBEXHLevel3X 3 6 2 2" xfId="11584" xr:uid="{1EA40ABF-3997-404D-9DB0-AC40A4341686}"/>
    <cellStyle name="SAPBEXHLevel3X 3 6 2 3" xfId="13661" xr:uid="{3714FA6E-5DDE-4FCE-ADFD-D410A4E8859A}"/>
    <cellStyle name="SAPBEXHLevel3X 3 6 3" xfId="6826" xr:uid="{2C73CE3D-0AAF-4FB4-A24A-FEA684DC843A}"/>
    <cellStyle name="SAPBEXHLevel3X 3 6 3 2" xfId="12268" xr:uid="{0EF97FAA-E3E4-4B07-BA35-A97DEE89C297}"/>
    <cellStyle name="SAPBEXHLevel3X 3 6 3 3" xfId="14323" xr:uid="{549321B4-49C9-48B2-B181-D3ADCBD50967}"/>
    <cellStyle name="SAPBEXHLevel3X 3 6 4" xfId="9205" xr:uid="{A2EC1186-AC0F-4966-9938-A3C95B502AE4}"/>
    <cellStyle name="SAPBEXHLevel3X 3 6 5" xfId="12926" xr:uid="{CC43FD3C-72C5-474C-91A9-145E3DA4F1B2}"/>
    <cellStyle name="SAPBEXHLevel3X 3 7" xfId="5800" xr:uid="{1184AB5A-17C9-4C86-98A5-F8BC9A0E1CF7}"/>
    <cellStyle name="SAPBEXHLevel3X 3 7 2" xfId="11242" xr:uid="{BED42B85-679F-400F-88E7-D54FA95BF06F}"/>
    <cellStyle name="SAPBEXHLevel3X 3 7 3" xfId="13446" xr:uid="{7B5F7C56-2D35-4EFA-9A5D-6E8BD4EC47AE}"/>
    <cellStyle name="SAPBEXHLevel3X 3 8" xfId="6598" xr:uid="{C6D493E4-928F-499E-9044-413A36133CBE}"/>
    <cellStyle name="SAPBEXHLevel3X 3 8 2" xfId="12040" xr:uid="{0BD06EE1-3631-4225-9779-C2AB89242320}"/>
    <cellStyle name="SAPBEXHLevel3X 3 8 3" xfId="14108" xr:uid="{61369F07-D062-4160-A0F8-CCCB2BF265AC}"/>
    <cellStyle name="SAPBEXHLevel3X 3 9" xfId="8856" xr:uid="{D33C040A-D9EA-4AF5-8D63-CDFFD73BF74B}"/>
    <cellStyle name="SAPBEXHLevel3X 3_2014 CLEAResult Invoices" xfId="3276" xr:uid="{5733D5F8-47C2-4920-9F7D-B60A9E664D0A}"/>
    <cellStyle name="SAPBEXHLevel3X 4" xfId="3277" xr:uid="{13140067-AB95-4931-BF49-F3029122D627}"/>
    <cellStyle name="SAPBEXHLevel3X 4 2" xfId="3668" xr:uid="{42E484F3-B02E-48EC-8034-35A079FBD252}"/>
    <cellStyle name="SAPBEXHLevel3X 4 2 2" xfId="6076" xr:uid="{CA7091D0-8E09-45D0-911D-BBB4389E69ED}"/>
    <cellStyle name="SAPBEXHLevel3X 4 2 2 2" xfId="11518" xr:uid="{CF537E92-F8C1-4DFC-8EDD-9E569F52E511}"/>
    <cellStyle name="SAPBEXHLevel3X 4 2 2 3" xfId="13597" xr:uid="{E511CBD2-7FB1-4898-AEE1-00263C25F3C3}"/>
    <cellStyle name="SAPBEXHLevel3X 4 2 3" xfId="6760" xr:uid="{2C2E19B6-5F43-4CF0-925C-8DDFEED39A90}"/>
    <cellStyle name="SAPBEXHLevel3X 4 2 3 2" xfId="12202" xr:uid="{99EE0BF2-F7AB-4A7C-BE0C-53D65C11467C}"/>
    <cellStyle name="SAPBEXHLevel3X 4 2 3 3" xfId="14259" xr:uid="{096BF6E5-77F0-403E-8E6F-835816FD2A13}"/>
    <cellStyle name="SAPBEXHLevel3X 4 2 4" xfId="9139" xr:uid="{90A3381E-E3E7-415F-AC20-A3E019F2ABDE}"/>
    <cellStyle name="SAPBEXHLevel3X 4 2 5" xfId="12862" xr:uid="{820A89C1-A1A6-494E-9DAA-3E480BD6FC97}"/>
    <cellStyle name="SAPBEXHLevel3X 4 3" xfId="5804" xr:uid="{42C9B767-9B93-41C3-BCD3-7ACAC773EC09}"/>
    <cellStyle name="SAPBEXHLevel3X 4 3 2" xfId="11246" xr:uid="{E63F66BC-D9C0-49E9-B121-9FD381FA6112}"/>
    <cellStyle name="SAPBEXHLevel3X 4 3 3" xfId="13450" xr:uid="{BBB8D352-2721-4F8D-AE55-49DFDA7A319F}"/>
    <cellStyle name="SAPBEXHLevel3X 4 4" xfId="6602" xr:uid="{12CBDDB1-88E5-49F2-8CB2-347F1261ECB8}"/>
    <cellStyle name="SAPBEXHLevel3X 4 4 2" xfId="12044" xr:uid="{BA2638FE-803C-4AE6-97B6-0D20F9BEFB01}"/>
    <cellStyle name="SAPBEXHLevel3X 4 4 3" xfId="14112" xr:uid="{140295E7-C411-4B88-9A55-CBF44E608A6C}"/>
    <cellStyle name="SAPBEXHLevel3X 4 5" xfId="8860" xr:uid="{D0CBBA4E-9329-4CBC-8075-6F1C457F448A}"/>
    <cellStyle name="SAPBEXHLevel3X 4 6" xfId="12715" xr:uid="{5AC83BF8-6E39-4873-9568-95A46D57B2CA}"/>
    <cellStyle name="SAPBEXHLevel3X 5" xfId="3268" xr:uid="{B30C617C-F56E-4346-A74C-8CA259F6D76A}"/>
    <cellStyle name="SAPBEXHLevel3X 5 2" xfId="3883" xr:uid="{D4D1B6A5-CEE5-48FE-BC94-699909C0FB72}"/>
    <cellStyle name="SAPBEXHLevel3X 5 2 2" xfId="6290" xr:uid="{4B9F5BFA-6F2B-49D8-9B95-12AFD580BC62}"/>
    <cellStyle name="SAPBEXHLevel3X 5 2 2 2" xfId="11732" xr:uid="{0810BCD2-CE0B-4E6F-B5AA-DA02CB46D355}"/>
    <cellStyle name="SAPBEXHLevel3X 5 2 2 3" xfId="13806" xr:uid="{1DD660D6-E7F6-46F9-9F0A-CBABA8DD0741}"/>
    <cellStyle name="SAPBEXHLevel3X 5 2 3" xfId="6970" xr:uid="{F957B870-9578-479C-8F2E-96C8A1A26870}"/>
    <cellStyle name="SAPBEXHLevel3X 5 2 3 2" xfId="12412" xr:uid="{2C0439EB-2842-40C4-9420-DCE0E07DF141}"/>
    <cellStyle name="SAPBEXHLevel3X 5 2 3 3" xfId="14464" xr:uid="{CD3B0E37-0E42-4289-98D1-F206C2E39803}"/>
    <cellStyle name="SAPBEXHLevel3X 5 2 4" xfId="9353" xr:uid="{0503083E-6B67-4ABD-A2D5-B2AFB30A2750}"/>
    <cellStyle name="SAPBEXHLevel3X 5 2 5" xfId="13067" xr:uid="{322E6167-EF33-473D-BF6C-EC6FC84B3947}"/>
    <cellStyle name="SAPBEXHLevel3X 5 3" xfId="5797" xr:uid="{300DFA23-1D5E-443B-9431-573666A89078}"/>
    <cellStyle name="SAPBEXHLevel3X 5 3 2" xfId="11239" xr:uid="{EDEFA634-4A5C-422D-9741-A219DB70D4D3}"/>
    <cellStyle name="SAPBEXHLevel3X 5 3 3" xfId="13443" xr:uid="{BAF8A5DA-9B12-4F69-9E8B-6870639CFAD8}"/>
    <cellStyle name="SAPBEXHLevel3X 5 4" xfId="6595" xr:uid="{2EA20A25-BA66-414F-9E34-9B1A259C7D64}"/>
    <cellStyle name="SAPBEXHLevel3X 5 4 2" xfId="12037" xr:uid="{F8558716-AF6E-4FB7-A05A-4136387CB31D}"/>
    <cellStyle name="SAPBEXHLevel3X 5 4 3" xfId="14105" xr:uid="{A5D240D2-FAE0-4D0F-82D8-B3C302B859F0}"/>
    <cellStyle name="SAPBEXHLevel3X 5 5" xfId="8853" xr:uid="{65800DBE-2374-48BB-B828-B11774029D3B}"/>
    <cellStyle name="SAPBEXHLevel3X 5 6" xfId="12708" xr:uid="{C1A66CE7-4C6A-41FB-B40E-FFF222FEFE91}"/>
    <cellStyle name="SAPBEXHLevel3X 6" xfId="3583" xr:uid="{4AB1514E-8A89-46DF-8103-51964D7916C2}"/>
    <cellStyle name="SAPBEXHLevel3X 6 2" xfId="5994" xr:uid="{C038822E-ECB3-44F9-8225-04672625205D}"/>
    <cellStyle name="SAPBEXHLevel3X 6 2 2" xfId="11436" xr:uid="{E837990F-F261-4D34-A118-0A40766C216F}"/>
    <cellStyle name="SAPBEXHLevel3X 6 2 3" xfId="13520" xr:uid="{0E8E899B-7ED4-4FA5-9D18-0337665BF9D8}"/>
    <cellStyle name="SAPBEXHLevel3X 6 3" xfId="6677" xr:uid="{28B0E5E3-5F18-471E-B4FF-BA74BD34C3C4}"/>
    <cellStyle name="SAPBEXHLevel3X 6 3 2" xfId="12119" xr:uid="{ADA80383-7E1E-4F4C-9D50-8724F1AEDD7E}"/>
    <cellStyle name="SAPBEXHLevel3X 6 3 3" xfId="14181" xr:uid="{6A77138C-E37D-4D12-BE86-FEA0AD207ED6}"/>
    <cellStyle name="SAPBEXHLevel3X 6 4" xfId="9055" xr:uid="{59DE7269-FE35-47B3-BA5B-239BB973C384}"/>
    <cellStyle name="SAPBEXHLevel3X 6 5" xfId="12784" xr:uid="{E54EB4EC-D79C-407A-A241-835AF5539212}"/>
    <cellStyle name="SAPBEXHLevel3X 7" xfId="4151" xr:uid="{E91705BB-D0B2-48A6-BBE8-58EEF200D8E0}"/>
    <cellStyle name="SAPBEXHLevel3X 7 2" xfId="9601" xr:uid="{B331E6D0-0CEA-4EBE-84EC-B83B83876052}"/>
    <cellStyle name="SAPBEXHLevel3X 7 3" xfId="13230" xr:uid="{33D09F29-6A82-4EAF-A545-431EF6E18BB7}"/>
    <cellStyle name="SAPBEXHLevel3X 8" xfId="5687" xr:uid="{62379BF0-9368-48E9-B610-CC42D16E9710}"/>
    <cellStyle name="SAPBEXHLevel3X 8 2" xfId="11129" xr:uid="{CDC81FD6-BDCA-4A60-AA4F-AC16AFA77890}"/>
    <cellStyle name="SAPBEXHLevel3X 8 3" xfId="13335" xr:uid="{5EBD81D1-80B2-4EDC-92A1-59E9F74C5C72}"/>
    <cellStyle name="SAPBEXHLevel3X 9" xfId="7219" xr:uid="{006EB39E-8A34-42C3-AB79-2F55BA11774E}"/>
    <cellStyle name="SAPBEXHLevel3X_2014 CLEAResult Invoices" xfId="3278" xr:uid="{4028DFCC-31EB-4776-989A-0806D5B5427B}"/>
    <cellStyle name="SAPBEXinputData" xfId="3279" xr:uid="{DDFE79A8-869A-41D8-B5BE-332F3C257043}"/>
    <cellStyle name="SAPBEXinputData 2" xfId="3280" xr:uid="{F44E7B94-E43E-47EC-B1A5-E806FE40B3A8}"/>
    <cellStyle name="SAPBEXinputData 2 2" xfId="5806" xr:uid="{B82F983C-E6F6-4569-84DE-9B2227AD7F9C}"/>
    <cellStyle name="SAPBEXinputData 2 2 2" xfId="11248" xr:uid="{369534C9-7334-4199-A938-761FB3718F8B}"/>
    <cellStyle name="SAPBEXinputData 2 3" xfId="6604" xr:uid="{D2E0636C-7EDD-4F50-816D-702429B334B2}"/>
    <cellStyle name="SAPBEXinputData 2 3 2" xfId="12046" xr:uid="{F614A9DB-C230-4B5A-8C28-83FCC45F8921}"/>
    <cellStyle name="SAPBEXinputData 2 4" xfId="8862" xr:uid="{335EC1BD-5722-4C6C-A460-26410832A3C0}"/>
    <cellStyle name="SAPBEXinputData 3" xfId="3281" xr:uid="{BD661437-8F76-4633-9021-8AC196F45A90}"/>
    <cellStyle name="SAPBEXinputData 3 2" xfId="3282" xr:uid="{1A34C7F5-CBA8-42B6-9A76-59FFF2A4405E}"/>
    <cellStyle name="SAPBEXinputData 3 2 2" xfId="3283" xr:uid="{1241360B-E0B3-49F3-B3D8-47FC0D5501DC}"/>
    <cellStyle name="SAPBEXinputData 3 2 2 2" xfId="5809" xr:uid="{D94E1F3C-E8F8-4DB2-B20C-3D437A5AF69D}"/>
    <cellStyle name="SAPBEXinputData 3 2 2 2 2" xfId="11251" xr:uid="{C4AD2061-5731-4E74-8067-F257FA0D735C}"/>
    <cellStyle name="SAPBEXinputData 3 2 2 3" xfId="6607" xr:uid="{B9BB8BAD-29E8-4E7B-B670-18740C226D2B}"/>
    <cellStyle name="SAPBEXinputData 3 2 2 3 2" xfId="12049" xr:uid="{0B1BF7A1-0674-4DAB-AA4B-5FAA925CA33A}"/>
    <cellStyle name="SAPBEXinputData 3 2 2 4" xfId="8865" xr:uid="{E5EC2FB9-58FF-450F-B56D-F325EB811581}"/>
    <cellStyle name="SAPBEXinputData 3 2 3" xfId="5808" xr:uid="{013DC109-17EC-4B13-8025-8CF148B33FDC}"/>
    <cellStyle name="SAPBEXinputData 3 2 3 2" xfId="11250" xr:uid="{F10CB7F0-C59E-4A4B-9B7D-659CD1FC8037}"/>
    <cellStyle name="SAPBEXinputData 3 2 4" xfId="6606" xr:uid="{0E4B15FC-BAC8-4192-9367-356128DEF9AF}"/>
    <cellStyle name="SAPBEXinputData 3 2 4 2" xfId="12048" xr:uid="{36B4790D-B65F-46E6-8B38-6B144F07A110}"/>
    <cellStyle name="SAPBEXinputData 3 2 5" xfId="8864" xr:uid="{E5BE2645-9C80-45BC-A5CF-38C40E1BB3C0}"/>
    <cellStyle name="SAPBEXinputData 3 3" xfId="5807" xr:uid="{B4730BEA-0879-435F-A667-A5D6DE63B702}"/>
    <cellStyle name="SAPBEXinputData 3 3 2" xfId="11249" xr:uid="{BF5F7065-29B6-4EB6-8B05-739589B1DBAB}"/>
    <cellStyle name="SAPBEXinputData 3 4" xfId="6605" xr:uid="{B17745A7-7FB4-4910-BCF6-5C3B15F88190}"/>
    <cellStyle name="SAPBEXinputData 3 4 2" xfId="12047" xr:uid="{92C680A5-D279-4821-BC0F-8454D3CB86A2}"/>
    <cellStyle name="SAPBEXinputData 3 5" xfId="8863" xr:uid="{289936A2-E0BC-4921-9A74-0525D93E9AC6}"/>
    <cellStyle name="SAPBEXinputData 3_2014 CLEAResult Invoices" xfId="3284" xr:uid="{BF03D262-FB57-4CA1-B67F-7CBF60494178}"/>
    <cellStyle name="SAPBEXinputData 4" xfId="5805" xr:uid="{7E3D2503-BA16-4FCC-8148-2A3531912AEE}"/>
    <cellStyle name="SAPBEXinputData 4 2" xfId="11247" xr:uid="{687E3A81-547A-4529-BC7B-7C16A6D05DFB}"/>
    <cellStyle name="SAPBEXinputData 5" xfId="6603" xr:uid="{434FA737-BA57-424B-BE17-833A11581C44}"/>
    <cellStyle name="SAPBEXinputData 5 2" xfId="12045" xr:uid="{FCE63271-5511-4FB7-911D-040159C34508}"/>
    <cellStyle name="SAPBEXinputData 6" xfId="8861" xr:uid="{F8BAAC7D-962B-414B-8A67-BF2A22B53107}"/>
    <cellStyle name="SAPBEXItemHeader" xfId="3285" xr:uid="{B5FA8F68-AAEF-40EE-92E6-7ECD2A436FA8}"/>
    <cellStyle name="SAPBEXItemHeader 2" xfId="3286" xr:uid="{D1B7B840-C622-44BE-94E3-9D9F9E456A81}"/>
    <cellStyle name="SAPBEXItemHeader 2 2" xfId="5811" xr:uid="{49B07CA5-5735-4CC1-9C8E-009146B1E6A0}"/>
    <cellStyle name="SAPBEXItemHeader 2 2 2" xfId="11253" xr:uid="{EBC8998B-A301-4150-9188-D03199F9D697}"/>
    <cellStyle name="SAPBEXItemHeader 2 2 3" xfId="13452" xr:uid="{0F100663-D2D8-4AAB-8D03-191F25D78829}"/>
    <cellStyle name="SAPBEXItemHeader 2 3" xfId="6609" xr:uid="{68CF4E7A-3F3C-4F52-AE7C-13F5AFE4C3D7}"/>
    <cellStyle name="SAPBEXItemHeader 2 3 2" xfId="12051" xr:uid="{923AC3EE-C081-41F4-88E5-99119AAC2FFC}"/>
    <cellStyle name="SAPBEXItemHeader 2 3 3" xfId="14114" xr:uid="{865FAE45-58E2-4F40-A752-058306695CB3}"/>
    <cellStyle name="SAPBEXItemHeader 2 4" xfId="8867" xr:uid="{2CAEA21F-1500-44F7-9525-4C0D7262368D}"/>
    <cellStyle name="SAPBEXItemHeader 2 5" xfId="12717" xr:uid="{1FF3DAE8-C001-45E3-8089-301197C40165}"/>
    <cellStyle name="SAPBEXItemHeader 3" xfId="5810" xr:uid="{48B81B4C-6B80-4B31-868D-D58B036E4E64}"/>
    <cellStyle name="SAPBEXItemHeader 3 2" xfId="11252" xr:uid="{98D851DC-B0A9-41A7-B88E-C28A5EE931A5}"/>
    <cellStyle name="SAPBEXItemHeader 3 3" xfId="13451" xr:uid="{9D02D4FB-88CA-4FF1-9751-15771E5434AB}"/>
    <cellStyle name="SAPBEXItemHeader 4" xfId="6608" xr:uid="{75C78619-9B73-4CC5-AAD8-C1C0DAD93D7C}"/>
    <cellStyle name="SAPBEXItemHeader 4 2" xfId="12050" xr:uid="{13270BF6-3863-4552-B541-43D0DE5411D1}"/>
    <cellStyle name="SAPBEXItemHeader 4 3" xfId="14113" xr:uid="{F65C6407-39DD-44B6-AA2B-68E4A4126D2F}"/>
    <cellStyle name="SAPBEXItemHeader 5" xfId="8866" xr:uid="{5EFBE426-3DB3-4F56-8DE3-538C61DE8710}"/>
    <cellStyle name="SAPBEXItemHeader 6" xfId="12716" xr:uid="{8848D243-9C09-4903-91AB-0608983A4238}"/>
    <cellStyle name="SAPBEXresData" xfId="276" xr:uid="{67966F34-776D-4540-802F-97F64C174E68}"/>
    <cellStyle name="SAPBEXresData 10" xfId="8713" xr:uid="{CFD78294-23FB-42DE-91E8-2DAA18D7E9CE}"/>
    <cellStyle name="SAPBEXresData 2" xfId="3288" xr:uid="{EEAA3615-A202-4481-9B8D-31419C1BF359}"/>
    <cellStyle name="SAPBEXresData 2 10" xfId="8869" xr:uid="{8CA1F86E-F4FE-4BDA-9813-A94FD91A31DD}"/>
    <cellStyle name="SAPBEXresData 2 11" xfId="12719" xr:uid="{E8A616A1-A58E-4175-8CD6-6D5D838B1265}"/>
    <cellStyle name="SAPBEXresData 2 2" xfId="3690" xr:uid="{F39F0E36-D9BF-4C4F-9AAC-9922375572E3}"/>
    <cellStyle name="SAPBEXresData 2 2 2" xfId="6098" xr:uid="{7E1FB580-510A-4FA0-B15B-96F8194A753B}"/>
    <cellStyle name="SAPBEXresData 2 2 2 2" xfId="11540" xr:uid="{52CDB0B3-7BE9-499B-BB17-A34C5FB2CC08}"/>
    <cellStyle name="SAPBEXresData 2 2 2 3" xfId="13617" xr:uid="{516CE996-9373-40FE-BC45-CF2F8F4FE18A}"/>
    <cellStyle name="SAPBEXresData 2 2 3" xfId="6782" xr:uid="{83DAEFBE-F4C3-4E1B-97D2-8BEA65B1C1AC}"/>
    <cellStyle name="SAPBEXresData 2 2 3 2" xfId="12224" xr:uid="{D98D9F49-0060-4746-893C-C115A0AE42AB}"/>
    <cellStyle name="SAPBEXresData 2 2 3 3" xfId="14279" xr:uid="{2C4691EA-BF80-4E5E-B777-35E22F0312EF}"/>
    <cellStyle name="SAPBEXresData 2 2 4" xfId="9161" xr:uid="{98C03E77-73E6-4669-B970-747882EF579E}"/>
    <cellStyle name="SAPBEXresData 2 2 5" xfId="12882" xr:uid="{8AFB16CD-9C08-454E-A714-CE061D444A96}"/>
    <cellStyle name="SAPBEXresData 2 3" xfId="3756" xr:uid="{937A3B54-C565-4A17-9E6E-3B3473554991}"/>
    <cellStyle name="SAPBEXresData 2 3 2" xfId="6164" xr:uid="{43683578-EA9E-4CCF-A685-80F956EF48FE}"/>
    <cellStyle name="SAPBEXresData 2 3 2 2" xfId="11606" xr:uid="{2B44F7E7-3042-4E5A-9D9E-195C1BD56D61}"/>
    <cellStyle name="SAPBEXresData 2 3 2 3" xfId="13681" xr:uid="{BA18C57B-22B6-40DE-8513-C52C39CE33C8}"/>
    <cellStyle name="SAPBEXresData 2 3 3" xfId="6846" xr:uid="{7673AF29-1445-4B94-B593-08DD01779BCF}"/>
    <cellStyle name="SAPBEXresData 2 3 3 2" xfId="12288" xr:uid="{BB5A4F85-ED42-4B8F-B36D-140EA6424FAC}"/>
    <cellStyle name="SAPBEXresData 2 3 3 3" xfId="14341" xr:uid="{636A89A2-3738-453F-8131-A20DEFAB3C99}"/>
    <cellStyle name="SAPBEXresData 2 3 4" xfId="9227" xr:uid="{0F4EFA69-B285-4B11-9C63-75EB7BE2F9D7}"/>
    <cellStyle name="SAPBEXresData 2 3 5" xfId="12944" xr:uid="{7F180474-B6B9-43BD-8B0A-2A093E0DD86C}"/>
    <cellStyle name="SAPBEXresData 2 4" xfId="3822" xr:uid="{0A41D4AF-3F0D-4EB3-8D20-63A66E6522EA}"/>
    <cellStyle name="SAPBEXresData 2 4 2" xfId="6229" xr:uid="{1EC7397A-321F-4A85-B15D-9B7BB7420767}"/>
    <cellStyle name="SAPBEXresData 2 4 2 2" xfId="11671" xr:uid="{9897A582-31CB-4608-B8A6-481F8D36091B}"/>
    <cellStyle name="SAPBEXresData 2 4 2 3" xfId="13745" xr:uid="{2C9D8FD4-DF38-4B0E-8078-313BEB25C8BC}"/>
    <cellStyle name="SAPBEXresData 2 4 3" xfId="6909" xr:uid="{BA3C749E-03C9-4267-A5FA-AA56ACCEFC8F}"/>
    <cellStyle name="SAPBEXresData 2 4 3 2" xfId="12351" xr:uid="{9192CD42-BCC2-4279-A38C-C0E5E5710490}"/>
    <cellStyle name="SAPBEXresData 2 4 3 3" xfId="14403" xr:uid="{CFECA664-6C05-4B21-85C7-4F9A6B4C13EB}"/>
    <cellStyle name="SAPBEXresData 2 4 4" xfId="9292" xr:uid="{0FCD0B70-BD8D-4421-8D92-C6608922BDF4}"/>
    <cellStyle name="SAPBEXresData 2 4 5" xfId="13006" xr:uid="{1ABF00F2-A3C0-4EC8-861A-4216C5625662}"/>
    <cellStyle name="SAPBEXresData 2 5" xfId="3907" xr:uid="{D22B77C4-06A7-40A6-B43F-F27B99F77178}"/>
    <cellStyle name="SAPBEXresData 2 5 2" xfId="6312" xr:uid="{5621F0B2-51EC-4F34-A5E7-ED746F09FE61}"/>
    <cellStyle name="SAPBEXresData 2 5 2 2" xfId="11754" xr:uid="{2EB61EE3-B360-4328-AE90-0CC0A5CDCE3B}"/>
    <cellStyle name="SAPBEXresData 2 5 2 3" xfId="13826" xr:uid="{31BD9492-2CE8-4A8A-AFF6-E4CEEF3CA263}"/>
    <cellStyle name="SAPBEXresData 2 5 3" xfId="6990" xr:uid="{1A3C6A3A-46AA-42F3-837A-A464593ED8E9}"/>
    <cellStyle name="SAPBEXresData 2 5 3 2" xfId="12432" xr:uid="{4BEAA57B-F8F7-4C49-BA6F-CC1C56A84892}"/>
    <cellStyle name="SAPBEXresData 2 5 3 3" xfId="14482" xr:uid="{F9572497-F9FF-45EE-830E-EB17D7FCA14D}"/>
    <cellStyle name="SAPBEXresData 2 5 4" xfId="9375" xr:uid="{3F75E8CF-D8EA-4307-AD52-3ECCF601D54D}"/>
    <cellStyle name="SAPBEXresData 2 5 5" xfId="13085" xr:uid="{65313FD6-673F-443C-9CC0-F163B087FBC7}"/>
    <cellStyle name="SAPBEXresData 2 6" xfId="3974" xr:uid="{CA3B043D-09B8-4096-A721-06316AE05DDE}"/>
    <cellStyle name="SAPBEXresData 2 6 2" xfId="6377" xr:uid="{9C48094D-B315-41BD-9646-7CD9CCA08FDE}"/>
    <cellStyle name="SAPBEXresData 2 6 2 2" xfId="11819" xr:uid="{E563F00A-A207-4B8F-95B1-D63624066045}"/>
    <cellStyle name="SAPBEXresData 2 6 2 3" xfId="13890" xr:uid="{4EC72429-2B9C-47F0-A15A-E3F19996451B}"/>
    <cellStyle name="SAPBEXresData 2 6 3" xfId="7053" xr:uid="{7983C64C-2EA7-4000-A48B-7F156427E65F}"/>
    <cellStyle name="SAPBEXresData 2 6 3 2" xfId="12495" xr:uid="{08FAE979-ADB5-48A1-866D-E57E7B4DDA91}"/>
    <cellStyle name="SAPBEXresData 2 6 3 3" xfId="14544" xr:uid="{975D3CB7-0DBC-4454-8D23-810296440D11}"/>
    <cellStyle name="SAPBEXresData 2 6 4" xfId="9440" xr:uid="{D7C9EAD9-2B3B-4613-900C-5FDC906BE25D}"/>
    <cellStyle name="SAPBEXresData 2 6 5" xfId="13147" xr:uid="{7606384B-B43F-479F-9940-93C1CEEB96C7}"/>
    <cellStyle name="SAPBEXresData 2 7" xfId="3608" xr:uid="{1318729C-F2C1-4740-A05C-AD9525461AB3}"/>
    <cellStyle name="SAPBEXresData 2 7 2" xfId="6017" xr:uid="{36A3B19E-64C3-4164-9463-3B98FAF2D12B}"/>
    <cellStyle name="SAPBEXresData 2 7 2 2" xfId="11459" xr:uid="{4D60BA25-799A-425B-A163-7518FDFDA95D}"/>
    <cellStyle name="SAPBEXresData 2 7 2 3" xfId="13541" xr:uid="{FEDC5B3C-8E86-4286-AC80-A51BC351EE5B}"/>
    <cellStyle name="SAPBEXresData 2 7 3" xfId="6701" xr:uid="{14F92871-E394-4344-BFBC-26438B051C25}"/>
    <cellStyle name="SAPBEXresData 2 7 3 2" xfId="12143" xr:uid="{DF39AA17-205B-4F14-9426-7B0CFEAA125E}"/>
    <cellStyle name="SAPBEXresData 2 7 3 3" xfId="14203" xr:uid="{8AF4E286-A4EF-46D7-B43A-092D5EC4F1C8}"/>
    <cellStyle name="SAPBEXresData 2 7 4" xfId="9080" xr:uid="{4D2B0588-8FAF-4486-8308-630C674C650C}"/>
    <cellStyle name="SAPBEXresData 2 7 5" xfId="12806" xr:uid="{5C7AAF42-DFF6-4543-B172-2E12EB68669D}"/>
    <cellStyle name="SAPBEXresData 2 8" xfId="5813" xr:uid="{AFABF3FC-E3C2-4D78-BBE0-811CE160F495}"/>
    <cellStyle name="SAPBEXresData 2 8 2" xfId="11255" xr:uid="{AA05F71F-B317-495E-B214-886BB27E8E4E}"/>
    <cellStyle name="SAPBEXresData 2 8 3" xfId="13454" xr:uid="{359B97BA-0D55-4B16-AFFA-E0BD47DFF822}"/>
    <cellStyle name="SAPBEXresData 2 9" xfId="6611" xr:uid="{EA877997-7DE2-4EA8-9CED-12E42F298D26}"/>
    <cellStyle name="SAPBEXresData 2 9 2" xfId="12053" xr:uid="{8D9E4CD2-5E2A-41C7-A48E-969FB2B78C2B}"/>
    <cellStyle name="SAPBEXresData 2 9 3" xfId="14116" xr:uid="{EBA443C9-3683-4A34-B31D-8907EE40B7D9}"/>
    <cellStyle name="SAPBEXresData 3" xfId="3287" xr:uid="{949387CD-A2DA-4C5E-AED7-AECFC8D59C65}"/>
    <cellStyle name="SAPBEXresData 3 10" xfId="12718" xr:uid="{6BFC83FB-ECA9-40B8-96D0-47E9B7A5FF60}"/>
    <cellStyle name="SAPBEXresData 3 2" xfId="3801" xr:uid="{B3346A07-BE38-4656-8560-CF2F19197695}"/>
    <cellStyle name="SAPBEXresData 3 2 2" xfId="6209" xr:uid="{AED3F0D5-1B56-4E7D-BF02-4E38EB1FD21C}"/>
    <cellStyle name="SAPBEXresData 3 2 2 2" xfId="11651" xr:uid="{544E8FC1-D7BF-4189-922A-0AF87D39DACB}"/>
    <cellStyle name="SAPBEXresData 3 2 2 3" xfId="13726" xr:uid="{34CEF0F5-7BFE-47F0-B970-41E011E3C76A}"/>
    <cellStyle name="SAPBEXresData 3 2 3" xfId="6891" xr:uid="{AB4D9912-E3AD-4CD7-AA51-A90CD325C01D}"/>
    <cellStyle name="SAPBEXresData 3 2 3 2" xfId="12333" xr:uid="{2C99586D-9430-4F02-8FE4-0594BD77ACEF}"/>
    <cellStyle name="SAPBEXresData 3 2 3 3" xfId="14386" xr:uid="{1117F980-A355-4BB2-9317-27037B46474B}"/>
    <cellStyle name="SAPBEXresData 3 2 4" xfId="9272" xr:uid="{5837795B-8D07-417D-BCF7-3F5F7A5CD457}"/>
    <cellStyle name="SAPBEXresData 3 2 5" xfId="12989" xr:uid="{19696CB0-E922-44B0-9C7F-FB1373436681}"/>
    <cellStyle name="SAPBEXresData 3 3" xfId="3867" xr:uid="{579E20C5-45A6-4F5B-A161-3D79CE73EBFE}"/>
    <cellStyle name="SAPBEXresData 3 3 2" xfId="6274" xr:uid="{02136601-6CEC-486D-B41F-922FFA160FB3}"/>
    <cellStyle name="SAPBEXresData 3 3 2 2" xfId="11716" xr:uid="{5B9D7058-E40E-4B84-A146-74C49A03A293}"/>
    <cellStyle name="SAPBEXresData 3 3 2 3" xfId="13790" xr:uid="{B8E4F2AD-EC8E-407B-90CF-6A7129342F7D}"/>
    <cellStyle name="SAPBEXresData 3 3 3" xfId="6954" xr:uid="{866CA8F4-6844-4230-8FE4-3282132CA9EF}"/>
    <cellStyle name="SAPBEXresData 3 3 3 2" xfId="12396" xr:uid="{8B6C9876-32EC-4B71-B8F3-531AFD74D1A7}"/>
    <cellStyle name="SAPBEXresData 3 3 3 3" xfId="14448" xr:uid="{8387ECFC-F938-4D29-9D0B-721A1B0FE20E}"/>
    <cellStyle name="SAPBEXresData 3 3 4" xfId="9337" xr:uid="{ED0C9420-68ED-4F35-BC6B-2FAA2ADA3F56}"/>
    <cellStyle name="SAPBEXresData 3 3 5" xfId="13051" xr:uid="{80F14E33-7534-4AF9-8D97-C2BEB4F5988D}"/>
    <cellStyle name="SAPBEXresData 3 4" xfId="3952" xr:uid="{4F3CD9A3-82F0-486A-804B-DB4D619D2A8B}"/>
    <cellStyle name="SAPBEXresData 3 4 2" xfId="6357" xr:uid="{2B6EC0A5-16F9-4785-871D-14231E5FD1EA}"/>
    <cellStyle name="SAPBEXresData 3 4 2 2" xfId="11799" xr:uid="{608ADDC8-B075-4C01-A0C6-4522CAEE07D0}"/>
    <cellStyle name="SAPBEXresData 3 4 2 3" xfId="13871" xr:uid="{18DDA371-FD2F-44BC-A841-1194CB7EE40D}"/>
    <cellStyle name="SAPBEXresData 3 4 3" xfId="7035" xr:uid="{8E1A714B-3DCF-4222-9351-4C4ED00513EB}"/>
    <cellStyle name="SAPBEXresData 3 4 3 2" xfId="12477" xr:uid="{B974FEB9-B9B8-4916-AD3C-5BAA8DA85054}"/>
    <cellStyle name="SAPBEXresData 3 4 3 3" xfId="14527" xr:uid="{CC97603A-8450-49F5-B763-CCDC75596BAD}"/>
    <cellStyle name="SAPBEXresData 3 4 4" xfId="9420" xr:uid="{D3CD9103-8715-4EAE-8A2E-456623AB0F34}"/>
    <cellStyle name="SAPBEXresData 3 4 5" xfId="13130" xr:uid="{BEF77A18-AA60-42E6-BFF8-541D362F2042}"/>
    <cellStyle name="SAPBEXresData 3 5" xfId="4019" xr:uid="{D18E14D9-2983-464C-A802-F2BB6B6C73B1}"/>
    <cellStyle name="SAPBEXresData 3 5 2" xfId="6422" xr:uid="{08BD8296-E8FE-43DA-B1DF-8F5DC6A6FD8E}"/>
    <cellStyle name="SAPBEXresData 3 5 2 2" xfId="11864" xr:uid="{87A9D555-0A84-4567-86F7-8E79D23225C8}"/>
    <cellStyle name="SAPBEXresData 3 5 2 3" xfId="13935" xr:uid="{391E07D2-9C2A-4266-A920-C31ED595798F}"/>
    <cellStyle name="SAPBEXresData 3 5 3" xfId="7098" xr:uid="{BF2C8447-72D4-4997-83B8-6B29979F2012}"/>
    <cellStyle name="SAPBEXresData 3 5 3 2" xfId="12540" xr:uid="{D08DBBDE-049D-42FD-90A5-4EA1DC479C53}"/>
    <cellStyle name="SAPBEXresData 3 5 3 3" xfId="14589" xr:uid="{2EDAC885-6937-403B-8FF6-D670302FDF74}"/>
    <cellStyle name="SAPBEXresData 3 5 4" xfId="9485" xr:uid="{FEC3FCB7-B4FA-4585-9200-A89CC6098913}"/>
    <cellStyle name="SAPBEXresData 3 5 5" xfId="13192" xr:uid="{27B8972D-A368-4B46-856E-6C9938A8BA1D}"/>
    <cellStyle name="SAPBEXresData 3 6" xfId="3735" xr:uid="{08E40D59-39FB-4207-81A3-9B9EAB8349FE}"/>
    <cellStyle name="SAPBEXresData 3 6 2" xfId="6143" xr:uid="{D308E382-BA3D-46FE-B884-B9126F886766}"/>
    <cellStyle name="SAPBEXresData 3 6 2 2" xfId="11585" xr:uid="{7C719C31-8C34-4F29-B97E-D9D88854AEBD}"/>
    <cellStyle name="SAPBEXresData 3 6 2 3" xfId="13662" xr:uid="{9FE413CA-E1A4-494E-AE29-3538A72B11CD}"/>
    <cellStyle name="SAPBEXresData 3 6 3" xfId="6827" xr:uid="{9ECAAB3C-4DCD-4008-B8AD-ED68633F879D}"/>
    <cellStyle name="SAPBEXresData 3 6 3 2" xfId="12269" xr:uid="{CE5C3B52-7DC8-400C-8D02-46259B1CE317}"/>
    <cellStyle name="SAPBEXresData 3 6 3 3" xfId="14324" xr:uid="{0AE65F60-7585-4A05-A0BB-B6C1FB5B7287}"/>
    <cellStyle name="SAPBEXresData 3 6 4" xfId="9206" xr:uid="{402ED607-7C9D-4F4E-97D1-D7339BB43516}"/>
    <cellStyle name="SAPBEXresData 3 6 5" xfId="12927" xr:uid="{D04D7942-0867-4C6D-B98B-C6F4001B1F12}"/>
    <cellStyle name="SAPBEXresData 3 7" xfId="5812" xr:uid="{BC0CF3CF-509D-4ADB-8BB6-A5664B6CB2C3}"/>
    <cellStyle name="SAPBEXresData 3 7 2" xfId="11254" xr:uid="{5D249F86-7257-45CA-8BC5-B0331CEAA8AC}"/>
    <cellStyle name="SAPBEXresData 3 7 3" xfId="13453" xr:uid="{374D9CAB-E354-4074-9554-260A5B00B2CF}"/>
    <cellStyle name="SAPBEXresData 3 8" xfId="6610" xr:uid="{94F46343-6DC8-44C9-A8A5-0CCC88DB74AB}"/>
    <cellStyle name="SAPBEXresData 3 8 2" xfId="12052" xr:uid="{E46E2ACA-F044-41B1-AC6E-174B56473EF7}"/>
    <cellStyle name="SAPBEXresData 3 8 3" xfId="14115" xr:uid="{C38348FC-FDCE-4592-918C-D62F9240177A}"/>
    <cellStyle name="SAPBEXresData 3 9" xfId="8868" xr:uid="{53A2A45B-87F1-4DAD-9D04-CC44D84FD395}"/>
    <cellStyle name="SAPBEXresData 4" xfId="3669" xr:uid="{A2488B11-FB0F-4646-871F-027A3DAB00E8}"/>
    <cellStyle name="SAPBEXresData 4 2" xfId="6077" xr:uid="{B82120EF-CF3E-4565-83C8-47D0383D70F5}"/>
    <cellStyle name="SAPBEXresData 4 2 2" xfId="11519" xr:uid="{A543AF6D-7D65-4818-BAC5-B9772ABE50D9}"/>
    <cellStyle name="SAPBEXresData 4 2 3" xfId="13598" xr:uid="{2C93921D-FE36-4B54-B851-4B19D323546F}"/>
    <cellStyle name="SAPBEXresData 4 3" xfId="6761" xr:uid="{DB12E1F4-82B4-42CB-A68A-06CB90E547C3}"/>
    <cellStyle name="SAPBEXresData 4 3 2" xfId="12203" xr:uid="{18A9EC5B-342F-4731-8E96-B1A17C608F1D}"/>
    <cellStyle name="SAPBEXresData 4 3 3" xfId="14260" xr:uid="{318DE8D4-1565-4CE6-8513-E147E76EF115}"/>
    <cellStyle name="SAPBEXresData 4 4" xfId="9140" xr:uid="{1AFD0275-585F-4C00-99A7-2D751691F394}"/>
    <cellStyle name="SAPBEXresData 4 5" xfId="12863" xr:uid="{744AFA7F-3825-4D59-92E8-859C4277D2DB}"/>
    <cellStyle name="SAPBEXresData 5" xfId="3884" xr:uid="{845F821F-5F84-4156-B75F-7C1D06BC68C8}"/>
    <cellStyle name="SAPBEXresData 5 2" xfId="6291" xr:uid="{E5CA4E48-33CD-4586-B552-ED8F3DE607B7}"/>
    <cellStyle name="SAPBEXresData 5 2 2" xfId="11733" xr:uid="{D06E175A-EE16-4177-9FC2-180537F294BD}"/>
    <cellStyle name="SAPBEXresData 5 2 3" xfId="13807" xr:uid="{2529D6D9-CECB-4882-8250-0BAEAF3AD960}"/>
    <cellStyle name="SAPBEXresData 5 3" xfId="6971" xr:uid="{783950D1-563B-4EC7-87D0-7DEB2D51E88F}"/>
    <cellStyle name="SAPBEXresData 5 3 2" xfId="12413" xr:uid="{16FA1939-EE63-4EFF-986B-42AB97EE926A}"/>
    <cellStyle name="SAPBEXresData 5 3 3" xfId="14465" xr:uid="{6FE6B3A7-E53F-46DA-87F1-E353CF3C1D99}"/>
    <cellStyle name="SAPBEXresData 5 4" xfId="9354" xr:uid="{03D5A5E2-DACF-4678-B452-6F04C24AA676}"/>
    <cellStyle name="SAPBEXresData 5 5" xfId="13068" xr:uid="{8D0E8FAE-4FB0-4722-99B1-D1E4252563F7}"/>
    <cellStyle name="SAPBEXresData 6" xfId="3584" xr:uid="{2072338B-98B5-48D0-8761-4022E0A19D90}"/>
    <cellStyle name="SAPBEXresData 6 2" xfId="5995" xr:uid="{EB0309B4-3CFC-47F5-BE08-3AD0788054C8}"/>
    <cellStyle name="SAPBEXresData 6 2 2" xfId="11437" xr:uid="{29A60329-0664-4B97-AC81-FAD9D124B36D}"/>
    <cellStyle name="SAPBEXresData 6 2 3" xfId="13521" xr:uid="{5C5812F8-8A3A-4728-8DD5-DE99E9EA542F}"/>
    <cellStyle name="SAPBEXresData 6 3" xfId="6678" xr:uid="{EEAAA34F-B958-4FF6-A59A-6F48EA25106E}"/>
    <cellStyle name="SAPBEXresData 6 3 2" xfId="12120" xr:uid="{EF3F08E7-745C-4FCC-8F1D-7730592A252D}"/>
    <cellStyle name="SAPBEXresData 6 3 3" xfId="14182" xr:uid="{ACAEA07A-9728-4FF2-9CCD-83F2B24C4BBC}"/>
    <cellStyle name="SAPBEXresData 6 4" xfId="9056" xr:uid="{E8C95595-62C0-43E4-B448-C1A22E06AC2C}"/>
    <cellStyle name="SAPBEXresData 6 5" xfId="12785" xr:uid="{4934594E-E860-4B29-94CB-59B2EE97BFE8}"/>
    <cellStyle name="SAPBEXresData 7" xfId="4152" xr:uid="{107ECA75-E9D0-41C1-AA59-B099904AEBE2}"/>
    <cellStyle name="SAPBEXresData 7 2" xfId="9602" xr:uid="{5AE41899-5B1A-459B-8AB2-58D982EF3DCE}"/>
    <cellStyle name="SAPBEXresData 7 3" xfId="13231" xr:uid="{D318221C-BE86-470F-A2B8-544C03A495F9}"/>
    <cellStyle name="SAPBEXresData 8" xfId="5686" xr:uid="{7D889F37-BAFF-4EE6-A66B-84458700263E}"/>
    <cellStyle name="SAPBEXresData 8 2" xfId="11128" xr:uid="{5CD035E5-B693-4237-A947-9A7E25B6AB8F}"/>
    <cellStyle name="SAPBEXresData 8 3" xfId="13334" xr:uid="{FFE32D05-F040-455C-834D-1E132B4FB1BA}"/>
    <cellStyle name="SAPBEXresData 9" xfId="7220" xr:uid="{5C1F8246-9B82-4151-A4B9-9DB883229E5D}"/>
    <cellStyle name="SAPBEXresData_2014 CLEAResult Invoices" xfId="3289" xr:uid="{15968101-4A7A-4A26-A1E8-BD3FBDD23E02}"/>
    <cellStyle name="SAPBEXresDataEmph" xfId="277" xr:uid="{69B794BC-5EA2-4727-8BB9-EE13A6E85E0B}"/>
    <cellStyle name="SAPBEXresDataEmph 10" xfId="8712" xr:uid="{65102E0D-1F51-42ED-9D25-9047743601EA}"/>
    <cellStyle name="SAPBEXresDataEmph 2" xfId="3291" xr:uid="{92A7C3D2-FFFF-4E86-BA46-1EC60325A7F7}"/>
    <cellStyle name="SAPBEXresDataEmph 2 2" xfId="3689" xr:uid="{E2D8A7E9-EA2F-4B1D-98DC-A584476B5DDF}"/>
    <cellStyle name="SAPBEXresDataEmph 2 2 2" xfId="6097" xr:uid="{67C57065-51D8-409C-88B6-AB7E6348392B}"/>
    <cellStyle name="SAPBEXresDataEmph 2 2 2 2" xfId="11539" xr:uid="{2F29BC6D-D904-4B3B-95CB-45564A2797A7}"/>
    <cellStyle name="SAPBEXresDataEmph 2 2 2 3" xfId="13616" xr:uid="{70B46A51-B859-40E3-A575-9D8E065AD527}"/>
    <cellStyle name="SAPBEXresDataEmph 2 2 3" xfId="6781" xr:uid="{BA4B0BB4-59AA-47DC-BC0B-5B543577E9ED}"/>
    <cellStyle name="SAPBEXresDataEmph 2 2 3 2" xfId="12223" xr:uid="{2D23A552-5F1B-40C0-B7A7-4D6519257A68}"/>
    <cellStyle name="SAPBEXresDataEmph 2 2 3 3" xfId="14278" xr:uid="{B0B3DE78-6F03-4A7C-8A6C-71A938764063}"/>
    <cellStyle name="SAPBEXresDataEmph 2 2 4" xfId="9160" xr:uid="{BCB85738-27CD-40BA-B200-18E4665E649F}"/>
    <cellStyle name="SAPBEXresDataEmph 2 2 5" xfId="12881" xr:uid="{D44E328E-C141-4254-BFDF-0455E655523C}"/>
    <cellStyle name="SAPBEXresDataEmph 2 3" xfId="3755" xr:uid="{B38235C3-47BF-455F-A7D1-A54791707925}"/>
    <cellStyle name="SAPBEXresDataEmph 2 3 2" xfId="6163" xr:uid="{65F39C32-0C3F-40A2-98A7-4B31612D04A9}"/>
    <cellStyle name="SAPBEXresDataEmph 2 3 2 2" xfId="11605" xr:uid="{CE196103-1797-4D52-BD03-4092DA90E516}"/>
    <cellStyle name="SAPBEXresDataEmph 2 3 2 3" xfId="13680" xr:uid="{1AE83971-2D78-4045-A1FE-E21612C78D00}"/>
    <cellStyle name="SAPBEXresDataEmph 2 3 3" xfId="6845" xr:uid="{0B5006D8-1B98-43E7-950F-79FA20DEC845}"/>
    <cellStyle name="SAPBEXresDataEmph 2 3 3 2" xfId="12287" xr:uid="{D383CAB0-4C76-4173-91A9-ECB7DEDB36A0}"/>
    <cellStyle name="SAPBEXresDataEmph 2 3 3 3" xfId="14340" xr:uid="{0A9F572E-8760-40B5-B874-CD73E4A3A19F}"/>
    <cellStyle name="SAPBEXresDataEmph 2 3 4" xfId="9226" xr:uid="{D7B2EECA-DD30-478E-8EA0-904CFDC85ABC}"/>
    <cellStyle name="SAPBEXresDataEmph 2 3 5" xfId="12943" xr:uid="{B9C02E81-EE51-41F1-9326-A592FCCBD961}"/>
    <cellStyle name="SAPBEXresDataEmph 2 4" xfId="3821" xr:uid="{1366F0C3-44D4-40B1-B893-626DB636CF6E}"/>
    <cellStyle name="SAPBEXresDataEmph 2 4 2" xfId="6228" xr:uid="{076B6AA7-90C1-43A5-8206-61E1C1A03C9D}"/>
    <cellStyle name="SAPBEXresDataEmph 2 4 2 2" xfId="11670" xr:uid="{F10A27BE-A23E-495C-8C26-7E93698B4697}"/>
    <cellStyle name="SAPBEXresDataEmph 2 4 2 3" xfId="13744" xr:uid="{C375FF11-D67B-41F8-93C3-9DFEDFBEBCF5}"/>
    <cellStyle name="SAPBEXresDataEmph 2 4 3" xfId="6908" xr:uid="{A1131614-A46B-4DB7-BCE4-C7BD4AA7062D}"/>
    <cellStyle name="SAPBEXresDataEmph 2 4 3 2" xfId="12350" xr:uid="{AB4484FD-902C-4BF8-A815-D914033B48AA}"/>
    <cellStyle name="SAPBEXresDataEmph 2 4 3 3" xfId="14402" xr:uid="{1C22FA6F-5A42-4D42-8B95-7F85B846FB0E}"/>
    <cellStyle name="SAPBEXresDataEmph 2 4 4" xfId="9291" xr:uid="{00D2A587-FD7A-46DD-AAEE-269295F3AE7D}"/>
    <cellStyle name="SAPBEXresDataEmph 2 4 5" xfId="13005" xr:uid="{8D60255D-CA68-45FA-BBD7-F01D0D7FB2F0}"/>
    <cellStyle name="SAPBEXresDataEmph 2 5" xfId="3906" xr:uid="{7ABA60D6-00A1-4EC4-9ED7-E56E3831430A}"/>
    <cellStyle name="SAPBEXresDataEmph 2 5 2" xfId="6311" xr:uid="{9B074A98-FB81-42AB-9D4F-E87D40713332}"/>
    <cellStyle name="SAPBEXresDataEmph 2 5 2 2" xfId="11753" xr:uid="{374C2717-E23C-48EC-B2BE-E4DF0B772E0F}"/>
    <cellStyle name="SAPBEXresDataEmph 2 5 2 3" xfId="13825" xr:uid="{F92A8163-D6F3-4BB2-8848-A4CE51B8F841}"/>
    <cellStyle name="SAPBEXresDataEmph 2 5 3" xfId="6989" xr:uid="{70A39773-8438-4260-A42A-993474CB2130}"/>
    <cellStyle name="SAPBEXresDataEmph 2 5 3 2" xfId="12431" xr:uid="{90095462-11DF-44EA-9C48-FEE47AB90108}"/>
    <cellStyle name="SAPBEXresDataEmph 2 5 3 3" xfId="14481" xr:uid="{EBBE1D7F-8506-4BB1-8CCC-BDE95A83C8D3}"/>
    <cellStyle name="SAPBEXresDataEmph 2 5 4" xfId="9374" xr:uid="{2046C43C-CF00-44A7-B2FA-611FE0B36B79}"/>
    <cellStyle name="SAPBEXresDataEmph 2 5 5" xfId="13084" xr:uid="{E3CF95E7-474C-45F8-BD2B-CBD81285405E}"/>
    <cellStyle name="SAPBEXresDataEmph 2 6" xfId="3973" xr:uid="{18D86677-2881-4BF2-A415-93266FC718EF}"/>
    <cellStyle name="SAPBEXresDataEmph 2 6 2" xfId="6376" xr:uid="{E06F8850-39BB-4789-BD02-F63E59AC741D}"/>
    <cellStyle name="SAPBEXresDataEmph 2 6 2 2" xfId="11818" xr:uid="{049791C0-BEF0-4739-B6D6-51A5895B43CB}"/>
    <cellStyle name="SAPBEXresDataEmph 2 6 2 3" xfId="13889" xr:uid="{17A84D54-3AEF-4B46-9A94-A1F01589913D}"/>
    <cellStyle name="SAPBEXresDataEmph 2 6 3" xfId="7052" xr:uid="{89E42337-C33C-40CC-945C-0A99F8F68AFC}"/>
    <cellStyle name="SAPBEXresDataEmph 2 6 3 2" xfId="12494" xr:uid="{E486869B-E4AD-41DF-8A7D-851458E8A35B}"/>
    <cellStyle name="SAPBEXresDataEmph 2 6 3 3" xfId="14543" xr:uid="{33993BB1-C430-4261-B1F4-FD6201EE3D95}"/>
    <cellStyle name="SAPBEXresDataEmph 2 6 4" xfId="9439" xr:uid="{D09E07F8-486F-4B74-9B9D-70A38D1A5652}"/>
    <cellStyle name="SAPBEXresDataEmph 2 6 5" xfId="13146" xr:uid="{D7027770-A9C6-4C8D-86F0-6E3F823F9CE0}"/>
    <cellStyle name="SAPBEXresDataEmph 2 7" xfId="3607" xr:uid="{8C2CE843-621A-42ED-83A6-1729C0DF22F9}"/>
    <cellStyle name="SAPBEXresDataEmph 2 7 2" xfId="6016" xr:uid="{733D7FF5-E0E9-402A-96F4-F31CDF83DB27}"/>
    <cellStyle name="SAPBEXresDataEmph 2 7 2 2" xfId="11458" xr:uid="{7A56F070-6797-4B45-9D15-FABA7D5E871A}"/>
    <cellStyle name="SAPBEXresDataEmph 2 7 2 3" xfId="13540" xr:uid="{624D316F-054A-46E1-96B9-A5E02554AC4A}"/>
    <cellStyle name="SAPBEXresDataEmph 2 7 3" xfId="6700" xr:uid="{D8292C26-A72A-4B66-B719-DDEB94E75F69}"/>
    <cellStyle name="SAPBEXresDataEmph 2 7 3 2" xfId="12142" xr:uid="{82D9B048-6E0D-4FF2-9980-296C5E09A76F}"/>
    <cellStyle name="SAPBEXresDataEmph 2 7 3 3" xfId="14202" xr:uid="{41AA02EF-4FC7-4458-97C3-9EDB6767F12E}"/>
    <cellStyle name="SAPBEXresDataEmph 2 7 4" xfId="9079" xr:uid="{B28225F9-F5D9-4643-9E69-8CD65AD7E9BB}"/>
    <cellStyle name="SAPBEXresDataEmph 2 7 5" xfId="12805" xr:uid="{F880A5D3-8DB0-4C2D-8F0F-ADFCAC2D8FF7}"/>
    <cellStyle name="SAPBEXresDataEmph 3" xfId="3290" xr:uid="{FFCB121C-9430-4A19-B811-1AF8C57D3110}"/>
    <cellStyle name="SAPBEXresDataEmph 3 2" xfId="3802" xr:uid="{325D5118-D8AF-4E69-A84D-24CD19F0B6D8}"/>
    <cellStyle name="SAPBEXresDataEmph 3 2 2" xfId="6210" xr:uid="{039A61E9-351E-44BB-AB1E-6A9271E85FA9}"/>
    <cellStyle name="SAPBEXresDataEmph 3 2 2 2" xfId="11652" xr:uid="{D753A437-0871-451E-BDC1-2112C91EA762}"/>
    <cellStyle name="SAPBEXresDataEmph 3 2 2 3" xfId="13727" xr:uid="{F72479F3-9037-4279-B675-7C13AB749CD1}"/>
    <cellStyle name="SAPBEXresDataEmph 3 2 3" xfId="6892" xr:uid="{BD9627BD-8EF1-42B3-950F-EFC800921CB5}"/>
    <cellStyle name="SAPBEXresDataEmph 3 2 3 2" xfId="12334" xr:uid="{EA7CA8D0-0C98-4202-8C46-29C507518611}"/>
    <cellStyle name="SAPBEXresDataEmph 3 2 3 3" xfId="14387" xr:uid="{C9602052-2867-46F9-B425-533FF9E4D9B0}"/>
    <cellStyle name="SAPBEXresDataEmph 3 2 4" xfId="9273" xr:uid="{87036B34-5886-4502-A481-FB471ADED025}"/>
    <cellStyle name="SAPBEXresDataEmph 3 2 5" xfId="12990" xr:uid="{41E6868E-2B64-47F3-8401-44F2DBAA731C}"/>
    <cellStyle name="SAPBEXresDataEmph 3 3" xfId="3868" xr:uid="{74B356F9-75CA-4F64-A6E3-233BB11AE894}"/>
    <cellStyle name="SAPBEXresDataEmph 3 3 2" xfId="6275" xr:uid="{CCEFBE4A-4849-44B3-A166-090A61E73007}"/>
    <cellStyle name="SAPBEXresDataEmph 3 3 2 2" xfId="11717" xr:uid="{F79BBAE9-34EC-431D-80F4-715DC1F9145B}"/>
    <cellStyle name="SAPBEXresDataEmph 3 3 2 3" xfId="13791" xr:uid="{821DEFD5-6FE9-48EC-A1BC-35D18C9B770F}"/>
    <cellStyle name="SAPBEXresDataEmph 3 3 3" xfId="6955" xr:uid="{F82C7BDD-3CCE-43DB-B5D8-DBAD82925B61}"/>
    <cellStyle name="SAPBEXresDataEmph 3 3 3 2" xfId="12397" xr:uid="{F6FBAB26-EA76-4F39-9ED2-4181965CF194}"/>
    <cellStyle name="SAPBEXresDataEmph 3 3 3 3" xfId="14449" xr:uid="{BE232084-3CD4-40F5-8FFC-AD11BAA7690E}"/>
    <cellStyle name="SAPBEXresDataEmph 3 3 4" xfId="9338" xr:uid="{AFADE20A-B94A-4D22-808C-4A2E7FF5D09F}"/>
    <cellStyle name="SAPBEXresDataEmph 3 3 5" xfId="13052" xr:uid="{EBB92795-2E6F-478F-9FFE-AE7D458FC35F}"/>
    <cellStyle name="SAPBEXresDataEmph 3 4" xfId="3953" xr:uid="{36DF4905-3F72-44D5-AE7A-B6ACF965D160}"/>
    <cellStyle name="SAPBEXresDataEmph 3 4 2" xfId="6358" xr:uid="{797FF088-5491-4162-B2B0-19DBD7CF4EF2}"/>
    <cellStyle name="SAPBEXresDataEmph 3 4 2 2" xfId="11800" xr:uid="{7B567AF7-A9FE-4906-B245-C92A4E3B2B17}"/>
    <cellStyle name="SAPBEXresDataEmph 3 4 2 3" xfId="13872" xr:uid="{2F5FB40F-4AEC-40E9-B885-C5EAC27B08FF}"/>
    <cellStyle name="SAPBEXresDataEmph 3 4 3" xfId="7036" xr:uid="{A9E13FB5-BAF4-45A0-ADAB-564C64F49C82}"/>
    <cellStyle name="SAPBEXresDataEmph 3 4 3 2" xfId="12478" xr:uid="{46997E26-6116-4377-80D4-FA35BA54605B}"/>
    <cellStyle name="SAPBEXresDataEmph 3 4 3 3" xfId="14528" xr:uid="{C96864FF-1092-4D89-B66A-17799A1CADB8}"/>
    <cellStyle name="SAPBEXresDataEmph 3 4 4" xfId="9421" xr:uid="{69EBD7AF-11D1-4AC3-BAA5-5BE85BA0FE2A}"/>
    <cellStyle name="SAPBEXresDataEmph 3 4 5" xfId="13131" xr:uid="{B9847DD5-9FE8-488A-82B6-876AAC8F3C28}"/>
    <cellStyle name="SAPBEXresDataEmph 3 5" xfId="4020" xr:uid="{61A2241E-0ACC-44AC-A4DF-5B96E74FC86A}"/>
    <cellStyle name="SAPBEXresDataEmph 3 5 2" xfId="6423" xr:uid="{F21E6F93-9228-4066-BB85-B4D06E1A2455}"/>
    <cellStyle name="SAPBEXresDataEmph 3 5 2 2" xfId="11865" xr:uid="{5FAFAE21-4CBA-452F-915A-307B0D94A6BF}"/>
    <cellStyle name="SAPBEXresDataEmph 3 5 2 3" xfId="13936" xr:uid="{449DFFC4-1F6E-41E4-A4E6-4A762B84E02B}"/>
    <cellStyle name="SAPBEXresDataEmph 3 5 3" xfId="7099" xr:uid="{01EEEB29-5241-46AC-A46B-54DF805329B2}"/>
    <cellStyle name="SAPBEXresDataEmph 3 5 3 2" xfId="12541" xr:uid="{0B69FF22-FEB7-47E7-A904-E93C4F5BC51F}"/>
    <cellStyle name="SAPBEXresDataEmph 3 5 3 3" xfId="14590" xr:uid="{761D33E1-6629-4D72-B011-7BD49636FDE0}"/>
    <cellStyle name="SAPBEXresDataEmph 3 5 4" xfId="9486" xr:uid="{BCB2154B-7CEC-483A-ACF5-932B068A83BC}"/>
    <cellStyle name="SAPBEXresDataEmph 3 5 5" xfId="13193" xr:uid="{03E93A05-905A-4918-BBBC-A0BAE4896E8E}"/>
    <cellStyle name="SAPBEXresDataEmph 3 6" xfId="3736" xr:uid="{EB3BBBAC-86D5-4D17-89E2-86F0D43F14FB}"/>
    <cellStyle name="SAPBEXresDataEmph 3 6 2" xfId="6144" xr:uid="{DE163341-A14A-4EF2-9A08-75398D802FDD}"/>
    <cellStyle name="SAPBEXresDataEmph 3 6 2 2" xfId="11586" xr:uid="{E26E4C7C-25B3-44D3-BE39-1BAEAF258C47}"/>
    <cellStyle name="SAPBEXresDataEmph 3 6 2 3" xfId="13663" xr:uid="{8E62A1F2-9C04-4140-AAE1-AB391817EC96}"/>
    <cellStyle name="SAPBEXresDataEmph 3 6 3" xfId="6828" xr:uid="{342F5B63-D2D4-4228-837D-2594EAC56192}"/>
    <cellStyle name="SAPBEXresDataEmph 3 6 3 2" xfId="12270" xr:uid="{6F56E2B8-3679-4E1E-BE92-B0D08F81C41D}"/>
    <cellStyle name="SAPBEXresDataEmph 3 6 3 3" xfId="14325" xr:uid="{23F68034-9075-4EBD-BB03-841BF4401C4B}"/>
    <cellStyle name="SAPBEXresDataEmph 3 6 4" xfId="9207" xr:uid="{F5AE1583-AC4A-447D-A8E0-B54CE7AC9700}"/>
    <cellStyle name="SAPBEXresDataEmph 3 6 5" xfId="12928" xr:uid="{66901AF2-120C-4D72-AB46-85D54FA721CD}"/>
    <cellStyle name="SAPBEXresDataEmph 4" xfId="3670" xr:uid="{4DAA525B-013A-4C8C-AE4B-09FC8A2C66F3}"/>
    <cellStyle name="SAPBEXresDataEmph 4 2" xfId="6078" xr:uid="{C5982662-6DD7-49F5-ABF4-7054BF41AB5D}"/>
    <cellStyle name="SAPBEXresDataEmph 4 2 2" xfId="11520" xr:uid="{9B89C331-BE84-41B0-A678-3451992F7126}"/>
    <cellStyle name="SAPBEXresDataEmph 4 2 3" xfId="13599" xr:uid="{6BEE3850-0FEE-460B-B143-A6AB82229AB6}"/>
    <cellStyle name="SAPBEXresDataEmph 4 3" xfId="6762" xr:uid="{60BE22FC-8544-4072-998A-DB799AD970AC}"/>
    <cellStyle name="SAPBEXresDataEmph 4 3 2" xfId="12204" xr:uid="{BF0A3827-005F-4FDF-B416-1384FFAF2BFC}"/>
    <cellStyle name="SAPBEXresDataEmph 4 3 3" xfId="14261" xr:uid="{8E7BBF95-8312-4FCF-AD76-66416BEDE8DD}"/>
    <cellStyle name="SAPBEXresDataEmph 4 4" xfId="9141" xr:uid="{D0B3CA99-E1B6-4E38-A0DB-A5B40F0043DC}"/>
    <cellStyle name="SAPBEXresDataEmph 4 5" xfId="12864" xr:uid="{1DF019FA-48CE-463D-91EE-010D5A1DB2E9}"/>
    <cellStyle name="SAPBEXresDataEmph 5" xfId="3885" xr:uid="{2D8839AE-B3F3-46C4-B542-7DEEBD77A1A5}"/>
    <cellStyle name="SAPBEXresDataEmph 5 2" xfId="6292" xr:uid="{3F55F4F3-8D37-4C8B-A8C2-B3E6DEF46D32}"/>
    <cellStyle name="SAPBEXresDataEmph 5 2 2" xfId="11734" xr:uid="{391A2C04-CB6B-4E5E-BF44-E4020C55681D}"/>
    <cellStyle name="SAPBEXresDataEmph 5 2 3" xfId="13808" xr:uid="{B4D28958-4F53-414B-AF1D-2AB2E393A1C4}"/>
    <cellStyle name="SAPBEXresDataEmph 5 3" xfId="6972" xr:uid="{5F251144-FBA1-454E-9435-E3455CBDFCD7}"/>
    <cellStyle name="SAPBEXresDataEmph 5 3 2" xfId="12414" xr:uid="{3671F347-D6D3-4630-BDC2-B83B4FF29A50}"/>
    <cellStyle name="SAPBEXresDataEmph 5 3 3" xfId="14466" xr:uid="{CE29B4D8-941F-4535-BB7A-CA12BD324871}"/>
    <cellStyle name="SAPBEXresDataEmph 5 4" xfId="9355" xr:uid="{ED7A87BF-4B14-4D58-B48C-8F48AD14E332}"/>
    <cellStyle name="SAPBEXresDataEmph 5 5" xfId="13069" xr:uid="{384899F6-3E41-484A-A2BB-97BFCF438E93}"/>
    <cellStyle name="SAPBEXresDataEmph 6" xfId="3585" xr:uid="{03A00589-DEDC-437D-BB18-498D32F81CB5}"/>
    <cellStyle name="SAPBEXresDataEmph 6 2" xfId="5996" xr:uid="{4B0788E5-38CC-42F5-A71F-34F1B2B0A975}"/>
    <cellStyle name="SAPBEXresDataEmph 6 2 2" xfId="11438" xr:uid="{6A6151AD-E53F-416B-BE1F-58A6D93A599F}"/>
    <cellStyle name="SAPBEXresDataEmph 6 2 3" xfId="13522" xr:uid="{A75A0010-3C89-469B-A53B-F4CD647A83A6}"/>
    <cellStyle name="SAPBEXresDataEmph 6 3" xfId="6679" xr:uid="{24E11AAA-4BD1-4B2D-9A24-C2E558E16C2C}"/>
    <cellStyle name="SAPBEXresDataEmph 6 3 2" xfId="12121" xr:uid="{D5868B2F-5A28-45F8-9F9F-B29E3FF140A3}"/>
    <cellStyle name="SAPBEXresDataEmph 6 3 3" xfId="14183" xr:uid="{58126D6A-1EC5-4E2D-8EA4-37B48174837D}"/>
    <cellStyle name="SAPBEXresDataEmph 6 4" xfId="9057" xr:uid="{F75380BC-709B-40B6-9709-62B514D5290F}"/>
    <cellStyle name="SAPBEXresDataEmph 6 5" xfId="12786" xr:uid="{D4235A16-0D2E-4829-9482-9FD38F72E4C6}"/>
    <cellStyle name="SAPBEXresDataEmph 7" xfId="4153" xr:uid="{0CEBA32C-08F2-4FE5-A5C9-EFDF781928EE}"/>
    <cellStyle name="SAPBEXresDataEmph 7 2" xfId="9603" xr:uid="{0E39C83C-99CD-42DE-9A0C-72A5C982E637}"/>
    <cellStyle name="SAPBEXresDataEmph 7 3" xfId="13232" xr:uid="{70270795-7CC7-4A33-A400-6F5E39189629}"/>
    <cellStyle name="SAPBEXresDataEmph 8" xfId="5685" xr:uid="{F9A5EFC0-8AAA-452C-9C2D-8312E644F472}"/>
    <cellStyle name="SAPBEXresDataEmph 8 2" xfId="11127" xr:uid="{FF68FD9F-4881-4416-9918-64CD590BAF55}"/>
    <cellStyle name="SAPBEXresDataEmph 8 3" xfId="13333" xr:uid="{374BFB59-6F82-4252-AC33-8B990F9B5E54}"/>
    <cellStyle name="SAPBEXresDataEmph 9" xfId="7221" xr:uid="{0CC8EBC2-6A83-4048-80D9-9D9543C33A7A}"/>
    <cellStyle name="SAPBEXresDataEmph_2014 CLEAResult Invoices" xfId="3292" xr:uid="{D00CDFA7-999D-4871-957C-6C67CF289DE7}"/>
    <cellStyle name="SAPBEXresItem" xfId="278" xr:uid="{63CCA7C9-24B9-4733-8909-FEEC1E9CA560}"/>
    <cellStyle name="SAPBEXresItem 10" xfId="8711" xr:uid="{C08A1199-7025-4916-8ACD-1AC9CD01DE59}"/>
    <cellStyle name="SAPBEXresItem 2" xfId="3294" xr:uid="{54EEE1A3-FE67-43FB-8665-1131868ACA0D}"/>
    <cellStyle name="SAPBEXresItem 2 10" xfId="8872" xr:uid="{843DFB6D-ABDA-4650-B03F-9DCF7ED02D60}"/>
    <cellStyle name="SAPBEXresItem 2 11" xfId="12721" xr:uid="{180B3211-7A16-4C6D-9B7B-BA61FB482209}"/>
    <cellStyle name="SAPBEXresItem 2 2" xfId="3688" xr:uid="{33626481-F9FF-49F1-9442-7F53AD24C5A9}"/>
    <cellStyle name="SAPBEXresItem 2 2 2" xfId="6096" xr:uid="{F2E6D33A-9688-411F-A1AF-96807CB8FD67}"/>
    <cellStyle name="SAPBEXresItem 2 2 2 2" xfId="11538" xr:uid="{D6DB68FC-D433-4D22-AD5F-299BB63A60C8}"/>
    <cellStyle name="SAPBEXresItem 2 2 2 3" xfId="13615" xr:uid="{55F5A40B-0E04-4FE0-BBAD-ACC0BF5783CF}"/>
    <cellStyle name="SAPBEXresItem 2 2 3" xfId="6780" xr:uid="{D02335FD-2B22-4A66-9699-480A3E5EB184}"/>
    <cellStyle name="SAPBEXresItem 2 2 3 2" xfId="12222" xr:uid="{BB69FBF9-3B05-4D6B-A784-CF39C3C81542}"/>
    <cellStyle name="SAPBEXresItem 2 2 3 3" xfId="14277" xr:uid="{9948D261-1EEE-4D29-9A9A-CEF7AC1FE87E}"/>
    <cellStyle name="SAPBEXresItem 2 2 4" xfId="9159" xr:uid="{E6B82F56-1768-4CBC-9277-94003991B293}"/>
    <cellStyle name="SAPBEXresItem 2 2 5" xfId="12880" xr:uid="{D6C34599-0C39-4EE3-B19D-32E5A3328EA8}"/>
    <cellStyle name="SAPBEXresItem 2 3" xfId="3754" xr:uid="{DB65B2FD-6279-4D2B-A463-EE1FD6578B3C}"/>
    <cellStyle name="SAPBEXresItem 2 3 2" xfId="6162" xr:uid="{6A49B6BE-1235-45A1-9A43-113181653F8A}"/>
    <cellStyle name="SAPBEXresItem 2 3 2 2" xfId="11604" xr:uid="{BF40D1DD-CE01-4FE2-87A1-E36C57543B1B}"/>
    <cellStyle name="SAPBEXresItem 2 3 2 3" xfId="13679" xr:uid="{5725C925-CA97-4F56-8335-43C5219A50F8}"/>
    <cellStyle name="SAPBEXresItem 2 3 3" xfId="6844" xr:uid="{F1384C62-7CC8-4557-974C-87687965E972}"/>
    <cellStyle name="SAPBEXresItem 2 3 3 2" xfId="12286" xr:uid="{8F32BC39-82F9-49F9-9329-7F3690505F33}"/>
    <cellStyle name="SAPBEXresItem 2 3 3 3" xfId="14339" xr:uid="{68C04EB8-82AA-4E77-ACFE-AF929A08D3F0}"/>
    <cellStyle name="SAPBEXresItem 2 3 4" xfId="9225" xr:uid="{71E377F1-8279-4CBF-A228-FFB079237A59}"/>
    <cellStyle name="SAPBEXresItem 2 3 5" xfId="12942" xr:uid="{6D0599B3-AC7A-4C39-936E-65FEDDBD32E9}"/>
    <cellStyle name="SAPBEXresItem 2 4" xfId="3820" xr:uid="{130CC8A9-1F05-4794-A1B1-3FE72EFAD662}"/>
    <cellStyle name="SAPBEXresItem 2 4 2" xfId="6227" xr:uid="{33D794D4-F17F-4560-A59B-DC2F9A1D6EE7}"/>
    <cellStyle name="SAPBEXresItem 2 4 2 2" xfId="11669" xr:uid="{17EBF055-C914-440A-A422-4842622D784C}"/>
    <cellStyle name="SAPBEXresItem 2 4 2 3" xfId="13743" xr:uid="{E4CF9BFD-EF8F-47C9-8313-46EF782E6BAB}"/>
    <cellStyle name="SAPBEXresItem 2 4 3" xfId="6907" xr:uid="{FE82FB36-9DA2-4CAB-8E95-9F765F5D6982}"/>
    <cellStyle name="SAPBEXresItem 2 4 3 2" xfId="12349" xr:uid="{195A1304-D6EC-4BBD-82C7-42072E353D0F}"/>
    <cellStyle name="SAPBEXresItem 2 4 3 3" xfId="14401" xr:uid="{2A38F829-3A81-4300-B2B4-634ADD91CCF6}"/>
    <cellStyle name="SAPBEXresItem 2 4 4" xfId="9290" xr:uid="{5A605CDA-F4F9-438A-A0FA-9B5041C7A8E1}"/>
    <cellStyle name="SAPBEXresItem 2 4 5" xfId="13004" xr:uid="{4E539279-DF49-4C29-9DAF-C025305BD42C}"/>
    <cellStyle name="SAPBEXresItem 2 5" xfId="3905" xr:uid="{39655B59-A66D-4E14-B9CE-4288F22E63C1}"/>
    <cellStyle name="SAPBEXresItem 2 5 2" xfId="6310" xr:uid="{3201D7E1-4812-4634-80B7-C79F15FDADB2}"/>
    <cellStyle name="SAPBEXresItem 2 5 2 2" xfId="11752" xr:uid="{093A69FD-334C-4EC9-BAF6-C77DF803BD38}"/>
    <cellStyle name="SAPBEXresItem 2 5 2 3" xfId="13824" xr:uid="{C0819DE9-CA06-4ECC-8C34-3C589B3C3135}"/>
    <cellStyle name="SAPBEXresItem 2 5 3" xfId="6988" xr:uid="{481248C0-8674-4E62-B14C-7BE410A109D8}"/>
    <cellStyle name="SAPBEXresItem 2 5 3 2" xfId="12430" xr:uid="{D144424A-850C-4DC0-99F1-9C994158AD47}"/>
    <cellStyle name="SAPBEXresItem 2 5 3 3" xfId="14480" xr:uid="{3DD43B29-7B36-4CF7-8D44-DD0800292DF8}"/>
    <cellStyle name="SAPBEXresItem 2 5 4" xfId="9373" xr:uid="{08F905FC-2CAF-4982-804D-F7FAA603594B}"/>
    <cellStyle name="SAPBEXresItem 2 5 5" xfId="13083" xr:uid="{E156B9E7-CCBA-49EE-8414-6E958E533AE4}"/>
    <cellStyle name="SAPBEXresItem 2 6" xfId="3972" xr:uid="{26F61C2E-1D5F-409A-B426-4F8E01FE522B}"/>
    <cellStyle name="SAPBEXresItem 2 6 2" xfId="6375" xr:uid="{0710F292-CF7F-4F02-BC62-427A32EC88C6}"/>
    <cellStyle name="SAPBEXresItem 2 6 2 2" xfId="11817" xr:uid="{18861220-E48C-4B8D-8B8E-5F611350B30E}"/>
    <cellStyle name="SAPBEXresItem 2 6 2 3" xfId="13888" xr:uid="{5B32187F-B467-4314-AB19-32BFF646D9D5}"/>
    <cellStyle name="SAPBEXresItem 2 6 3" xfId="7051" xr:uid="{9E33FE9B-CF4F-4751-8A0F-E995C7EB579A}"/>
    <cellStyle name="SAPBEXresItem 2 6 3 2" xfId="12493" xr:uid="{CDE536E8-0E17-4E60-9CA5-EF216A82C9E5}"/>
    <cellStyle name="SAPBEXresItem 2 6 3 3" xfId="14542" xr:uid="{588EFFF2-1033-412B-A1FB-14CB559E2D46}"/>
    <cellStyle name="SAPBEXresItem 2 6 4" xfId="9438" xr:uid="{F633C7BA-1A5D-430E-91A9-67ADA3B1A36D}"/>
    <cellStyle name="SAPBEXresItem 2 6 5" xfId="13145" xr:uid="{F1A9B484-E811-433E-91E1-7C2385BBDA7F}"/>
    <cellStyle name="SAPBEXresItem 2 7" xfId="3606" xr:uid="{BCEF92C9-CCC6-4D02-A300-E53E74A9CB7A}"/>
    <cellStyle name="SAPBEXresItem 2 7 2" xfId="6015" xr:uid="{2F7C583A-4D6A-4835-8070-6B3D8B571E6D}"/>
    <cellStyle name="SAPBEXresItem 2 7 2 2" xfId="11457" xr:uid="{50815C7B-2E3C-409B-AD46-E988B2FE17DB}"/>
    <cellStyle name="SAPBEXresItem 2 7 2 3" xfId="13539" xr:uid="{6345CB6F-2F56-4A5A-85D5-68F25CBD3EBA}"/>
    <cellStyle name="SAPBEXresItem 2 7 3" xfId="6699" xr:uid="{73CA9208-5371-4B71-907A-701499ACD950}"/>
    <cellStyle name="SAPBEXresItem 2 7 3 2" xfId="12141" xr:uid="{D92D169B-45DC-43C7-94B0-9F9A44F3E778}"/>
    <cellStyle name="SAPBEXresItem 2 7 3 3" xfId="14201" xr:uid="{91C807D7-BAA7-42C4-982E-A8501EFBA54B}"/>
    <cellStyle name="SAPBEXresItem 2 7 4" xfId="9078" xr:uid="{97521D86-3924-42F6-A8BA-C6D6CFD7EA2B}"/>
    <cellStyle name="SAPBEXresItem 2 7 5" xfId="12804" xr:uid="{2979C98E-2C1E-4CC9-A0D7-195C4DC9C064}"/>
    <cellStyle name="SAPBEXresItem 2 8" xfId="5815" xr:uid="{7057A266-F4B1-41BB-BFDD-F8A447BD359C}"/>
    <cellStyle name="SAPBEXresItem 2 8 2" xfId="11257" xr:uid="{87CEC270-1E52-46FB-A862-7CB31D5CFE53}"/>
    <cellStyle name="SAPBEXresItem 2 8 3" xfId="13456" xr:uid="{85C8C238-208C-4FA7-A64D-FD45A8A69CC2}"/>
    <cellStyle name="SAPBEXresItem 2 9" xfId="6613" xr:uid="{D6A5A9D6-7750-4FA8-BF92-7EE83961658B}"/>
    <cellStyle name="SAPBEXresItem 2 9 2" xfId="12055" xr:uid="{0B3F5AF3-DF02-4820-919E-CC313E423EA0}"/>
    <cellStyle name="SAPBEXresItem 2 9 3" xfId="14118" xr:uid="{37B3ADE8-92EC-44DE-A464-0EDBE7F394D6}"/>
    <cellStyle name="SAPBEXresItem 3" xfId="3293" xr:uid="{CFC83202-32DF-459C-B2DC-1B2581223C2C}"/>
    <cellStyle name="SAPBEXresItem 3 10" xfId="12720" xr:uid="{4228D3EF-A493-46FC-9175-A198C1756BBC}"/>
    <cellStyle name="SAPBEXresItem 3 2" xfId="3803" xr:uid="{A1077716-5410-442C-A452-6A86C9B9A375}"/>
    <cellStyle name="SAPBEXresItem 3 2 2" xfId="6211" xr:uid="{95905709-5F21-4605-87DC-B38D2A39CEC0}"/>
    <cellStyle name="SAPBEXresItem 3 2 2 2" xfId="11653" xr:uid="{5AB6A294-4048-4E30-A427-1FE2AB9F21EE}"/>
    <cellStyle name="SAPBEXresItem 3 2 2 3" xfId="13728" xr:uid="{144BFC95-FDE2-4C15-B178-9D4EFD681648}"/>
    <cellStyle name="SAPBEXresItem 3 2 3" xfId="6893" xr:uid="{32F0DECB-6FEF-480D-B796-AB10A9E1E5A9}"/>
    <cellStyle name="SAPBEXresItem 3 2 3 2" xfId="12335" xr:uid="{E2B9A9FA-59CC-4161-A76E-358CE3E40482}"/>
    <cellStyle name="SAPBEXresItem 3 2 3 3" xfId="14388" xr:uid="{233B7815-E173-420E-B30C-AB60B7F5342B}"/>
    <cellStyle name="SAPBEXresItem 3 2 4" xfId="9274" xr:uid="{4052137E-2943-4DF4-B12F-9E12B7573709}"/>
    <cellStyle name="SAPBEXresItem 3 2 5" xfId="12991" xr:uid="{1AC0ACE5-6018-4FCF-865C-0EFA423B56E6}"/>
    <cellStyle name="SAPBEXresItem 3 3" xfId="3869" xr:uid="{5FB21871-F99F-48E4-9371-1581A27B720D}"/>
    <cellStyle name="SAPBEXresItem 3 3 2" xfId="6276" xr:uid="{90569667-EF06-4ECE-B6E4-5B79273C4003}"/>
    <cellStyle name="SAPBEXresItem 3 3 2 2" xfId="11718" xr:uid="{28ECA70D-A5FA-42E0-ACD0-660719777E04}"/>
    <cellStyle name="SAPBEXresItem 3 3 2 3" xfId="13792" xr:uid="{9F419742-1852-493B-B7E1-FFB8A06ACEDB}"/>
    <cellStyle name="SAPBEXresItem 3 3 3" xfId="6956" xr:uid="{7A4D94AD-D431-4E90-861F-DDFA99E07C3E}"/>
    <cellStyle name="SAPBEXresItem 3 3 3 2" xfId="12398" xr:uid="{C6C0786D-91F2-4A79-87FF-4972D1593C88}"/>
    <cellStyle name="SAPBEXresItem 3 3 3 3" xfId="14450" xr:uid="{EC3E9A7B-9CD4-4FE8-B3D7-63AA6E32BEAC}"/>
    <cellStyle name="SAPBEXresItem 3 3 4" xfId="9339" xr:uid="{5CB99AF1-8D41-48FB-A5DD-A8AC7144BDF5}"/>
    <cellStyle name="SAPBEXresItem 3 3 5" xfId="13053" xr:uid="{DFF4B874-56F1-466E-983C-EA6C5C1AC2C8}"/>
    <cellStyle name="SAPBEXresItem 3 4" xfId="3954" xr:uid="{740103B5-22A4-413F-B42E-7762C809E536}"/>
    <cellStyle name="SAPBEXresItem 3 4 2" xfId="6359" xr:uid="{4919899A-9EAD-4A48-8197-3D1F73789076}"/>
    <cellStyle name="SAPBEXresItem 3 4 2 2" xfId="11801" xr:uid="{A690CB65-79AB-4600-A624-00D915DB24D0}"/>
    <cellStyle name="SAPBEXresItem 3 4 2 3" xfId="13873" xr:uid="{97C758B0-AF5E-44EB-A461-3B2171EE0A64}"/>
    <cellStyle name="SAPBEXresItem 3 4 3" xfId="7037" xr:uid="{3AF340ED-B486-4128-9A2E-D211DFFA92CA}"/>
    <cellStyle name="SAPBEXresItem 3 4 3 2" xfId="12479" xr:uid="{56585416-2EDD-4EA6-AAF8-E3B0B20BA031}"/>
    <cellStyle name="SAPBEXresItem 3 4 3 3" xfId="14529" xr:uid="{B5F74B8C-2DF8-4B30-AFC5-F3ACD2B4C149}"/>
    <cellStyle name="SAPBEXresItem 3 4 4" xfId="9422" xr:uid="{A240C1EF-C7D8-42A8-98E4-06E10FC5D87D}"/>
    <cellStyle name="SAPBEXresItem 3 4 5" xfId="13132" xr:uid="{FA22E262-78E9-4762-80B2-ED6F2E4CDF4A}"/>
    <cellStyle name="SAPBEXresItem 3 5" xfId="4021" xr:uid="{8FE2A185-BD65-47B7-B0FE-E7164F3581D9}"/>
    <cellStyle name="SAPBEXresItem 3 5 2" xfId="6424" xr:uid="{F3D7208A-E7DA-45E2-B9CD-930595FBC7FD}"/>
    <cellStyle name="SAPBEXresItem 3 5 2 2" xfId="11866" xr:uid="{1171DEF6-2C70-4273-8FD7-A7BD91705F59}"/>
    <cellStyle name="SAPBEXresItem 3 5 2 3" xfId="13937" xr:uid="{539312F2-F8FD-451E-9B9A-4BE67BBDDD35}"/>
    <cellStyle name="SAPBEXresItem 3 5 3" xfId="7100" xr:uid="{31A4BCC8-FEDD-4DE7-8BF6-5E0CC966E30C}"/>
    <cellStyle name="SAPBEXresItem 3 5 3 2" xfId="12542" xr:uid="{273EC9E0-CB91-4AF9-8392-07C66157639D}"/>
    <cellStyle name="SAPBEXresItem 3 5 3 3" xfId="14591" xr:uid="{F2002BE9-D904-4462-B4CB-64297A568739}"/>
    <cellStyle name="SAPBEXresItem 3 5 4" xfId="9487" xr:uid="{695FA28A-3C08-485D-9A0E-9AC791DDE367}"/>
    <cellStyle name="SAPBEXresItem 3 5 5" xfId="13194" xr:uid="{6014968E-2004-4F0E-A334-2A8E18F75A0A}"/>
    <cellStyle name="SAPBEXresItem 3 6" xfId="3737" xr:uid="{8338B40D-634A-4579-8AEB-A751D04C8EB0}"/>
    <cellStyle name="SAPBEXresItem 3 6 2" xfId="6145" xr:uid="{D54CF84A-3196-4DFE-8E88-22F60AD83DEF}"/>
    <cellStyle name="SAPBEXresItem 3 6 2 2" xfId="11587" xr:uid="{BB5C7E05-A7D5-4A80-B2A3-0B6FD98AA2B3}"/>
    <cellStyle name="SAPBEXresItem 3 6 2 3" xfId="13664" xr:uid="{51BEFED1-1232-4A04-9761-EA7C95C6033A}"/>
    <cellStyle name="SAPBEXresItem 3 6 3" xfId="6829" xr:uid="{0B6215E1-B69F-43D7-A56A-96AA5FC5F319}"/>
    <cellStyle name="SAPBEXresItem 3 6 3 2" xfId="12271" xr:uid="{4512C57C-6376-48AC-8F0C-5CF27F6943A9}"/>
    <cellStyle name="SAPBEXresItem 3 6 3 3" xfId="14326" xr:uid="{0EA3477E-8084-452D-BCF4-B0DB9DACAFB5}"/>
    <cellStyle name="SAPBEXresItem 3 6 4" xfId="9208" xr:uid="{A00FD8A4-FF8F-47ED-A7BE-7242B0108BBC}"/>
    <cellStyle name="SAPBEXresItem 3 6 5" xfId="12929" xr:uid="{F34A9B8E-CC20-46AA-BFBF-AAAAAEE6D42C}"/>
    <cellStyle name="SAPBEXresItem 3 7" xfId="5814" xr:uid="{5FA72B83-FEE8-4A18-80DB-1448230A35FC}"/>
    <cellStyle name="SAPBEXresItem 3 7 2" xfId="11256" xr:uid="{6C83A7B4-885E-4208-A7A3-0C8B624C86B1}"/>
    <cellStyle name="SAPBEXresItem 3 7 3" xfId="13455" xr:uid="{5C9F4D3C-3242-4045-AB98-4AE83FE414BE}"/>
    <cellStyle name="SAPBEXresItem 3 8" xfId="6612" xr:uid="{34F0C3AE-9CFA-4443-ADE3-2DC42F4FC3AF}"/>
    <cellStyle name="SAPBEXresItem 3 8 2" xfId="12054" xr:uid="{E278FD90-45A7-4615-A2DA-5AE081C9510D}"/>
    <cellStyle name="SAPBEXresItem 3 8 3" xfId="14117" xr:uid="{B66A5966-2C89-4F99-A61A-609EE9E01181}"/>
    <cellStyle name="SAPBEXresItem 3 9" xfId="8871" xr:uid="{48895A5D-26CD-461F-89CD-32F20FB097D6}"/>
    <cellStyle name="SAPBEXresItem 4" xfId="3671" xr:uid="{CCEBB41E-108A-485B-8A45-A609DA6835F8}"/>
    <cellStyle name="SAPBEXresItem 4 2" xfId="6079" xr:uid="{EE653598-4F80-4C88-ADD5-89D7D2898FA4}"/>
    <cellStyle name="SAPBEXresItem 4 2 2" xfId="11521" xr:uid="{FE37716A-A18A-4160-A7DB-62DED27D7AC5}"/>
    <cellStyle name="SAPBEXresItem 4 2 3" xfId="13600" xr:uid="{2B46526A-ACCF-4DB6-94FA-8E023BD2D9B5}"/>
    <cellStyle name="SAPBEXresItem 4 3" xfId="6763" xr:uid="{F3B62AA6-635C-4E55-AA53-55B509143802}"/>
    <cellStyle name="SAPBEXresItem 4 3 2" xfId="12205" xr:uid="{FE729EA8-6711-40B3-9E97-F3EBFA97712C}"/>
    <cellStyle name="SAPBEXresItem 4 3 3" xfId="14262" xr:uid="{A9DB5278-928E-47BC-8774-00EE985E95AF}"/>
    <cellStyle name="SAPBEXresItem 4 4" xfId="9142" xr:uid="{3AD5F40F-A3D5-4404-8213-47CE6EA04D4D}"/>
    <cellStyle name="SAPBEXresItem 4 5" xfId="12865" xr:uid="{9506DF24-4901-414E-9D46-6D342BE35742}"/>
    <cellStyle name="SAPBEXresItem 5" xfId="3886" xr:uid="{10B429D6-C0CE-4E9B-94D4-3D4B64587EDF}"/>
    <cellStyle name="SAPBEXresItem 5 2" xfId="6293" xr:uid="{41D3513F-1F87-45A8-B9C6-22A94DA42363}"/>
    <cellStyle name="SAPBEXresItem 5 2 2" xfId="11735" xr:uid="{D616EDF2-0B36-40DE-BD7D-550FBCD4F784}"/>
    <cellStyle name="SAPBEXresItem 5 2 3" xfId="13809" xr:uid="{FDDCAAD7-1A82-42EA-BD51-86BC30153003}"/>
    <cellStyle name="SAPBEXresItem 5 3" xfId="6973" xr:uid="{D18AC698-8412-4BBC-946E-7242D0260252}"/>
    <cellStyle name="SAPBEXresItem 5 3 2" xfId="12415" xr:uid="{3F5AF69D-7B1C-4D2B-9234-032B43918EFE}"/>
    <cellStyle name="SAPBEXresItem 5 3 3" xfId="14467" xr:uid="{529F28A2-E5F0-4CF7-9F9C-B4E923670B7A}"/>
    <cellStyle name="SAPBEXresItem 5 4" xfId="9356" xr:uid="{9B130DCB-3E6E-44A0-9C1D-11B2EC6823F0}"/>
    <cellStyle name="SAPBEXresItem 5 5" xfId="13070" xr:uid="{0F3F3426-5F7E-4C62-87A9-916C1597EC42}"/>
    <cellStyle name="SAPBEXresItem 6" xfId="3586" xr:uid="{4A6C3EAE-594C-4A1C-A9FD-0C93980F7703}"/>
    <cellStyle name="SAPBEXresItem 6 2" xfId="5997" xr:uid="{7279D372-0CFD-42FF-BCA2-209DCFCDBD3F}"/>
    <cellStyle name="SAPBEXresItem 6 2 2" xfId="11439" xr:uid="{2A933C2D-9BF9-4349-877E-10C3C11F2ED3}"/>
    <cellStyle name="SAPBEXresItem 6 2 3" xfId="13523" xr:uid="{3231580B-7D1B-4022-8DAE-7AB63A1E37C0}"/>
    <cellStyle name="SAPBEXresItem 6 3" xfId="6680" xr:uid="{EF085941-05B7-4702-B279-7385604DFFD8}"/>
    <cellStyle name="SAPBEXresItem 6 3 2" xfId="12122" xr:uid="{A5983D91-FE88-4698-A5CA-14BC088DA6F7}"/>
    <cellStyle name="SAPBEXresItem 6 3 3" xfId="14184" xr:uid="{49229B4D-036A-459C-906B-A34DABF5EF95}"/>
    <cellStyle name="SAPBEXresItem 6 4" xfId="9058" xr:uid="{DC8EA36A-AD21-4707-B830-53B07782BBB9}"/>
    <cellStyle name="SAPBEXresItem 6 5" xfId="12787" xr:uid="{A601E745-A38C-4D25-8DC1-7E20BBF8AA7D}"/>
    <cellStyle name="SAPBEXresItem 7" xfId="4154" xr:uid="{7D5F6200-13AD-4073-83B4-1F294AD13E0B}"/>
    <cellStyle name="SAPBEXresItem 7 2" xfId="9604" xr:uid="{60F97D37-B24C-4723-AF4C-1755863B67E2}"/>
    <cellStyle name="SAPBEXresItem 7 3" xfId="13233" xr:uid="{80FADA0B-0488-4DB7-8D4F-67C502BF702B}"/>
    <cellStyle name="SAPBEXresItem 8" xfId="5675" xr:uid="{148A4618-F61E-440A-A176-B62F6174FE7B}"/>
    <cellStyle name="SAPBEXresItem 8 2" xfId="11117" xr:uid="{21042ABB-01DB-4F11-8A47-599C4A988C69}"/>
    <cellStyle name="SAPBEXresItem 8 3" xfId="13323" xr:uid="{3ABAC15C-4644-43E4-95C1-4BD907F7D2EA}"/>
    <cellStyle name="SAPBEXresItem 9" xfId="7222" xr:uid="{DC7C77C7-0890-491A-AE92-CE2E639D7A39}"/>
    <cellStyle name="SAPBEXresItem_2014 CLEAResult Invoices" xfId="3295" xr:uid="{C12B3EA9-2942-4553-A3D7-453FEB081C82}"/>
    <cellStyle name="SAPBEXresItemX" xfId="279" xr:uid="{1F874F4C-EDED-489F-94D6-B152C9241123}"/>
    <cellStyle name="SAPBEXresItemX 10" xfId="8710" xr:uid="{7F8C46B0-BB36-4CDB-AAE8-64E0845DA92B}"/>
    <cellStyle name="SAPBEXresItemX 2" xfId="3297" xr:uid="{815E2108-C1BD-47B3-8219-3EC8F3C13B1D}"/>
    <cellStyle name="SAPBEXresItemX 2 10" xfId="8874" xr:uid="{3B60FAE9-7B5E-4AB2-89BB-ACA76BB536AD}"/>
    <cellStyle name="SAPBEXresItemX 2 11" xfId="12723" xr:uid="{34984E8F-16E7-4FE2-96FE-02EB1249F792}"/>
    <cellStyle name="SAPBEXresItemX 2 2" xfId="3685" xr:uid="{6316FBFA-2513-4E03-BB01-731A31A849D4}"/>
    <cellStyle name="SAPBEXresItemX 2 2 2" xfId="6093" xr:uid="{6C6EDE81-CD0B-49D2-A3B7-F6C96BF10BE8}"/>
    <cellStyle name="SAPBEXresItemX 2 2 2 2" xfId="11535" xr:uid="{42ABB210-1575-447F-919D-81F41AA73B43}"/>
    <cellStyle name="SAPBEXresItemX 2 2 2 3" xfId="13612" xr:uid="{976C4312-00E5-48E0-ADA8-BAFAA133D0B9}"/>
    <cellStyle name="SAPBEXresItemX 2 2 3" xfId="6777" xr:uid="{04397C1B-FCB3-46EA-B143-0E452D56D4CF}"/>
    <cellStyle name="SAPBEXresItemX 2 2 3 2" xfId="12219" xr:uid="{E9DB5851-DD2C-49D2-BEFF-61EFC1762F54}"/>
    <cellStyle name="SAPBEXresItemX 2 2 3 3" xfId="14274" xr:uid="{9DB02931-2D97-4531-9C05-C21335C5E516}"/>
    <cellStyle name="SAPBEXresItemX 2 2 4" xfId="9156" xr:uid="{E0744B17-4430-407B-AE55-2BD259222A8F}"/>
    <cellStyle name="SAPBEXresItemX 2 2 5" xfId="12877" xr:uid="{7D088362-F880-46F0-8D6B-42075CFF0745}"/>
    <cellStyle name="SAPBEXresItemX 2 3" xfId="3751" xr:uid="{60EECED4-7296-4934-83DB-70693B7DF7BF}"/>
    <cellStyle name="SAPBEXresItemX 2 3 2" xfId="6159" xr:uid="{E1713D6A-CB12-42C1-88CC-5A685A04053F}"/>
    <cellStyle name="SAPBEXresItemX 2 3 2 2" xfId="11601" xr:uid="{753390E3-DD6D-4B92-A4B9-7AC4E7C34417}"/>
    <cellStyle name="SAPBEXresItemX 2 3 2 3" xfId="13676" xr:uid="{F2E282F8-2E47-4105-B166-A313FD9D7BE4}"/>
    <cellStyle name="SAPBEXresItemX 2 3 3" xfId="6841" xr:uid="{EFBBE919-F811-43ED-81F7-7401F6E886A0}"/>
    <cellStyle name="SAPBEXresItemX 2 3 3 2" xfId="12283" xr:uid="{FF8CF73F-4567-4431-BD62-CA4D883EF794}"/>
    <cellStyle name="SAPBEXresItemX 2 3 3 3" xfId="14336" xr:uid="{BA200356-ABD7-4BAA-97E5-4DBFC7BBC051}"/>
    <cellStyle name="SAPBEXresItemX 2 3 4" xfId="9222" xr:uid="{F4889A04-95B4-44D6-8404-19F46A8234DC}"/>
    <cellStyle name="SAPBEXresItemX 2 3 5" xfId="12939" xr:uid="{0414892C-894E-4AE7-BD67-539DF7D17A48}"/>
    <cellStyle name="SAPBEXresItemX 2 4" xfId="3817" xr:uid="{5FE7FAB1-DEE6-486B-B23E-72B19AE153F9}"/>
    <cellStyle name="SAPBEXresItemX 2 4 2" xfId="6224" xr:uid="{1411E713-7933-478F-8CB3-87D3D310D27B}"/>
    <cellStyle name="SAPBEXresItemX 2 4 2 2" xfId="11666" xr:uid="{5125893A-DBFD-4C5E-A217-D66794026516}"/>
    <cellStyle name="SAPBEXresItemX 2 4 2 3" xfId="13740" xr:uid="{B1B3F80C-DAB7-4F8D-B139-D9F3A9DAEF0F}"/>
    <cellStyle name="SAPBEXresItemX 2 4 3" xfId="6904" xr:uid="{A9EEB430-F756-4312-ADFF-4D1DE3E3DA91}"/>
    <cellStyle name="SAPBEXresItemX 2 4 3 2" xfId="12346" xr:uid="{8520C869-88D7-40B8-834D-A367EA0AC6C3}"/>
    <cellStyle name="SAPBEXresItemX 2 4 3 3" xfId="14398" xr:uid="{F4E47FAB-8CDA-46BB-B853-38340BC63BFC}"/>
    <cellStyle name="SAPBEXresItemX 2 4 4" xfId="9287" xr:uid="{66D4B913-224B-4643-AD2A-D52C85864F88}"/>
    <cellStyle name="SAPBEXresItemX 2 4 5" xfId="13001" xr:uid="{8D0EF593-EDF7-42D0-919B-49300B125841}"/>
    <cellStyle name="SAPBEXresItemX 2 5" xfId="3902" xr:uid="{59E2C6E2-DE91-486C-8512-914A51D95B18}"/>
    <cellStyle name="SAPBEXresItemX 2 5 2" xfId="6307" xr:uid="{3E090473-A9D7-4143-B249-32AABCFB95BE}"/>
    <cellStyle name="SAPBEXresItemX 2 5 2 2" xfId="11749" xr:uid="{57CEB187-D8A4-405D-8F20-BC69875F46E8}"/>
    <cellStyle name="SAPBEXresItemX 2 5 2 3" xfId="13821" xr:uid="{9821C437-0ED5-4EE8-87D5-B56A18FCCBF2}"/>
    <cellStyle name="SAPBEXresItemX 2 5 3" xfId="6985" xr:uid="{C94D7338-2CEF-4FD9-A65D-9553FFF4E517}"/>
    <cellStyle name="SAPBEXresItemX 2 5 3 2" xfId="12427" xr:uid="{810DF889-944C-4D8F-A59F-51F17639CAE7}"/>
    <cellStyle name="SAPBEXresItemX 2 5 3 3" xfId="14477" xr:uid="{CDDA7482-51C2-4D56-9C91-AE11568682B7}"/>
    <cellStyle name="SAPBEXresItemX 2 5 4" xfId="9370" xr:uid="{33B953F0-F153-4E11-8619-538B85B77236}"/>
    <cellStyle name="SAPBEXresItemX 2 5 5" xfId="13080" xr:uid="{5D72E855-83C2-4490-ADFF-5533082A8D23}"/>
    <cellStyle name="SAPBEXresItemX 2 6" xfId="3969" xr:uid="{73BB292F-D600-48C2-AD66-7B78CCC6D22E}"/>
    <cellStyle name="SAPBEXresItemX 2 6 2" xfId="6372" xr:uid="{77929D1C-2508-4812-91C6-3E3896264FAA}"/>
    <cellStyle name="SAPBEXresItemX 2 6 2 2" xfId="11814" xr:uid="{1EC2CAB8-D898-4189-B74B-351A0EEEBCE2}"/>
    <cellStyle name="SAPBEXresItemX 2 6 2 3" xfId="13885" xr:uid="{A1203DB3-FB67-41A9-A925-6646EF2D9BC2}"/>
    <cellStyle name="SAPBEXresItemX 2 6 3" xfId="7048" xr:uid="{F1F5515C-4C9E-43A6-AD8A-AEE33B255355}"/>
    <cellStyle name="SAPBEXresItemX 2 6 3 2" xfId="12490" xr:uid="{C1E6BA2A-28E0-436A-B95E-32290E746B17}"/>
    <cellStyle name="SAPBEXresItemX 2 6 3 3" xfId="14539" xr:uid="{EBAF20A3-C17C-441C-9AE5-7346DDB822DE}"/>
    <cellStyle name="SAPBEXresItemX 2 6 4" xfId="9435" xr:uid="{DBCBBA90-EA5F-4EC2-B569-41B0B3CC0C05}"/>
    <cellStyle name="SAPBEXresItemX 2 6 5" xfId="13142" xr:uid="{5E6F578A-203F-47F8-8877-58A0320E2325}"/>
    <cellStyle name="SAPBEXresItemX 2 7" xfId="3603" xr:uid="{C75A7853-EC9D-4F6E-9087-7F21A18535CF}"/>
    <cellStyle name="SAPBEXresItemX 2 7 2" xfId="6012" xr:uid="{854E846A-E4A4-44D1-BE2F-7F50454477E2}"/>
    <cellStyle name="SAPBEXresItemX 2 7 2 2" xfId="11454" xr:uid="{6B415932-0D3A-49A0-91C8-7AD949D221ED}"/>
    <cellStyle name="SAPBEXresItemX 2 7 2 3" xfId="13536" xr:uid="{EA27B33B-6360-4FF7-933B-40B59360B1B3}"/>
    <cellStyle name="SAPBEXresItemX 2 7 3" xfId="6696" xr:uid="{9C6CF5B0-5A42-4665-B6BA-245CB00FE973}"/>
    <cellStyle name="SAPBEXresItemX 2 7 3 2" xfId="12138" xr:uid="{200E549D-711C-4CBE-A23F-24A41F7FC9C3}"/>
    <cellStyle name="SAPBEXresItemX 2 7 3 3" xfId="14198" xr:uid="{D3621785-7DCF-4255-B867-95E8E38D6D20}"/>
    <cellStyle name="SAPBEXresItemX 2 7 4" xfId="9075" xr:uid="{41C18B3C-B3BB-476E-ACAE-B9F79FFDB3C7}"/>
    <cellStyle name="SAPBEXresItemX 2 7 5" xfId="12801" xr:uid="{FF6AEA97-EF49-4135-ABD6-84E178EC893F}"/>
    <cellStyle name="SAPBEXresItemX 2 8" xfId="5817" xr:uid="{D2085A5B-E610-42ED-B450-890B0AA34213}"/>
    <cellStyle name="SAPBEXresItemX 2 8 2" xfId="11259" xr:uid="{127AFB94-36E6-4ECB-B844-7BE737C79D4A}"/>
    <cellStyle name="SAPBEXresItemX 2 8 3" xfId="13458" xr:uid="{89AE42CB-51C3-488A-8F9F-1A9181CAB54F}"/>
    <cellStyle name="SAPBEXresItemX 2 9" xfId="6615" xr:uid="{4066622F-58D3-4FA3-A532-7DD87FCE9C50}"/>
    <cellStyle name="SAPBEXresItemX 2 9 2" xfId="12057" xr:uid="{1DF3FAA3-E836-4F32-A535-DD44EFEDB330}"/>
    <cellStyle name="SAPBEXresItemX 2 9 3" xfId="14120" xr:uid="{8618B352-B07F-49CD-9220-DBB8F1A40A69}"/>
    <cellStyle name="SAPBEXresItemX 3" xfId="3296" xr:uid="{3ADFB2E5-D75F-488E-9971-CA5E952CEFA7}"/>
    <cellStyle name="SAPBEXresItemX 3 10" xfId="12722" xr:uid="{E24B12D1-133E-408C-A0E0-3D9A7C1AF335}"/>
    <cellStyle name="SAPBEXresItemX 3 2" xfId="3804" xr:uid="{A1418B3B-7C5A-45BD-8C55-3450F664CA9C}"/>
    <cellStyle name="SAPBEXresItemX 3 2 2" xfId="6212" xr:uid="{091C3F48-226C-473C-874E-4BC4CBD5F179}"/>
    <cellStyle name="SAPBEXresItemX 3 2 2 2" xfId="11654" xr:uid="{87E9B7D5-0403-4218-A95C-2E866F4471AA}"/>
    <cellStyle name="SAPBEXresItemX 3 2 2 3" xfId="13729" xr:uid="{BF435B7E-E8CD-44BF-8660-BD9CB089FEF0}"/>
    <cellStyle name="SAPBEXresItemX 3 2 3" xfId="6894" xr:uid="{028B2B8B-3DD2-49C4-B1F9-100CC8D385A3}"/>
    <cellStyle name="SAPBEXresItemX 3 2 3 2" xfId="12336" xr:uid="{0862705D-953A-4D46-9738-6C37491DA63C}"/>
    <cellStyle name="SAPBEXresItemX 3 2 3 3" xfId="14389" xr:uid="{10887EE0-9044-452D-9302-B414FA256C98}"/>
    <cellStyle name="SAPBEXresItemX 3 2 4" xfId="9275" xr:uid="{0BA74B0B-63EB-44EC-92F0-C01767418E4E}"/>
    <cellStyle name="SAPBEXresItemX 3 2 5" xfId="12992" xr:uid="{D300EE3C-49C0-40DC-99F0-E4649846ADA8}"/>
    <cellStyle name="SAPBEXresItemX 3 3" xfId="3870" xr:uid="{CAB796F8-D06A-4103-A43D-44BFD1A7DFFF}"/>
    <cellStyle name="SAPBEXresItemX 3 3 2" xfId="6277" xr:uid="{82D32B08-4D10-43A2-9B91-C5509BBE5AB1}"/>
    <cellStyle name="SAPBEXresItemX 3 3 2 2" xfId="11719" xr:uid="{1381E190-6A4C-4FD7-B65C-EC6D6CEEBD36}"/>
    <cellStyle name="SAPBEXresItemX 3 3 2 3" xfId="13793" xr:uid="{069902BF-BBDE-4311-B17C-B2DA8CCA144A}"/>
    <cellStyle name="SAPBEXresItemX 3 3 3" xfId="6957" xr:uid="{A97CFE24-4C72-4765-995F-47C71B59F473}"/>
    <cellStyle name="SAPBEXresItemX 3 3 3 2" xfId="12399" xr:uid="{71AA8E6D-8EC1-4526-9D86-58B78BB31F20}"/>
    <cellStyle name="SAPBEXresItemX 3 3 3 3" xfId="14451" xr:uid="{7249918E-F18B-4E71-BF0F-FB8360E537BF}"/>
    <cellStyle name="SAPBEXresItemX 3 3 4" xfId="9340" xr:uid="{356E20CA-0F8E-4354-8B8D-DE9A9169EBDF}"/>
    <cellStyle name="SAPBEXresItemX 3 3 5" xfId="13054" xr:uid="{B15A5A9A-3CBA-4F0E-A6C4-C807C5D55947}"/>
    <cellStyle name="SAPBEXresItemX 3 4" xfId="3955" xr:uid="{DD0D6063-0291-409B-8E44-06F3F9D87C60}"/>
    <cellStyle name="SAPBEXresItemX 3 4 2" xfId="6360" xr:uid="{37DB9F32-E6C3-4E75-9326-7D85BD331AB6}"/>
    <cellStyle name="SAPBEXresItemX 3 4 2 2" xfId="11802" xr:uid="{FDC18805-D4BF-4CD9-90F3-2352CF49ABCC}"/>
    <cellStyle name="SAPBEXresItemX 3 4 2 3" xfId="13874" xr:uid="{0B91B6E5-66ED-4E61-B97D-745D98DD9CCB}"/>
    <cellStyle name="SAPBEXresItemX 3 4 3" xfId="7038" xr:uid="{594B9B0D-8E12-483A-AD4E-E4FB242F324D}"/>
    <cellStyle name="SAPBEXresItemX 3 4 3 2" xfId="12480" xr:uid="{83861D5D-6C8B-4419-A20B-78DB8311D53B}"/>
    <cellStyle name="SAPBEXresItemX 3 4 3 3" xfId="14530" xr:uid="{9A05122E-9C8C-492B-9E6F-650FE1E231B3}"/>
    <cellStyle name="SAPBEXresItemX 3 4 4" xfId="9423" xr:uid="{98E11B30-4528-4861-A5E7-BD2E55CB5D27}"/>
    <cellStyle name="SAPBEXresItemX 3 4 5" xfId="13133" xr:uid="{3D228147-D1CA-4669-89D0-D54948CC26F8}"/>
    <cellStyle name="SAPBEXresItemX 3 5" xfId="4022" xr:uid="{F9E5B9E0-B780-4E4E-86C4-8B052319F720}"/>
    <cellStyle name="SAPBEXresItemX 3 5 2" xfId="6425" xr:uid="{835AFCE2-D7D3-41CF-A222-F06773996885}"/>
    <cellStyle name="SAPBEXresItemX 3 5 2 2" xfId="11867" xr:uid="{BB11D612-2C19-4FB3-885F-985DC4940885}"/>
    <cellStyle name="SAPBEXresItemX 3 5 2 3" xfId="13938" xr:uid="{8331F747-FD02-4088-A666-9671FA5BD176}"/>
    <cellStyle name="SAPBEXresItemX 3 5 3" xfId="7101" xr:uid="{7AA16BF6-7165-4D32-AD61-2E778776FE42}"/>
    <cellStyle name="SAPBEXresItemX 3 5 3 2" xfId="12543" xr:uid="{91A1EAED-5988-4012-BFF3-7B7020CC5F80}"/>
    <cellStyle name="SAPBEXresItemX 3 5 3 3" xfId="14592" xr:uid="{79A46872-D99A-4CEA-A2EC-76E13A232214}"/>
    <cellStyle name="SAPBEXresItemX 3 5 4" xfId="9488" xr:uid="{AD2C763F-6AC0-4F01-929B-F4AF1F3C321C}"/>
    <cellStyle name="SAPBEXresItemX 3 5 5" xfId="13195" xr:uid="{A748F794-019F-4F25-8773-41CFE7585BCC}"/>
    <cellStyle name="SAPBEXresItemX 3 6" xfId="3738" xr:uid="{C6E3F2AA-FC51-4CF0-B7A3-A897C087E8F6}"/>
    <cellStyle name="SAPBEXresItemX 3 6 2" xfId="6146" xr:uid="{D22430D1-3D3D-4990-9B08-0B7BB8EF1579}"/>
    <cellStyle name="SAPBEXresItemX 3 6 2 2" xfId="11588" xr:uid="{FFCFEC03-0624-493C-8A66-4EC49ADFBDA8}"/>
    <cellStyle name="SAPBEXresItemX 3 6 2 3" xfId="13665" xr:uid="{BAAE2398-0F2E-43D3-96D8-892ABE4E1EF9}"/>
    <cellStyle name="SAPBEXresItemX 3 6 3" xfId="6830" xr:uid="{1E8C1B4E-1C85-4C22-B69F-1154039DE6C7}"/>
    <cellStyle name="SAPBEXresItemX 3 6 3 2" xfId="12272" xr:uid="{97037003-9122-46B0-80DE-E74C42D9A4A9}"/>
    <cellStyle name="SAPBEXresItemX 3 6 3 3" xfId="14327" xr:uid="{8EB638A8-5884-4DFF-BC6E-9F8ABFAD033F}"/>
    <cellStyle name="SAPBEXresItemX 3 6 4" xfId="9209" xr:uid="{447980F1-7119-4F83-91C5-827D2B5B9527}"/>
    <cellStyle name="SAPBEXresItemX 3 6 5" xfId="12930" xr:uid="{1F31805D-93BE-4A94-8DFC-97A9F8D2030F}"/>
    <cellStyle name="SAPBEXresItemX 3 7" xfId="5816" xr:uid="{7F03567B-0C9E-4A79-8BD8-EFCB038088DD}"/>
    <cellStyle name="SAPBEXresItemX 3 7 2" xfId="11258" xr:uid="{4C2471E5-DC30-4148-8447-356373AD29E0}"/>
    <cellStyle name="SAPBEXresItemX 3 7 3" xfId="13457" xr:uid="{885BAF3A-129D-4239-B226-212E3F987997}"/>
    <cellStyle name="SAPBEXresItemX 3 8" xfId="6614" xr:uid="{A2359B09-0649-4927-B119-43E7DDCDF0CA}"/>
    <cellStyle name="SAPBEXresItemX 3 8 2" xfId="12056" xr:uid="{DB94E186-CF2E-481A-BF0F-942648F53B46}"/>
    <cellStyle name="SAPBEXresItemX 3 8 3" xfId="14119" xr:uid="{55BCAF62-E47D-4BC2-83B3-186599B7A559}"/>
    <cellStyle name="SAPBEXresItemX 3 9" xfId="8873" xr:uid="{EADB4494-D011-4077-A3B5-76624E1D3E95}"/>
    <cellStyle name="SAPBEXresItemX 4" xfId="3672" xr:uid="{B060CAFB-D2DA-4FC7-BD60-C80F06DE29A8}"/>
    <cellStyle name="SAPBEXresItemX 4 2" xfId="6080" xr:uid="{5F870BED-B8EF-46F6-9E50-2DF1D9F4E39C}"/>
    <cellStyle name="SAPBEXresItemX 4 2 2" xfId="11522" xr:uid="{7EC19ED2-A972-4A71-98FC-5B6620592489}"/>
    <cellStyle name="SAPBEXresItemX 4 2 3" xfId="13601" xr:uid="{9172EC76-533D-41F5-A51A-8DCA8128FA2B}"/>
    <cellStyle name="SAPBEXresItemX 4 3" xfId="6764" xr:uid="{DBC53AE6-C9A3-411B-8359-D8B28DCCBDFD}"/>
    <cellStyle name="SAPBEXresItemX 4 3 2" xfId="12206" xr:uid="{04FD426F-F6B7-4A5B-AC72-EC75DDEAC910}"/>
    <cellStyle name="SAPBEXresItemX 4 3 3" xfId="14263" xr:uid="{67B5B853-3B1B-4F04-87BB-C5DF76107693}"/>
    <cellStyle name="SAPBEXresItemX 4 4" xfId="9143" xr:uid="{15BC4529-3E29-4641-941E-83377C01B7D1}"/>
    <cellStyle name="SAPBEXresItemX 4 5" xfId="12866" xr:uid="{0888A8CB-C803-4C6D-9B58-2F3A8A96C87B}"/>
    <cellStyle name="SAPBEXresItemX 5" xfId="3887" xr:uid="{05188643-C12C-449B-A547-6235A24965F4}"/>
    <cellStyle name="SAPBEXresItemX 5 2" xfId="6294" xr:uid="{AB3E9B61-CB2F-4A78-881C-A392E5163FAC}"/>
    <cellStyle name="SAPBEXresItemX 5 2 2" xfId="11736" xr:uid="{C9570031-B7FA-4AAF-B171-55233545C428}"/>
    <cellStyle name="SAPBEXresItemX 5 2 3" xfId="13810" xr:uid="{91D4D1C1-15BE-44CE-8D1A-A23D65B300F9}"/>
    <cellStyle name="SAPBEXresItemX 5 3" xfId="6974" xr:uid="{12A34936-04D1-4D93-AFEB-7F08401CF891}"/>
    <cellStyle name="SAPBEXresItemX 5 3 2" xfId="12416" xr:uid="{2DCB7385-3DE1-4C50-B7FF-C3939F0C70EA}"/>
    <cellStyle name="SAPBEXresItemX 5 3 3" xfId="14468" xr:uid="{2D2562E1-CDDF-49CA-BD83-7280CF344A4B}"/>
    <cellStyle name="SAPBEXresItemX 5 4" xfId="9357" xr:uid="{61F49A5C-D2BD-4E7C-9A9A-E667F91589D2}"/>
    <cellStyle name="SAPBEXresItemX 5 5" xfId="13071" xr:uid="{4C4A2850-A5B4-4AC6-B3E0-EDF79212B424}"/>
    <cellStyle name="SAPBEXresItemX 6" xfId="3587" xr:uid="{5569ABF7-FC09-4EA0-A407-6AB82429F111}"/>
    <cellStyle name="SAPBEXresItemX 6 2" xfId="5998" xr:uid="{43AFA43C-2D2A-4286-AF77-464AEF54F87C}"/>
    <cellStyle name="SAPBEXresItemX 6 2 2" xfId="11440" xr:uid="{0406302D-B10D-43EE-B276-3747B636711A}"/>
    <cellStyle name="SAPBEXresItemX 6 2 3" xfId="13524" xr:uid="{EE4D1DF0-39A4-4ECD-8E97-7AFC5F9B9782}"/>
    <cellStyle name="SAPBEXresItemX 6 3" xfId="6681" xr:uid="{40A086D7-262A-462A-8BFF-B81AF0B37533}"/>
    <cellStyle name="SAPBEXresItemX 6 3 2" xfId="12123" xr:uid="{E6C9BC37-9A71-4BDF-A02C-A136CED590D0}"/>
    <cellStyle name="SAPBEXresItemX 6 3 3" xfId="14185" xr:uid="{9E90FD2A-EF8D-4E0C-92F5-BC9B96A39300}"/>
    <cellStyle name="SAPBEXresItemX 6 4" xfId="9059" xr:uid="{F4C87301-CFFF-4B75-A4B6-E8737649E463}"/>
    <cellStyle name="SAPBEXresItemX 6 5" xfId="12788" xr:uid="{3E54DBE1-A06C-472C-92BE-79EB348EB040}"/>
    <cellStyle name="SAPBEXresItemX 7" xfId="4155" xr:uid="{10C3925E-FF69-4C95-A6F0-E11E88DF0125}"/>
    <cellStyle name="SAPBEXresItemX 7 2" xfId="9605" xr:uid="{B32B82C2-713D-45E4-8D72-1CF04A6DA3A1}"/>
    <cellStyle name="SAPBEXresItemX 7 3" xfId="13234" xr:uid="{3A3B05B0-86B7-4CE1-9DE7-AAE3D0CB9420}"/>
    <cellStyle name="SAPBEXresItemX 8" xfId="5674" xr:uid="{EFAD8112-26C9-4501-B3B9-2B88D30563B9}"/>
    <cellStyle name="SAPBEXresItemX 8 2" xfId="11116" xr:uid="{956AFD7E-CE22-4732-B59E-838405B613C9}"/>
    <cellStyle name="SAPBEXresItemX 8 3" xfId="13322" xr:uid="{132E39D2-B089-46B6-9750-4D5C58B48EDA}"/>
    <cellStyle name="SAPBEXresItemX 9" xfId="7223" xr:uid="{CEF3AA58-E167-4933-A2C5-ED3DFB87B5C4}"/>
    <cellStyle name="SAPBEXresItemX_2014 CLEAResult Invoices" xfId="3298" xr:uid="{3A894F66-D139-40B0-ABA7-18559B6A721E}"/>
    <cellStyle name="SAPBEXstdData" xfId="280" xr:uid="{44532AB9-8478-45D9-94B5-273FFCDD7096}"/>
    <cellStyle name="SAPBEXstdData 10" xfId="8709" xr:uid="{BAA77995-C547-4339-81A9-A379F8FABC9D}"/>
    <cellStyle name="SAPBEXstdData 2" xfId="3300" xr:uid="{2E170CD2-0792-4924-9703-C686BAFEE711}"/>
    <cellStyle name="SAPBEXstdData 2 10" xfId="8876" xr:uid="{D33D6782-32CD-4D70-86D8-EF9CBB84516D}"/>
    <cellStyle name="SAPBEXstdData 2 11" xfId="12725" xr:uid="{3BC18960-032D-48B1-813E-34DAEE1A7BC3}"/>
    <cellStyle name="SAPBEXstdData 2 2" xfId="3301" xr:uid="{3779B060-0A37-459C-A9B2-E823E08D9A1A}"/>
    <cellStyle name="SAPBEXstdData 2 2 2" xfId="3687" xr:uid="{F9D43EAD-71B5-4A7C-8E9A-FDB312333AE8}"/>
    <cellStyle name="SAPBEXstdData 2 2 2 2" xfId="6095" xr:uid="{22DAF27E-B352-49AC-9A19-A83D7B7E8722}"/>
    <cellStyle name="SAPBEXstdData 2 2 2 2 2" xfId="11537" xr:uid="{FBF3AF71-6853-43B2-BD0D-A268C7F32585}"/>
    <cellStyle name="SAPBEXstdData 2 2 2 2 3" xfId="13614" xr:uid="{F817ED70-C580-40A9-9BD6-38647C8A29CF}"/>
    <cellStyle name="SAPBEXstdData 2 2 2 3" xfId="6779" xr:uid="{D7372266-9349-4F82-AEFA-242642ED633E}"/>
    <cellStyle name="SAPBEXstdData 2 2 2 3 2" xfId="12221" xr:uid="{46B6C2F7-93D0-4226-9989-5B3FE359A68E}"/>
    <cellStyle name="SAPBEXstdData 2 2 2 3 3" xfId="14276" xr:uid="{69454ED7-8F4B-4CB2-A1F5-14797D54A8D0}"/>
    <cellStyle name="SAPBEXstdData 2 2 2 4" xfId="9158" xr:uid="{52C8E086-AB0C-4B13-825F-CCF43DB2A6D8}"/>
    <cellStyle name="SAPBEXstdData 2 2 2 5" xfId="12879" xr:uid="{FBC5D467-D57A-4C06-AF3B-19D4DF356001}"/>
    <cellStyle name="SAPBEXstdData 2 2 3" xfId="5820" xr:uid="{02AFD293-7F21-438A-BF34-58D6DC8E21A6}"/>
    <cellStyle name="SAPBEXstdData 2 2 3 2" xfId="11262" xr:uid="{8A005703-40AA-435B-9C76-6CBD7002246E}"/>
    <cellStyle name="SAPBEXstdData 2 2 3 3" xfId="13461" xr:uid="{6849134C-87D4-4F4D-A104-F759106630C3}"/>
    <cellStyle name="SAPBEXstdData 2 2 4" xfId="6618" xr:uid="{4FD22DC7-6DB5-4B58-B54D-730B054CAE59}"/>
    <cellStyle name="SAPBEXstdData 2 2 4 2" xfId="12060" xr:uid="{70C4CC32-7AAF-4607-90BD-63AB2C9F6539}"/>
    <cellStyle name="SAPBEXstdData 2 2 4 3" xfId="14123" xr:uid="{589AECAD-7784-4480-9119-4057BD5F8E28}"/>
    <cellStyle name="SAPBEXstdData 2 2 5" xfId="8877" xr:uid="{5FF9FA74-AC23-4B99-8AF0-BF1B9961A8A9}"/>
    <cellStyle name="SAPBEXstdData 2 2 6" xfId="12726" xr:uid="{A159FAAF-EC48-47A4-B229-6233EFC38FFE}"/>
    <cellStyle name="SAPBEXstdData 2 3" xfId="3753" xr:uid="{67BD2733-7BD6-4D46-86ED-27EC89DAE583}"/>
    <cellStyle name="SAPBEXstdData 2 3 2" xfId="6161" xr:uid="{394ED2D1-28C7-444B-A349-EAFDB4489D4D}"/>
    <cellStyle name="SAPBEXstdData 2 3 2 2" xfId="11603" xr:uid="{96B2AD29-E2B5-42B2-92BC-00A5F7936B5A}"/>
    <cellStyle name="SAPBEXstdData 2 3 2 3" xfId="13678" xr:uid="{62B5CCD5-F76D-47F3-AA6E-6C362F3102DA}"/>
    <cellStyle name="SAPBEXstdData 2 3 3" xfId="6843" xr:uid="{6D30293B-90BE-4F73-9D7D-8B9950D38842}"/>
    <cellStyle name="SAPBEXstdData 2 3 3 2" xfId="12285" xr:uid="{1C4F6FB0-70F0-46E8-A70B-BA556FEA65E3}"/>
    <cellStyle name="SAPBEXstdData 2 3 3 3" xfId="14338" xr:uid="{9D2411C8-C23A-4B9F-8551-DE44C381523D}"/>
    <cellStyle name="SAPBEXstdData 2 3 4" xfId="9224" xr:uid="{F600DD05-1836-4C68-ACAB-A0B2A507B02F}"/>
    <cellStyle name="SAPBEXstdData 2 3 5" xfId="12941" xr:uid="{EC83EE6F-8B54-4259-9AB4-CC6E0B87FD0E}"/>
    <cellStyle name="SAPBEXstdData 2 4" xfId="3819" xr:uid="{D72FBD4B-6BC2-4462-B123-BB6D031B4E01}"/>
    <cellStyle name="SAPBEXstdData 2 4 2" xfId="6226" xr:uid="{6884F96D-EA69-4BAF-A972-419885DC65B7}"/>
    <cellStyle name="SAPBEXstdData 2 4 2 2" xfId="11668" xr:uid="{548F6FA2-A905-4994-9777-770589C41D29}"/>
    <cellStyle name="SAPBEXstdData 2 4 2 3" xfId="13742" xr:uid="{7D86FB0B-097D-411C-BD6C-B15964C07305}"/>
    <cellStyle name="SAPBEXstdData 2 4 3" xfId="6906" xr:uid="{DD092DA9-D374-4794-A01A-C85E0D40BE88}"/>
    <cellStyle name="SAPBEXstdData 2 4 3 2" xfId="12348" xr:uid="{B2D6373E-A545-4B80-99A4-22B5417DDF8B}"/>
    <cellStyle name="SAPBEXstdData 2 4 3 3" xfId="14400" xr:uid="{E455F7B9-2419-46A6-BA92-C03BB8D68EED}"/>
    <cellStyle name="SAPBEXstdData 2 4 4" xfId="9289" xr:uid="{FBEC5DE8-516D-458B-AE4B-61F316D1CEBD}"/>
    <cellStyle name="SAPBEXstdData 2 4 5" xfId="13003" xr:uid="{8B6792DC-A04F-442E-AF2D-EE943E7E5E3A}"/>
    <cellStyle name="SAPBEXstdData 2 5" xfId="3904" xr:uid="{F58ECDC5-A2AF-4168-B861-523AD3D16E00}"/>
    <cellStyle name="SAPBEXstdData 2 5 2" xfId="6309" xr:uid="{815344FD-32F2-4DFF-BA4E-1936B1919348}"/>
    <cellStyle name="SAPBEXstdData 2 5 2 2" xfId="11751" xr:uid="{1854D2CE-366D-4640-BC64-BDF802972369}"/>
    <cellStyle name="SAPBEXstdData 2 5 2 3" xfId="13823" xr:uid="{5228C3F0-0473-46FD-AA9F-60AF0A5E5D29}"/>
    <cellStyle name="SAPBEXstdData 2 5 3" xfId="6987" xr:uid="{04FE0E0B-436D-4CD4-ADC9-8F377B1A676A}"/>
    <cellStyle name="SAPBEXstdData 2 5 3 2" xfId="12429" xr:uid="{680B1198-BAF5-485D-9236-69E9CAD0000A}"/>
    <cellStyle name="SAPBEXstdData 2 5 3 3" xfId="14479" xr:uid="{CB1D7E54-FFD2-4E6E-A6AB-C728A5E9B765}"/>
    <cellStyle name="SAPBEXstdData 2 5 4" xfId="9372" xr:uid="{2BC1C75F-0785-491D-AF37-97F51C5B6998}"/>
    <cellStyle name="SAPBEXstdData 2 5 5" xfId="13082" xr:uid="{C3660757-88FA-4237-95F0-8935858BC335}"/>
    <cellStyle name="SAPBEXstdData 2 6" xfId="3971" xr:uid="{90979039-5F58-4C23-AF36-E80AFADB5F35}"/>
    <cellStyle name="SAPBEXstdData 2 6 2" xfId="6374" xr:uid="{2B3B7F0B-CA9D-4545-BCE7-53B5FD088D9B}"/>
    <cellStyle name="SAPBEXstdData 2 6 2 2" xfId="11816" xr:uid="{CCBD7C6D-EBE3-4D6E-9A39-E030852BA6DB}"/>
    <cellStyle name="SAPBEXstdData 2 6 2 3" xfId="13887" xr:uid="{1B994205-D770-48FD-BD1E-486DAA0A8EDD}"/>
    <cellStyle name="SAPBEXstdData 2 6 3" xfId="7050" xr:uid="{B011E758-B335-4E0E-B90B-6828CAAE7927}"/>
    <cellStyle name="SAPBEXstdData 2 6 3 2" xfId="12492" xr:uid="{075DDC02-E4E4-41D9-A8AF-093A11D8A3CE}"/>
    <cellStyle name="SAPBEXstdData 2 6 3 3" xfId="14541" xr:uid="{EEEC0376-F9C1-465F-BDB9-972771CAA2E4}"/>
    <cellStyle name="SAPBEXstdData 2 6 4" xfId="9437" xr:uid="{360255B9-C37D-40D1-94E9-146A0E9A6340}"/>
    <cellStyle name="SAPBEXstdData 2 6 5" xfId="13144" xr:uid="{8E56FB91-E5DC-402E-B6BA-C2928245D1C4}"/>
    <cellStyle name="SAPBEXstdData 2 7" xfId="3605" xr:uid="{7F5DAD5A-DEC7-4B0E-92D3-95921DE8DC94}"/>
    <cellStyle name="SAPBEXstdData 2 7 2" xfId="6014" xr:uid="{9F09B7CB-ABD0-4E8E-972E-4132C01C2AA7}"/>
    <cellStyle name="SAPBEXstdData 2 7 2 2" xfId="11456" xr:uid="{BDABAAFA-7D66-45EC-9710-B792375A9134}"/>
    <cellStyle name="SAPBEXstdData 2 7 2 3" xfId="13538" xr:uid="{BD54FA94-D0F1-4438-8C59-A4EA55539137}"/>
    <cellStyle name="SAPBEXstdData 2 7 3" xfId="6698" xr:uid="{CF981604-018A-47DD-A8E6-82BC2C13700C}"/>
    <cellStyle name="SAPBEXstdData 2 7 3 2" xfId="12140" xr:uid="{74F3866D-A10D-4A4F-B63D-BE035ECFFAFE}"/>
    <cellStyle name="SAPBEXstdData 2 7 3 3" xfId="14200" xr:uid="{E183EA06-FAF8-4C8F-A141-477828068575}"/>
    <cellStyle name="SAPBEXstdData 2 7 4" xfId="9077" xr:uid="{57CD8293-300E-4C07-B04B-97ECBC4DDD20}"/>
    <cellStyle name="SAPBEXstdData 2 7 5" xfId="12803" xr:uid="{B32C7BCB-828B-4581-99BA-6AC7DBCC473C}"/>
    <cellStyle name="SAPBEXstdData 2 8" xfId="5819" xr:uid="{06D3F992-C52E-4EF6-AB3B-972D85F4C4E9}"/>
    <cellStyle name="SAPBEXstdData 2 8 2" xfId="11261" xr:uid="{DFA36CF8-2D8B-4A23-A9A8-9C0D3D17ABB4}"/>
    <cellStyle name="SAPBEXstdData 2 8 3" xfId="13460" xr:uid="{C84FD94C-51DD-4735-87C0-09BC7389393C}"/>
    <cellStyle name="SAPBEXstdData 2 9" xfId="6617" xr:uid="{ADC7D6E4-F59D-4D4D-BD57-6F0F6B390699}"/>
    <cellStyle name="SAPBEXstdData 2 9 2" xfId="12059" xr:uid="{87918993-7566-4148-B1EF-C4D82C12CA06}"/>
    <cellStyle name="SAPBEXstdData 2 9 3" xfId="14122" xr:uid="{969F01E4-EE97-47EB-AA98-9DF658614998}"/>
    <cellStyle name="SAPBEXstdData 2_2014 CLEAResult Invoices" xfId="3302" xr:uid="{1821285B-6311-4A3F-9013-515B0A980724}"/>
    <cellStyle name="SAPBEXstdData 3" xfId="3303" xr:uid="{F53FC6CC-0DAC-4485-A6A0-83B23F5A8985}"/>
    <cellStyle name="SAPBEXstdData 3 10" xfId="12727" xr:uid="{0A35AE66-1868-4A1C-94EB-7CFA3AF6E01A}"/>
    <cellStyle name="SAPBEXstdData 3 2" xfId="3805" xr:uid="{D629A6F5-4E45-483A-B752-5D0EEB07F35C}"/>
    <cellStyle name="SAPBEXstdData 3 2 2" xfId="6213" xr:uid="{CDF786BD-1DFA-4E80-82DA-07A71C118C79}"/>
    <cellStyle name="SAPBEXstdData 3 2 2 2" xfId="11655" xr:uid="{C28379C9-D0D1-4EB7-95CC-E654B684F346}"/>
    <cellStyle name="SAPBEXstdData 3 2 2 3" xfId="13730" xr:uid="{4CE40950-1EEC-4B1B-A551-0A37FF3B2FDA}"/>
    <cellStyle name="SAPBEXstdData 3 2 3" xfId="6895" xr:uid="{F8C7C791-01C6-44A6-888D-817C49DB83E7}"/>
    <cellStyle name="SAPBEXstdData 3 2 3 2" xfId="12337" xr:uid="{32E77F39-B448-4EE6-921A-05C75732264F}"/>
    <cellStyle name="SAPBEXstdData 3 2 3 3" xfId="14390" xr:uid="{2C82C2D6-8F2E-4ED0-A032-9C51B4937ED5}"/>
    <cellStyle name="SAPBEXstdData 3 2 4" xfId="9276" xr:uid="{774F89B3-1F4C-4D21-A89A-DAACF2CCFE4B}"/>
    <cellStyle name="SAPBEXstdData 3 2 5" xfId="12993" xr:uid="{C1EA68AA-4DDE-4833-82B3-45D46B306466}"/>
    <cellStyle name="SAPBEXstdData 3 3" xfId="3871" xr:uid="{10F060B0-E7C5-41CD-B3AE-119728E0B1D0}"/>
    <cellStyle name="SAPBEXstdData 3 3 2" xfId="6278" xr:uid="{95CCBA1F-7142-4B86-AE2A-48B21AE5DE37}"/>
    <cellStyle name="SAPBEXstdData 3 3 2 2" xfId="11720" xr:uid="{00B8C981-A5E4-4630-89B7-9AEF13CAF54D}"/>
    <cellStyle name="SAPBEXstdData 3 3 2 3" xfId="13794" xr:uid="{697CCBA3-D3A3-4716-A866-9FBDA00FA1E0}"/>
    <cellStyle name="SAPBEXstdData 3 3 3" xfId="6958" xr:uid="{5CCCDFB5-8F0B-4A03-8A6A-35D5D5750B42}"/>
    <cellStyle name="SAPBEXstdData 3 3 3 2" xfId="12400" xr:uid="{42B2441E-2DB8-45F8-9E93-DFFDEDBD1CEA}"/>
    <cellStyle name="SAPBEXstdData 3 3 3 3" xfId="14452" xr:uid="{81A989D2-B404-4FEF-B0ED-2FB3C3457B5C}"/>
    <cellStyle name="SAPBEXstdData 3 3 4" xfId="9341" xr:uid="{9865A527-28AB-4C82-B1A1-31BA15BA2ABE}"/>
    <cellStyle name="SAPBEXstdData 3 3 5" xfId="13055" xr:uid="{9229796E-5927-4DE0-B403-DEDD5D9DD434}"/>
    <cellStyle name="SAPBEXstdData 3 4" xfId="3956" xr:uid="{18A66D47-4413-44B8-88EB-CDB794B758DA}"/>
    <cellStyle name="SAPBEXstdData 3 4 2" xfId="6361" xr:uid="{E73FD36C-A231-470A-84C1-2043B213CC28}"/>
    <cellStyle name="SAPBEXstdData 3 4 2 2" xfId="11803" xr:uid="{2FE7BB80-1FC2-4F17-91D3-9991BF3F96C2}"/>
    <cellStyle name="SAPBEXstdData 3 4 2 3" xfId="13875" xr:uid="{82DA4183-DD8D-479B-AC42-B4759AAF16DF}"/>
    <cellStyle name="SAPBEXstdData 3 4 3" xfId="7039" xr:uid="{692F74E5-8201-49AA-8D58-52CAC56E8055}"/>
    <cellStyle name="SAPBEXstdData 3 4 3 2" xfId="12481" xr:uid="{E33A31EA-4D76-4FDF-9D51-050487766E93}"/>
    <cellStyle name="SAPBEXstdData 3 4 3 3" xfId="14531" xr:uid="{36872B4B-CCB3-4784-AC44-79FA2E1FCC51}"/>
    <cellStyle name="SAPBEXstdData 3 4 4" xfId="9424" xr:uid="{65BDDDA9-2089-4675-AD45-60B896743038}"/>
    <cellStyle name="SAPBEXstdData 3 4 5" xfId="13134" xr:uid="{B83AD0FD-8872-4E99-BB2F-072CFDF0363F}"/>
    <cellStyle name="SAPBEXstdData 3 5" xfId="4023" xr:uid="{93C7E0D7-B951-4AA1-8A78-0B865F6C7FCD}"/>
    <cellStyle name="SAPBEXstdData 3 5 2" xfId="6426" xr:uid="{E4991A40-57AA-4C5E-AEE2-A60289A30FEF}"/>
    <cellStyle name="SAPBEXstdData 3 5 2 2" xfId="11868" xr:uid="{A6AAAD14-E8D5-45E1-A9C1-A0BB79C5E38D}"/>
    <cellStyle name="SAPBEXstdData 3 5 2 3" xfId="13939" xr:uid="{32A2AFE9-A567-45B0-AAFF-C7F1D8CAAD98}"/>
    <cellStyle name="SAPBEXstdData 3 5 3" xfId="7102" xr:uid="{87A4DEDF-77BB-4973-970D-0FBBBB376922}"/>
    <cellStyle name="SAPBEXstdData 3 5 3 2" xfId="12544" xr:uid="{EEC81BA7-F48C-4351-9659-B78C3A4D04ED}"/>
    <cellStyle name="SAPBEXstdData 3 5 3 3" xfId="14593" xr:uid="{99D7BC67-452F-4A41-BC80-26145E1DBA54}"/>
    <cellStyle name="SAPBEXstdData 3 5 4" xfId="9489" xr:uid="{F4EE6AAC-98EC-4F06-AA87-DA62FFF99658}"/>
    <cellStyle name="SAPBEXstdData 3 5 5" xfId="13196" xr:uid="{1492B77E-CD4A-40A5-8A68-F36E32BC0697}"/>
    <cellStyle name="SAPBEXstdData 3 6" xfId="3739" xr:uid="{1B852C0E-998A-487D-B2DF-29DB145104BE}"/>
    <cellStyle name="SAPBEXstdData 3 6 2" xfId="6147" xr:uid="{DC97ACAD-A21A-494A-A745-8B5495F0F32E}"/>
    <cellStyle name="SAPBEXstdData 3 6 2 2" xfId="11589" xr:uid="{AAB50431-59E6-44A9-A51A-5691ECB0BA83}"/>
    <cellStyle name="SAPBEXstdData 3 6 2 3" xfId="13666" xr:uid="{13F9BE3E-7CDF-4BF7-A5A1-5C6DC956CA34}"/>
    <cellStyle name="SAPBEXstdData 3 6 3" xfId="6831" xr:uid="{FB4A185D-E1BA-4191-AE50-60C0568FE716}"/>
    <cellStyle name="SAPBEXstdData 3 6 3 2" xfId="12273" xr:uid="{540591CA-C8A3-4812-95ED-EC216759C3C7}"/>
    <cellStyle name="SAPBEXstdData 3 6 3 3" xfId="14328" xr:uid="{353AF12F-C3B4-42A9-ACF7-FED110674E3A}"/>
    <cellStyle name="SAPBEXstdData 3 6 4" xfId="9210" xr:uid="{B28C910D-D3EC-42A7-A10A-0BA67B17EAC3}"/>
    <cellStyle name="SAPBEXstdData 3 6 5" xfId="12931" xr:uid="{A72A2DCF-E47A-40DE-8A29-A4C88961888B}"/>
    <cellStyle name="SAPBEXstdData 3 7" xfId="5821" xr:uid="{2149322C-B82A-4CAB-96C3-898213C255D0}"/>
    <cellStyle name="SAPBEXstdData 3 7 2" xfId="11263" xr:uid="{11C76BBC-729B-463B-A004-AEF7850A3770}"/>
    <cellStyle name="SAPBEXstdData 3 7 3" xfId="13462" xr:uid="{515DA8D5-EB64-4BEF-B3B7-B68AC9594067}"/>
    <cellStyle name="SAPBEXstdData 3 8" xfId="6619" xr:uid="{1EF0BAA0-CED7-48C0-905D-47FC802DBAC4}"/>
    <cellStyle name="SAPBEXstdData 3 8 2" xfId="12061" xr:uid="{75D4F949-EBF3-4C8A-85E3-23936A308C99}"/>
    <cellStyle name="SAPBEXstdData 3 8 3" xfId="14124" xr:uid="{15187F4B-14B2-4BBF-B4E4-84021CA95DBE}"/>
    <cellStyle name="SAPBEXstdData 3 9" xfId="8878" xr:uid="{EF6409EE-20DE-4436-A8A9-7FD167FABB6F}"/>
    <cellStyle name="SAPBEXstdData 4" xfId="3299" xr:uid="{DC840AB1-54B1-4576-AF7B-A6307C03ECCF}"/>
    <cellStyle name="SAPBEXstdData 4 2" xfId="3679" xr:uid="{9D9BA85F-674F-4442-A323-467E094C9D09}"/>
    <cellStyle name="SAPBEXstdData 4 2 2" xfId="6087" xr:uid="{8CF324DA-4111-41D8-B351-B0D9B0A75A2C}"/>
    <cellStyle name="SAPBEXstdData 4 2 2 2" xfId="11529" xr:uid="{A17BB423-965D-46DD-B6DD-53AE49B1DC3B}"/>
    <cellStyle name="SAPBEXstdData 4 2 2 3" xfId="13608" xr:uid="{4F96AAA4-7381-4235-955A-30D43BC37F71}"/>
    <cellStyle name="SAPBEXstdData 4 2 3" xfId="6771" xr:uid="{5B9CF0D2-17F0-4765-8F1D-2732762787F0}"/>
    <cellStyle name="SAPBEXstdData 4 2 3 2" xfId="12213" xr:uid="{2B91A0C3-D613-4961-BAF3-0AC11F717BD8}"/>
    <cellStyle name="SAPBEXstdData 4 2 3 3" xfId="14270" xr:uid="{551750AE-838F-4320-B711-40E432C072FC}"/>
    <cellStyle name="SAPBEXstdData 4 2 4" xfId="9150" xr:uid="{DD0565CE-4B19-4D50-BFF2-122F050579D4}"/>
    <cellStyle name="SAPBEXstdData 4 2 5" xfId="12873" xr:uid="{E30AA589-460E-4491-A0A1-F5194F26F40C}"/>
    <cellStyle name="SAPBEXstdData 4 3" xfId="5818" xr:uid="{5FEE139A-CEF7-404A-A6B4-69D00CFA2C8A}"/>
    <cellStyle name="SAPBEXstdData 4 3 2" xfId="11260" xr:uid="{5A494256-33C7-4E17-BE96-5DC7DCD427C1}"/>
    <cellStyle name="SAPBEXstdData 4 3 3" xfId="13459" xr:uid="{D86C399B-95FD-4858-A11E-0B02F190A778}"/>
    <cellStyle name="SAPBEXstdData 4 4" xfId="6616" xr:uid="{126D0024-7FDF-4C98-94F6-3BDEB01395BD}"/>
    <cellStyle name="SAPBEXstdData 4 4 2" xfId="12058" xr:uid="{82EB0BE2-1C8A-4DB4-98AD-945536F2E7D5}"/>
    <cellStyle name="SAPBEXstdData 4 4 3" xfId="14121" xr:uid="{105675D2-1E74-4C94-AD1E-7661F171EA7F}"/>
    <cellStyle name="SAPBEXstdData 4 5" xfId="8875" xr:uid="{F1C8EF13-5F54-41B9-A60E-87A00E231A53}"/>
    <cellStyle name="SAPBEXstdData 4 6" xfId="12724" xr:uid="{E40A10EA-C41C-4D8C-8CDE-8B22025A2D5A}"/>
    <cellStyle name="SAPBEXstdData 5" xfId="3888" xr:uid="{96924015-BAC4-45B1-9E26-66480E926DF0}"/>
    <cellStyle name="SAPBEXstdData 5 2" xfId="6295" xr:uid="{E19FAC28-7576-4B6C-94C0-92FA60D6CCFF}"/>
    <cellStyle name="SAPBEXstdData 5 2 2" xfId="11737" xr:uid="{84FBCCD3-634B-4C71-9499-2EC592549092}"/>
    <cellStyle name="SAPBEXstdData 5 2 3" xfId="13811" xr:uid="{81149DD0-A3DD-4A96-941C-47DDD3326496}"/>
    <cellStyle name="SAPBEXstdData 5 3" xfId="6975" xr:uid="{17E411D4-2E20-4DA6-ACCD-67C500E6746F}"/>
    <cellStyle name="SAPBEXstdData 5 3 2" xfId="12417" xr:uid="{BBB72504-8DD4-4C74-8AD6-CBA3E4B9663F}"/>
    <cellStyle name="SAPBEXstdData 5 3 3" xfId="14469" xr:uid="{6636491F-3DF7-4549-8356-29E0AF4EC83A}"/>
    <cellStyle name="SAPBEXstdData 5 4" xfId="9358" xr:uid="{68251FD7-693E-4767-8566-203588488E3D}"/>
    <cellStyle name="SAPBEXstdData 5 5" xfId="13072" xr:uid="{6AC3D3D5-A65A-4B49-88FF-A4B4C1AA7311}"/>
    <cellStyle name="SAPBEXstdData 6" xfId="3588" xr:uid="{413EF482-A32B-40AC-B95D-CCCE3C18999A}"/>
    <cellStyle name="SAPBEXstdData 6 2" xfId="5999" xr:uid="{C5AB5E29-3CFC-408F-971A-12A4D409F847}"/>
    <cellStyle name="SAPBEXstdData 6 2 2" xfId="11441" xr:uid="{27B0D81C-B6EA-477E-A373-330C7E69D0CD}"/>
    <cellStyle name="SAPBEXstdData 6 2 3" xfId="13525" xr:uid="{46D7698B-46BE-4756-B2DA-0EA1BEDBCB62}"/>
    <cellStyle name="SAPBEXstdData 6 3" xfId="6682" xr:uid="{664797DA-6235-46F2-9C32-1B84B1901929}"/>
    <cellStyle name="SAPBEXstdData 6 3 2" xfId="12124" xr:uid="{57C65423-E6B7-46C8-B73C-6E5DE747D909}"/>
    <cellStyle name="SAPBEXstdData 6 3 3" xfId="14186" xr:uid="{6868F0CC-DDC5-4A17-AB5D-7FFDB6D3C9D2}"/>
    <cellStyle name="SAPBEXstdData 6 4" xfId="9060" xr:uid="{D49BBB5B-8E65-4FEC-8916-6530E83756C3}"/>
    <cellStyle name="SAPBEXstdData 6 5" xfId="12789" xr:uid="{684023BC-18C1-4CCD-A32A-B23C0CC8336F}"/>
    <cellStyle name="SAPBEXstdData 7" xfId="4156" xr:uid="{3F7A711B-65BC-462B-8815-F03B8E015A39}"/>
    <cellStyle name="SAPBEXstdData 7 2" xfId="9606" xr:uid="{1891A16D-7F87-49FD-8D63-3705DEDED4BB}"/>
    <cellStyle name="SAPBEXstdData 7 3" xfId="13235" xr:uid="{DE502C1D-7689-4517-9706-06AA40BEB92D}"/>
    <cellStyle name="SAPBEXstdData 8" xfId="5672" xr:uid="{D741E0B9-FFD9-432F-9643-BB60B6866B69}"/>
    <cellStyle name="SAPBEXstdData 8 2" xfId="11114" xr:uid="{57E4C7D3-CF1C-488C-A652-8E69C0852F9B}"/>
    <cellStyle name="SAPBEXstdData 8 3" xfId="13320" xr:uid="{41D9DF65-BD05-4A2F-B89C-EDB01A308829}"/>
    <cellStyle name="SAPBEXstdData 9" xfId="7224" xr:uid="{20338E1B-D4A2-46A2-855B-17EEDF0BD84D}"/>
    <cellStyle name="SAPBEXstdData_2014 CLEAResult Invoices" xfId="3304" xr:uid="{0AE44CA6-C966-4ECD-834D-E347EFBE6668}"/>
    <cellStyle name="SAPBEXstdDataEmph" xfId="281" xr:uid="{0A156140-6563-4B57-803B-42DEB49F7E30}"/>
    <cellStyle name="SAPBEXstdDataEmph 10" xfId="8535" xr:uid="{5822C5B5-039F-4FCA-ABE9-44A731D72347}"/>
    <cellStyle name="SAPBEXstdDataEmph 2" xfId="3306" xr:uid="{21FE2D00-83BE-4BE5-8313-B24FB96E75D8}"/>
    <cellStyle name="SAPBEXstdDataEmph 2 10" xfId="8880" xr:uid="{03135866-1BC7-4827-8919-605F1531C54F}"/>
    <cellStyle name="SAPBEXstdDataEmph 2 11" xfId="12729" xr:uid="{4CC1B7D4-AF37-442B-94D7-B58AE29CCB72}"/>
    <cellStyle name="SAPBEXstdDataEmph 2 2" xfId="3682" xr:uid="{F4C80264-FD75-4CDF-BBBE-D928D2FE7DA9}"/>
    <cellStyle name="SAPBEXstdDataEmph 2 2 2" xfId="6090" xr:uid="{1A94A8A8-D778-4235-9E7E-B688CA2495E6}"/>
    <cellStyle name="SAPBEXstdDataEmph 2 2 2 2" xfId="11532" xr:uid="{B8B2050E-1B5A-4A08-83F4-1C2DDDB19875}"/>
    <cellStyle name="SAPBEXstdDataEmph 2 2 2 3" xfId="13609" xr:uid="{0342E71F-A571-460C-BB57-5F24653EE387}"/>
    <cellStyle name="SAPBEXstdDataEmph 2 2 3" xfId="6774" xr:uid="{CE2A4E0D-2979-45C6-9787-BE3347BE1C57}"/>
    <cellStyle name="SAPBEXstdDataEmph 2 2 3 2" xfId="12216" xr:uid="{07D95147-D33B-426D-B9B0-01D295ADB63F}"/>
    <cellStyle name="SAPBEXstdDataEmph 2 2 3 3" xfId="14271" xr:uid="{D962266B-3056-4D27-883B-CD280843DBD0}"/>
    <cellStyle name="SAPBEXstdDataEmph 2 2 4" xfId="9153" xr:uid="{261B03A4-F44D-4F74-B8B7-91F59F4D7685}"/>
    <cellStyle name="SAPBEXstdDataEmph 2 2 5" xfId="12874" xr:uid="{BDD0980C-ED66-4ADD-B961-D234EDE0EB11}"/>
    <cellStyle name="SAPBEXstdDataEmph 2 3" xfId="3748" xr:uid="{627FD003-1115-4B3E-84D9-75A4FADD9AB2}"/>
    <cellStyle name="SAPBEXstdDataEmph 2 3 2" xfId="6156" xr:uid="{69ECB893-CF95-4B2B-A5D6-282A03BEA092}"/>
    <cellStyle name="SAPBEXstdDataEmph 2 3 2 2" xfId="11598" xr:uid="{0DFA08A6-DA8A-48E0-B416-6D58717A33FF}"/>
    <cellStyle name="SAPBEXstdDataEmph 2 3 2 3" xfId="13673" xr:uid="{5485D4BD-807A-4854-800B-F5575AA5702E}"/>
    <cellStyle name="SAPBEXstdDataEmph 2 3 3" xfId="6838" xr:uid="{7F72F635-16A2-4AF1-B4D0-2971A0FBB6D7}"/>
    <cellStyle name="SAPBEXstdDataEmph 2 3 3 2" xfId="12280" xr:uid="{84CD0CD8-FA0F-4367-9BCC-26250684D227}"/>
    <cellStyle name="SAPBEXstdDataEmph 2 3 3 3" xfId="14333" xr:uid="{CCFEB608-A02F-47C3-A066-2A4D06FDF5AA}"/>
    <cellStyle name="SAPBEXstdDataEmph 2 3 4" xfId="9219" xr:uid="{A6A20492-A63B-4117-B93B-068455772162}"/>
    <cellStyle name="SAPBEXstdDataEmph 2 3 5" xfId="12936" xr:uid="{729FD7A2-155B-49BD-92DE-279509A51984}"/>
    <cellStyle name="SAPBEXstdDataEmph 2 4" xfId="3814" xr:uid="{5BF22289-7DC7-4486-AF23-5B7665C17C94}"/>
    <cellStyle name="SAPBEXstdDataEmph 2 4 2" xfId="6221" xr:uid="{A4D861A1-D132-4053-BAA1-A5B091AF15E6}"/>
    <cellStyle name="SAPBEXstdDataEmph 2 4 2 2" xfId="11663" xr:uid="{B27F1D71-637B-4AD7-8ADE-A915DF90DF95}"/>
    <cellStyle name="SAPBEXstdDataEmph 2 4 2 3" xfId="13737" xr:uid="{2800E0B8-D7BE-4446-A4B8-AE133F12D30F}"/>
    <cellStyle name="SAPBEXstdDataEmph 2 4 3" xfId="6901" xr:uid="{BEDA1AE2-C85F-452A-AC78-23620C0FF0B0}"/>
    <cellStyle name="SAPBEXstdDataEmph 2 4 3 2" xfId="12343" xr:uid="{5B98044C-1471-4FFE-B38F-59226FDB1C6F}"/>
    <cellStyle name="SAPBEXstdDataEmph 2 4 3 3" xfId="14395" xr:uid="{02769CA8-2584-47EF-B4DA-57DBBA72DF07}"/>
    <cellStyle name="SAPBEXstdDataEmph 2 4 4" xfId="9284" xr:uid="{61C9732B-1FEA-434A-825A-7843ECE24E3C}"/>
    <cellStyle name="SAPBEXstdDataEmph 2 4 5" xfId="12998" xr:uid="{20ABDDE3-B14A-4117-B11F-25E236DB0B3E}"/>
    <cellStyle name="SAPBEXstdDataEmph 2 5" xfId="3899" xr:uid="{89BD3294-9698-4220-ABB8-D343DA7541ED}"/>
    <cellStyle name="SAPBEXstdDataEmph 2 5 2" xfId="6304" xr:uid="{F0B35F71-D384-4A25-9C07-558DB05D9C43}"/>
    <cellStyle name="SAPBEXstdDataEmph 2 5 2 2" xfId="11746" xr:uid="{327EBFDB-DB82-45DE-89FB-8CE90B06CAD9}"/>
    <cellStyle name="SAPBEXstdDataEmph 2 5 2 3" xfId="13818" xr:uid="{28FD10AF-9E1B-4BBE-A776-B39CD0A80DA6}"/>
    <cellStyle name="SAPBEXstdDataEmph 2 5 3" xfId="6982" xr:uid="{AB76F712-4384-43A3-950A-FA8E3EA41689}"/>
    <cellStyle name="SAPBEXstdDataEmph 2 5 3 2" xfId="12424" xr:uid="{E3774530-4B9E-4225-86BD-7381169493BC}"/>
    <cellStyle name="SAPBEXstdDataEmph 2 5 3 3" xfId="14474" xr:uid="{C47D5F1D-8866-4A93-80D9-C13764CBFF56}"/>
    <cellStyle name="SAPBEXstdDataEmph 2 5 4" xfId="9367" xr:uid="{5B8B227D-01C8-45AD-8CAB-17A459697907}"/>
    <cellStyle name="SAPBEXstdDataEmph 2 5 5" xfId="13077" xr:uid="{6575C671-6FC7-4EEA-8B17-40E68B4621A2}"/>
    <cellStyle name="SAPBEXstdDataEmph 2 6" xfId="3966" xr:uid="{E89FD057-1A11-4976-90B3-713C8BFA77F1}"/>
    <cellStyle name="SAPBEXstdDataEmph 2 6 2" xfId="6369" xr:uid="{9903722B-DF88-4D09-8F5E-5952F2539CC6}"/>
    <cellStyle name="SAPBEXstdDataEmph 2 6 2 2" xfId="11811" xr:uid="{CDEDAB8F-E246-4933-B191-09D83AC2C352}"/>
    <cellStyle name="SAPBEXstdDataEmph 2 6 2 3" xfId="13882" xr:uid="{E5D44924-EDD6-4A11-AC52-8E253C12AE4A}"/>
    <cellStyle name="SAPBEXstdDataEmph 2 6 3" xfId="7045" xr:uid="{E978D024-7E88-4D66-BE71-0C1D2B892F75}"/>
    <cellStyle name="SAPBEXstdDataEmph 2 6 3 2" xfId="12487" xr:uid="{7B05BEE2-354C-49B0-9588-57C399009CA0}"/>
    <cellStyle name="SAPBEXstdDataEmph 2 6 3 3" xfId="14536" xr:uid="{BA959B97-F8C5-4775-9EA7-5A1CFE567759}"/>
    <cellStyle name="SAPBEXstdDataEmph 2 6 4" xfId="9432" xr:uid="{9A6BD26C-FE5D-4655-8EDA-F641DFE5AFB9}"/>
    <cellStyle name="SAPBEXstdDataEmph 2 6 5" xfId="13139" xr:uid="{EBDEB612-CCC4-4A06-A304-7655ECE2937E}"/>
    <cellStyle name="SAPBEXstdDataEmph 2 7" xfId="3600" xr:uid="{4A5A482F-DAF3-40E9-8D72-D8D0B1624987}"/>
    <cellStyle name="SAPBEXstdDataEmph 2 7 2" xfId="6009" xr:uid="{450BF94D-7831-4B0D-B8FB-FEEFC2888F3C}"/>
    <cellStyle name="SAPBEXstdDataEmph 2 7 2 2" xfId="11451" xr:uid="{E6F62E1E-C4E6-447B-AB8F-BACEA80B2DA1}"/>
    <cellStyle name="SAPBEXstdDataEmph 2 7 2 3" xfId="13533" xr:uid="{4B60139F-3419-46A0-A970-5D65F61ED96E}"/>
    <cellStyle name="SAPBEXstdDataEmph 2 7 3" xfId="6693" xr:uid="{9C2AFE4C-C62D-4DC9-B359-75D7F89B9791}"/>
    <cellStyle name="SAPBEXstdDataEmph 2 7 3 2" xfId="12135" xr:uid="{C06DD01C-ED9A-44EF-B508-44E6F9EF5084}"/>
    <cellStyle name="SAPBEXstdDataEmph 2 7 3 3" xfId="14195" xr:uid="{6EC1BA32-2989-4591-8967-59E0F4AD0711}"/>
    <cellStyle name="SAPBEXstdDataEmph 2 7 4" xfId="9072" xr:uid="{D67297A1-8E73-4A57-B438-260172DE431F}"/>
    <cellStyle name="SAPBEXstdDataEmph 2 7 5" xfId="12798" xr:uid="{4DECEAD8-5936-4DD3-9E30-6485F9B93816}"/>
    <cellStyle name="SAPBEXstdDataEmph 2 8" xfId="5823" xr:uid="{A23467E7-78FE-41CB-BFF4-487223DEFF64}"/>
    <cellStyle name="SAPBEXstdDataEmph 2 8 2" xfId="11265" xr:uid="{9D0634D0-8128-49B1-AA33-4539133865B0}"/>
    <cellStyle name="SAPBEXstdDataEmph 2 8 3" xfId="13464" xr:uid="{42E8AC4C-4A28-43A0-B93C-1CC019740C7B}"/>
    <cellStyle name="SAPBEXstdDataEmph 2 9" xfId="6621" xr:uid="{8E563FFE-D196-433A-8387-068E5D741069}"/>
    <cellStyle name="SAPBEXstdDataEmph 2 9 2" xfId="12063" xr:uid="{BA173460-5963-4D1A-B2ED-7B42F1678372}"/>
    <cellStyle name="SAPBEXstdDataEmph 2 9 3" xfId="14126" xr:uid="{9A97134D-3C62-4A83-B1E7-D648BE103959}"/>
    <cellStyle name="SAPBEXstdDataEmph 3" xfId="3305" xr:uid="{CE7B506B-2884-4383-B5CC-9110941C3D84}"/>
    <cellStyle name="SAPBEXstdDataEmph 3 10" xfId="12728" xr:uid="{397E2E94-6156-4BDA-9283-01BFB1F39A58}"/>
    <cellStyle name="SAPBEXstdDataEmph 3 2" xfId="3806" xr:uid="{4B0AE55C-6D36-4D6E-9C1D-62806F11EEBB}"/>
    <cellStyle name="SAPBEXstdDataEmph 3 2 2" xfId="6214" xr:uid="{D4DE01A3-E323-44F6-AA69-8E7F1BA9A9B6}"/>
    <cellStyle name="SAPBEXstdDataEmph 3 2 2 2" xfId="11656" xr:uid="{FE77AC8F-5807-4DDD-A533-802A0CFB7445}"/>
    <cellStyle name="SAPBEXstdDataEmph 3 2 2 3" xfId="13731" xr:uid="{4206EE70-A855-4314-BA0E-CD70C3C8962A}"/>
    <cellStyle name="SAPBEXstdDataEmph 3 2 3" xfId="6896" xr:uid="{28BF9F1D-F28F-4C33-B5A8-0C9D47FCC7F9}"/>
    <cellStyle name="SAPBEXstdDataEmph 3 2 3 2" xfId="12338" xr:uid="{49E2CE62-D2A6-4227-8B71-C13E590D14A0}"/>
    <cellStyle name="SAPBEXstdDataEmph 3 2 3 3" xfId="14391" xr:uid="{316AD888-5ED9-4330-BC40-4673FF844903}"/>
    <cellStyle name="SAPBEXstdDataEmph 3 2 4" xfId="9277" xr:uid="{EDA7E203-57B7-49DA-B53C-122F3E5840A8}"/>
    <cellStyle name="SAPBEXstdDataEmph 3 2 5" xfId="12994" xr:uid="{C2715C3B-ADB0-40B4-9A80-48386C71B782}"/>
    <cellStyle name="SAPBEXstdDataEmph 3 3" xfId="3872" xr:uid="{BF64B840-E585-40D0-AE87-152A92D0B4B9}"/>
    <cellStyle name="SAPBEXstdDataEmph 3 3 2" xfId="6279" xr:uid="{4637DC79-7619-4721-BF76-C8E625C80B7F}"/>
    <cellStyle name="SAPBEXstdDataEmph 3 3 2 2" xfId="11721" xr:uid="{64F132B8-1798-4074-9E84-FF83C1C0191B}"/>
    <cellStyle name="SAPBEXstdDataEmph 3 3 2 3" xfId="13795" xr:uid="{1BC56F8B-52C0-4878-8C8F-BC1D9552850C}"/>
    <cellStyle name="SAPBEXstdDataEmph 3 3 3" xfId="6959" xr:uid="{3D016E52-5DA0-4059-8D40-32F942F850EE}"/>
    <cellStyle name="SAPBEXstdDataEmph 3 3 3 2" xfId="12401" xr:uid="{696654B3-EE64-4284-9D06-0A1D86F295EE}"/>
    <cellStyle name="SAPBEXstdDataEmph 3 3 3 3" xfId="14453" xr:uid="{FC6D7D2F-BEE7-45E0-8FD2-3915332FB537}"/>
    <cellStyle name="SAPBEXstdDataEmph 3 3 4" xfId="9342" xr:uid="{DDF181F0-8916-4C86-A3F7-41A4FE606CDF}"/>
    <cellStyle name="SAPBEXstdDataEmph 3 3 5" xfId="13056" xr:uid="{0B8FA6BB-1F4E-4A76-97D0-09FC009FDA45}"/>
    <cellStyle name="SAPBEXstdDataEmph 3 4" xfId="3957" xr:uid="{72BCB654-A072-4033-A835-05382E7CBE7E}"/>
    <cellStyle name="SAPBEXstdDataEmph 3 4 2" xfId="6362" xr:uid="{156F47C9-407F-4A66-A15F-226A185425D8}"/>
    <cellStyle name="SAPBEXstdDataEmph 3 4 2 2" xfId="11804" xr:uid="{314581A2-FF30-4754-AF0D-F5E2DAA97C3D}"/>
    <cellStyle name="SAPBEXstdDataEmph 3 4 2 3" xfId="13876" xr:uid="{EC5E1297-F8FD-4A61-950C-E7FD4C5E2774}"/>
    <cellStyle name="SAPBEXstdDataEmph 3 4 3" xfId="7040" xr:uid="{1E4D13D3-C723-42BC-A2C3-C8B51D612CDD}"/>
    <cellStyle name="SAPBEXstdDataEmph 3 4 3 2" xfId="12482" xr:uid="{553B3D09-716E-4FBD-B2A5-EBDA2B667D9B}"/>
    <cellStyle name="SAPBEXstdDataEmph 3 4 3 3" xfId="14532" xr:uid="{C3B2A46A-2B8F-4F77-9A5E-F809C0060B26}"/>
    <cellStyle name="SAPBEXstdDataEmph 3 4 4" xfId="9425" xr:uid="{4CAFA201-972A-46BF-A96A-EF16C1280ABB}"/>
    <cellStyle name="SAPBEXstdDataEmph 3 4 5" xfId="13135" xr:uid="{891EB0CE-4E83-4911-ADD8-18AD44BA294D}"/>
    <cellStyle name="SAPBEXstdDataEmph 3 5" xfId="4024" xr:uid="{19F04C9A-D915-4441-B7FC-2BAA655E3197}"/>
    <cellStyle name="SAPBEXstdDataEmph 3 5 2" xfId="6427" xr:uid="{A143CDBB-7E08-433C-B008-91F51E9F971E}"/>
    <cellStyle name="SAPBEXstdDataEmph 3 5 2 2" xfId="11869" xr:uid="{79D69A12-2B46-4CA6-9B70-811C396718D0}"/>
    <cellStyle name="SAPBEXstdDataEmph 3 5 2 3" xfId="13940" xr:uid="{8195B0AD-614C-4CF2-909F-B6C791E716B7}"/>
    <cellStyle name="SAPBEXstdDataEmph 3 5 3" xfId="7103" xr:uid="{629B50EB-1CA5-40CD-ABA6-21DD54BA6BD5}"/>
    <cellStyle name="SAPBEXstdDataEmph 3 5 3 2" xfId="12545" xr:uid="{44DC5336-DE6C-43A8-9873-1A32A017E5F8}"/>
    <cellStyle name="SAPBEXstdDataEmph 3 5 3 3" xfId="14594" xr:uid="{F478A4F1-0168-4E97-87BA-C41EDA24C2A1}"/>
    <cellStyle name="SAPBEXstdDataEmph 3 5 4" xfId="9490" xr:uid="{5D33FC4C-E1DC-4EF2-B3C3-CD1502EF10CA}"/>
    <cellStyle name="SAPBEXstdDataEmph 3 5 5" xfId="13197" xr:uid="{AF1AB96A-CFC0-47A0-A87A-E112099D67C0}"/>
    <cellStyle name="SAPBEXstdDataEmph 3 6" xfId="3740" xr:uid="{A14E6FDD-225B-4386-B779-B603D781EF04}"/>
    <cellStyle name="SAPBEXstdDataEmph 3 6 2" xfId="6148" xr:uid="{0F3371CF-1E03-4052-A2DB-6D8C6571B491}"/>
    <cellStyle name="SAPBEXstdDataEmph 3 6 2 2" xfId="11590" xr:uid="{187746E5-C295-434C-A2C1-E2AA2768010D}"/>
    <cellStyle name="SAPBEXstdDataEmph 3 6 2 3" xfId="13667" xr:uid="{CDE07527-3E75-493B-927C-B228AC58EAE4}"/>
    <cellStyle name="SAPBEXstdDataEmph 3 6 3" xfId="6832" xr:uid="{1AF23C2F-D18C-42B7-8AAB-565716B95C1A}"/>
    <cellStyle name="SAPBEXstdDataEmph 3 6 3 2" xfId="12274" xr:uid="{2F85EEEB-8DBE-4BDC-BB9F-4ACF7F53DF9D}"/>
    <cellStyle name="SAPBEXstdDataEmph 3 6 3 3" xfId="14329" xr:uid="{5EFBA593-A542-472E-9FB7-877F16532F7B}"/>
    <cellStyle name="SAPBEXstdDataEmph 3 6 4" xfId="9211" xr:uid="{6C68C3BB-9550-4A62-A7FC-2DBFFC293735}"/>
    <cellStyle name="SAPBEXstdDataEmph 3 6 5" xfId="12932" xr:uid="{AC6AF3CC-F1E7-455D-97AA-2731048C1482}"/>
    <cellStyle name="SAPBEXstdDataEmph 3 7" xfId="5822" xr:uid="{E23558E9-F3DD-44FA-A30A-069C6B8F9EE9}"/>
    <cellStyle name="SAPBEXstdDataEmph 3 7 2" xfId="11264" xr:uid="{F3AF613B-225D-47A8-A5BD-6C4C8DA1210D}"/>
    <cellStyle name="SAPBEXstdDataEmph 3 7 3" xfId="13463" xr:uid="{D3E41121-9B4D-4D05-94EF-9CDFAAA148E2}"/>
    <cellStyle name="SAPBEXstdDataEmph 3 8" xfId="6620" xr:uid="{1BCC8B60-0936-42BF-B45F-0B34DA71CB8E}"/>
    <cellStyle name="SAPBEXstdDataEmph 3 8 2" xfId="12062" xr:uid="{5E38E0BA-5FE5-4BBE-A17E-35B56E63966D}"/>
    <cellStyle name="SAPBEXstdDataEmph 3 8 3" xfId="14125" xr:uid="{3684B9B1-B37E-40B5-9AF6-FA2E9B80C189}"/>
    <cellStyle name="SAPBEXstdDataEmph 3 9" xfId="8879" xr:uid="{227077D8-B5AB-413D-8DB0-4D473D4FA128}"/>
    <cellStyle name="SAPBEXstdDataEmph 4" xfId="3673" xr:uid="{07BAAF53-61F4-479E-B602-01CDD57E7279}"/>
    <cellStyle name="SAPBEXstdDataEmph 4 2" xfId="6081" xr:uid="{9532DBD0-4600-4131-AA3B-8C08F4C9FE54}"/>
    <cellStyle name="SAPBEXstdDataEmph 4 2 2" xfId="11523" xr:uid="{693ADB51-9095-4378-A448-1BF837E4CC58}"/>
    <cellStyle name="SAPBEXstdDataEmph 4 2 3" xfId="13602" xr:uid="{B1219A99-D9C8-4491-A790-F545D6451332}"/>
    <cellStyle name="SAPBEXstdDataEmph 4 3" xfId="6765" xr:uid="{4E099C50-7C7A-4A8F-9A24-E9D6CC5C0056}"/>
    <cellStyle name="SAPBEXstdDataEmph 4 3 2" xfId="12207" xr:uid="{2A2A2B1A-59D9-4716-AD36-3686B7A56D0D}"/>
    <cellStyle name="SAPBEXstdDataEmph 4 3 3" xfId="14264" xr:uid="{8BF9FD58-FC20-41DF-A385-C5E33861B02A}"/>
    <cellStyle name="SAPBEXstdDataEmph 4 4" xfId="9144" xr:uid="{856EAF12-68AD-4BBC-9A3F-4C9F2AA10D13}"/>
    <cellStyle name="SAPBEXstdDataEmph 4 5" xfId="12867" xr:uid="{0E3DC6DB-9C51-40DF-AC3B-6835827CB2B6}"/>
    <cellStyle name="SAPBEXstdDataEmph 5" xfId="3889" xr:uid="{05FBD8E4-9B9B-464F-ADC9-C977479DBE2D}"/>
    <cellStyle name="SAPBEXstdDataEmph 5 2" xfId="6296" xr:uid="{3A7FBB0B-B876-4D3F-AB9F-E39342FC9A03}"/>
    <cellStyle name="SAPBEXstdDataEmph 5 2 2" xfId="11738" xr:uid="{307B7DB1-63EA-45B7-AC9A-01EF1079FA72}"/>
    <cellStyle name="SAPBEXstdDataEmph 5 2 3" xfId="13812" xr:uid="{07764686-628F-4DD3-89AA-087D086C0F94}"/>
    <cellStyle name="SAPBEXstdDataEmph 5 3" xfId="6976" xr:uid="{427963C0-9F94-433E-82FF-304E127AF7B9}"/>
    <cellStyle name="SAPBEXstdDataEmph 5 3 2" xfId="12418" xr:uid="{BA027583-2462-4777-83FE-85C86E9412EE}"/>
    <cellStyle name="SAPBEXstdDataEmph 5 3 3" xfId="14470" xr:uid="{CB5AB57E-3576-4E1C-9114-130046F44E1B}"/>
    <cellStyle name="SAPBEXstdDataEmph 5 4" xfId="9359" xr:uid="{BB7B569F-647B-42E2-A5BB-4AA016166C39}"/>
    <cellStyle name="SAPBEXstdDataEmph 5 5" xfId="13073" xr:uid="{30CDF9ED-DFC4-4607-AF1B-F36FE04B2844}"/>
    <cellStyle name="SAPBEXstdDataEmph 6" xfId="3589" xr:uid="{47CCA170-2600-46D5-9E59-81C5E4E95AA5}"/>
    <cellStyle name="SAPBEXstdDataEmph 6 2" xfId="6000" xr:uid="{3C382A05-822B-4F1B-9AC3-FB155299160A}"/>
    <cellStyle name="SAPBEXstdDataEmph 6 2 2" xfId="11442" xr:uid="{66C99919-8794-4787-A8A8-5953F0D24A9F}"/>
    <cellStyle name="SAPBEXstdDataEmph 6 2 3" xfId="13526" xr:uid="{745053E5-F0C2-4DCB-B670-2A16A3E9A45F}"/>
    <cellStyle name="SAPBEXstdDataEmph 6 3" xfId="6683" xr:uid="{F2FEBBE6-7000-447B-9B19-E04EB6D1CEBD}"/>
    <cellStyle name="SAPBEXstdDataEmph 6 3 2" xfId="12125" xr:uid="{0584A888-E148-4934-9CA0-57D4AF02C55C}"/>
    <cellStyle name="SAPBEXstdDataEmph 6 3 3" xfId="14187" xr:uid="{F4344B90-1C80-4DE8-94BE-F60644ABD34C}"/>
    <cellStyle name="SAPBEXstdDataEmph 6 4" xfId="9061" xr:uid="{3A8FE8AE-968B-4D7A-8C08-E0B2D8EC86ED}"/>
    <cellStyle name="SAPBEXstdDataEmph 6 5" xfId="12790" xr:uid="{91D923F4-F367-4DD2-9A3C-AD6951FCD245}"/>
    <cellStyle name="SAPBEXstdDataEmph 7" xfId="4157" xr:uid="{B4BF9DEB-82B5-49D7-B586-4EFF62CCA7EB}"/>
    <cellStyle name="SAPBEXstdDataEmph 7 2" xfId="9607" xr:uid="{ACF5521B-2687-47DE-A761-E9E3E63FDF4C}"/>
    <cellStyle name="SAPBEXstdDataEmph 7 3" xfId="13236" xr:uid="{997512B7-3BEB-4A03-97EC-5E7747D602CA}"/>
    <cellStyle name="SAPBEXstdDataEmph 8" xfId="5671" xr:uid="{898F28B3-AD8D-4CF3-B6C2-A0D6DEA1609E}"/>
    <cellStyle name="SAPBEXstdDataEmph 8 2" xfId="11113" xr:uid="{F70A417F-195C-41FC-8D1F-8AF1D61DA3C4}"/>
    <cellStyle name="SAPBEXstdDataEmph 8 3" xfId="13319" xr:uid="{06914AF8-9E6F-40ED-B9D3-F5C292C0CCDA}"/>
    <cellStyle name="SAPBEXstdDataEmph 9" xfId="7225" xr:uid="{22CB24ED-3ECF-4E10-97EF-50FC55042D8F}"/>
    <cellStyle name="SAPBEXstdDataEmph_2014 CLEAResult Invoices" xfId="3307" xr:uid="{B74887A6-9837-41BE-852E-3CDA13AF6BC0}"/>
    <cellStyle name="SAPBEXstdItem" xfId="282" xr:uid="{C500E59A-D972-42D1-B347-94D1C8C7B49E}"/>
    <cellStyle name="SAPBEXstdItem 10" xfId="331" xr:uid="{DDBB7F54-2B3A-4209-8A0E-782FFEFC564F}"/>
    <cellStyle name="SAPBEXstdItem 10 2" xfId="380" xr:uid="{8DBB6EDF-E696-4258-A6DA-2C5E47521FB6}"/>
    <cellStyle name="SAPBEXstdItem 10 2 2" xfId="4203" xr:uid="{A7EE0CC4-277D-4A71-80C8-ACADD9CC8BFD}"/>
    <cellStyle name="SAPBEXstdItem 10 2 2 2" xfId="9649" xr:uid="{1CA01F50-22DF-4B11-8797-DA9FCD43B075}"/>
    <cellStyle name="SAPBEXstdItem 10 2 2 3" xfId="13247" xr:uid="{9057C4D5-7CDA-43A4-A2A2-563297A036C4}"/>
    <cellStyle name="SAPBEXstdItem 10 2 3" xfId="5638" xr:uid="{DFFC8B1F-76D7-45D3-8631-8BAC4F9A88AF}"/>
    <cellStyle name="SAPBEXstdItem 10 2 3 2" xfId="11084" xr:uid="{8AB6C205-0CDD-4427-AF31-0468128E1418}"/>
    <cellStyle name="SAPBEXstdItem 10 2 3 3" xfId="13297" xr:uid="{F3A243B4-D750-487F-AD0F-9BB57CD284A0}"/>
    <cellStyle name="SAPBEXstdItem 10 2 4" xfId="7271" xr:uid="{DCE81F63-EA6A-497E-819E-7F04F349228A}"/>
    <cellStyle name="SAPBEXstdItem 10 2 5" xfId="9028" xr:uid="{AA7F1647-7868-48E0-AE1E-767FB660676F}"/>
    <cellStyle name="SAPBEXstdItem 10 3" xfId="403" xr:uid="{AB5294F5-AA6B-419E-9237-83F7A8C0AD5A}"/>
    <cellStyle name="SAPBEXstdItem 10 3 2" xfId="4052" xr:uid="{01356A64-3F87-49B6-9CA2-DD969CD8BD13}"/>
    <cellStyle name="SAPBEXstdItem 10 3 2 2" xfId="6438" xr:uid="{E71C5D49-C9DC-4792-9AE7-7C3C0770F468}"/>
    <cellStyle name="SAPBEXstdItem 10 3 2 2 2" xfId="11880" xr:uid="{32BE1B9D-3BAF-41D8-BAA3-B7E77AF50976}"/>
    <cellStyle name="SAPBEXstdItem 10 3 2 2 3" xfId="13948" xr:uid="{6208CEAC-DFBB-4313-992B-9EA4B719361E}"/>
    <cellStyle name="SAPBEXstdItem 10 3 2 3" xfId="7107" xr:uid="{D8C9563C-9B89-4884-9AB9-94359E379AC9}"/>
    <cellStyle name="SAPBEXstdItem 10 3 2 3 2" xfId="12549" xr:uid="{33E08F46-486D-4824-88AC-DD1BCF51F320}"/>
    <cellStyle name="SAPBEXstdItem 10 3 2 3 3" xfId="14598" xr:uid="{924ECC07-3320-4D78-A541-D3716CD06A8D}"/>
    <cellStyle name="SAPBEXstdItem 10 3 2 4" xfId="9506" xr:uid="{B97AEAA6-AD17-40EC-930E-1D9C31F82F16}"/>
    <cellStyle name="SAPBEXstdItem 10 3 2 5" xfId="13201" xr:uid="{BEF03CD0-D8FE-4969-8949-AFD214DA3900}"/>
    <cellStyle name="SAPBEXstdItem 10 3 3" xfId="4212" xr:uid="{9093CE52-1E94-404E-8BE7-037E2F9FAA3B}"/>
    <cellStyle name="SAPBEXstdItem 10 3 3 2" xfId="9658" xr:uid="{6C781600-C04F-40F3-9252-73D08C408EDF}"/>
    <cellStyle name="SAPBEXstdItem 10 3 3 3" xfId="13251" xr:uid="{CCFD3B56-A249-4341-87BB-2AB658EDB6E8}"/>
    <cellStyle name="SAPBEXstdItem 10 3 4" xfId="5632" xr:uid="{0CCA8161-E709-4B11-A9E5-3078E38EA5E6}"/>
    <cellStyle name="SAPBEXstdItem 10 3 4 2" xfId="11078" xr:uid="{823EDA79-FFEB-44C2-926C-FAFB6E038D37}"/>
    <cellStyle name="SAPBEXstdItem 10 3 4 3" xfId="13293" xr:uid="{83CC7353-543C-4A84-917A-9A6AFE2A53F9}"/>
    <cellStyle name="SAPBEXstdItem 10 3 5" xfId="7281" xr:uid="{64404134-29DF-4B52-A47C-3DA9717373B1}"/>
    <cellStyle name="SAPBEXstdItem 10 3 6" xfId="7179" xr:uid="{4ED3B6FA-88BF-4078-B1BF-4276BB123FD7}"/>
    <cellStyle name="SAPBEXstdItem 10 4" xfId="3556" xr:uid="{4E441BE0-BA22-425E-9271-CBA7B89DF599}"/>
    <cellStyle name="SAPBEXstdItem 10 4 2" xfId="5970" xr:uid="{66E95374-C451-46B0-8D8C-54B3B680ED69}"/>
    <cellStyle name="SAPBEXstdItem 10 4 2 2" xfId="11412" xr:uid="{72B5F86A-C9B9-42BF-82C6-362C1D49B9A5}"/>
    <cellStyle name="SAPBEXstdItem 10 4 2 3" xfId="13497" xr:uid="{F5900700-0CCA-4678-8D49-C17BE47F3D97}"/>
    <cellStyle name="SAPBEXstdItem 10 4 3" xfId="6654" xr:uid="{3591D947-EB19-40A0-B907-D02D379F7007}"/>
    <cellStyle name="SAPBEXstdItem 10 4 3 2" xfId="12096" xr:uid="{DCA14A43-8456-472A-BC6D-4BD2007FEB7C}"/>
    <cellStyle name="SAPBEXstdItem 10 4 3 3" xfId="14159" xr:uid="{12D8FD8B-FC5F-47F0-B74A-F98C552F5367}"/>
    <cellStyle name="SAPBEXstdItem 10 4 4" xfId="9030" xr:uid="{6316260A-1B95-48D7-A0F6-26E80A8B829C}"/>
    <cellStyle name="SAPBEXstdItem 10 4 5" xfId="12762" xr:uid="{77CD3365-34E3-4648-BA6F-84712E93E658}"/>
    <cellStyle name="SAPBEXstdItem 10 5" xfId="4174" xr:uid="{9F9C8B39-390D-4D36-80DD-82541909FE6A}"/>
    <cellStyle name="SAPBEXstdItem 10 5 2" xfId="9624" xr:uid="{1BEDDDAB-BF2A-44FF-A73C-5E5F1254F559}"/>
    <cellStyle name="SAPBEXstdItem 10 5 3" xfId="13243" xr:uid="{0BC39BFC-9B26-4F98-935C-A504F7F9F6FA}"/>
    <cellStyle name="SAPBEXstdItem 10 6" xfId="5465" xr:uid="{14FA6E76-9F50-442D-8DDA-3D4103E2CC45}"/>
    <cellStyle name="SAPBEXstdItem 10 6 2" xfId="10911" xr:uid="{35D41ED4-85F9-4BA2-A4FB-1F84E53A015E}"/>
    <cellStyle name="SAPBEXstdItem 10 6 3" xfId="13257" xr:uid="{C50892D1-6195-45E0-BE16-950CE3229A29}"/>
    <cellStyle name="SAPBEXstdItem 10 7" xfId="7246" xr:uid="{63C7FC83-7114-41D8-A1AC-24F17DD27E67}"/>
    <cellStyle name="SAPBEXstdItem 10 8" xfId="8702" xr:uid="{E733C266-7DE4-4840-AFE2-371989A97134}"/>
    <cellStyle name="SAPBEXstdItem 11" xfId="9029" xr:uid="{FB9DFE55-5020-40DE-AAC8-F2901D809D7F}"/>
    <cellStyle name="SAPBEXstdItem 14" xfId="313" xr:uid="{5098E01D-7528-49E3-AB85-8D7EF3CD99CC}"/>
    <cellStyle name="SAPBEXstdItem 14 2" xfId="406" xr:uid="{7C9D87ED-478E-4170-9541-6C12CA4C882E}"/>
    <cellStyle name="SAPBEXstdItem 14 2 2" xfId="4053" xr:uid="{8EF4BE1A-0B1C-4C13-91B3-434D784A8869}"/>
    <cellStyle name="SAPBEXstdItem 14 2 2 2" xfId="6439" xr:uid="{8CA11113-C9E7-4FAC-91CA-4F44EF66798C}"/>
    <cellStyle name="SAPBEXstdItem 14 2 2 2 2" xfId="11881" xr:uid="{5F345103-F32E-4DF1-A14F-3263F2A7DC40}"/>
    <cellStyle name="SAPBEXstdItem 14 2 2 2 3" xfId="13949" xr:uid="{727B1177-CC87-4D35-9F32-5C80EA4C89FF}"/>
    <cellStyle name="SAPBEXstdItem 14 2 2 3" xfId="7108" xr:uid="{B312AC0E-52BB-4DE5-9054-DFD88ED63101}"/>
    <cellStyle name="SAPBEXstdItem 14 2 2 3 2" xfId="12550" xr:uid="{FCC5FF54-65F9-4438-906E-B8BEBC243617}"/>
    <cellStyle name="SAPBEXstdItem 14 2 2 3 3" xfId="14599" xr:uid="{B6C0BBBB-F174-4902-85F5-863EE8A7E70C}"/>
    <cellStyle name="SAPBEXstdItem 14 2 2 4" xfId="9507" xr:uid="{9646E378-9192-4907-9536-C5AE98BC3D53}"/>
    <cellStyle name="SAPBEXstdItem 14 2 2 5" xfId="13202" xr:uid="{C4B16889-92E7-41D3-B4C5-4AE86CB07F25}"/>
    <cellStyle name="SAPBEXstdItem 14 2 3" xfId="4213" xr:uid="{6AB75630-C064-4ACE-A80A-307660BCA60F}"/>
    <cellStyle name="SAPBEXstdItem 14 2 3 2" xfId="9659" xr:uid="{D328FB36-66BB-43F7-9297-CB9BC2E84342}"/>
    <cellStyle name="SAPBEXstdItem 14 2 3 3" xfId="13252" xr:uid="{A7304FCF-9651-4192-ADF1-A84DCC4A71D5}"/>
    <cellStyle name="SAPBEXstdItem 14 2 4" xfId="5631" xr:uid="{DD8045B5-3A7C-46F5-87E8-30484D8CA58A}"/>
    <cellStyle name="SAPBEXstdItem 14 2 4 2" xfId="11077" xr:uid="{39D2F093-19F3-434F-AEED-D1120D1F0762}"/>
    <cellStyle name="SAPBEXstdItem 14 2 4 3" xfId="13292" xr:uid="{EE921B7E-5F36-4906-8014-8DA66E32BD10}"/>
    <cellStyle name="SAPBEXstdItem 14 2 5" xfId="7282" xr:uid="{9F49C646-84EC-4348-B581-78B81489AFA2}"/>
    <cellStyle name="SAPBEXstdItem 14 2 6" xfId="8697" xr:uid="{47B18411-10F2-4C34-A9E8-0A34E6A555E1}"/>
    <cellStyle name="SAPBEXstdItem 14 3" xfId="4167" xr:uid="{94427DFB-3ADB-410D-B8E0-6E079447ADE5}"/>
    <cellStyle name="SAPBEXstdItem 14 3 2" xfId="9617" xr:uid="{1718408D-C5C1-4BC1-9EC1-33DDD00FDFF8}"/>
    <cellStyle name="SAPBEXstdItem 14 3 3" xfId="13241" xr:uid="{81AAA251-D2E6-435E-8F06-2D6F9549D35B}"/>
    <cellStyle name="SAPBEXstdItem 14 4" xfId="6434" xr:uid="{B0A0484D-45A0-46DB-93E0-A3689096D7BE}"/>
    <cellStyle name="SAPBEXstdItem 14 4 2" xfId="11876" xr:uid="{430B8CA7-B358-4C2B-B89D-588530175178}"/>
    <cellStyle name="SAPBEXstdItem 14 4 3" xfId="13944" xr:uid="{26C3213A-979F-4782-A8ED-959FFC374C65}"/>
    <cellStyle name="SAPBEXstdItem 14 5" xfId="7237" xr:uid="{1C923DCC-9D1D-4510-AD51-25AE120ABEE6}"/>
    <cellStyle name="SAPBEXstdItem 14 6" xfId="8704" xr:uid="{D1747416-6564-4AA5-B64F-B4F642DB3111}"/>
    <cellStyle name="SAPBEXstdItem 15" xfId="317" xr:uid="{F66A9CAD-C1E2-4837-BA0F-BD2BD90C1DE1}"/>
    <cellStyle name="SAPBEXstdItem 15 2" xfId="335" xr:uid="{76E06194-B954-47E4-A53F-A29D96B314B2}"/>
    <cellStyle name="SAPBEXstdItem 15 2 2" xfId="4177" xr:uid="{3AB4B023-ACD7-48F7-B3E8-89D728A542EA}"/>
    <cellStyle name="SAPBEXstdItem 15 2 2 2" xfId="9627" xr:uid="{B9120928-92D5-4DFD-974E-49BF8678370F}"/>
    <cellStyle name="SAPBEXstdItem 15 2 2 3" xfId="13244" xr:uid="{A6CDC721-1078-4734-A62E-2541A63136E7}"/>
    <cellStyle name="SAPBEXstdItem 15 2 3" xfId="5646" xr:uid="{73D9EF41-9C49-4764-945C-F2C699479517}"/>
    <cellStyle name="SAPBEXstdItem 15 2 3 2" xfId="11088" xr:uid="{6E072968-297C-40A3-998B-CACE074C7F64}"/>
    <cellStyle name="SAPBEXstdItem 15 2 3 3" xfId="13299" xr:uid="{9DB4BEBF-3885-43D7-B2BF-09DC2223B9CF}"/>
    <cellStyle name="SAPBEXstdItem 15 2 4" xfId="7249" xr:uid="{427A439B-6177-4745-BEE5-768F0A936E17}"/>
    <cellStyle name="SAPBEXstdItem 15 2 5" xfId="9031" xr:uid="{82899947-094B-4AC9-8734-9B5C08EA233C}"/>
    <cellStyle name="SAPBEXstdItem 15 3" xfId="379" xr:uid="{A5A9F705-F3F9-461C-AA8A-1F3ACB573DF2}"/>
    <cellStyle name="SAPBEXstdItem 15 3 2" xfId="390" xr:uid="{AFDB18A8-46BF-44F2-A907-FEE3A040C30E}"/>
    <cellStyle name="SAPBEXstdItem 15 3 2 2" xfId="4209" xr:uid="{F9C8B6C3-21F5-40B4-9BE6-8A7E805BBABD}"/>
    <cellStyle name="SAPBEXstdItem 15 3 2 2 2" xfId="9655" xr:uid="{2EC4F7C3-96CC-43EA-B2BF-53D7F61F81D1}"/>
    <cellStyle name="SAPBEXstdItem 15 3 2 2 3" xfId="13249" xr:uid="{9D2D4BEA-7CAF-4451-B608-E2E00DBC0A5F}"/>
    <cellStyle name="SAPBEXstdItem 15 3 2 3" xfId="5634" xr:uid="{CF0D7515-60CF-46E5-9105-152A800FBD42}"/>
    <cellStyle name="SAPBEXstdItem 15 3 2 3 2" xfId="11080" xr:uid="{EE472E23-2941-436B-8650-FFD213A49156}"/>
    <cellStyle name="SAPBEXstdItem 15 3 2 3 3" xfId="13295" xr:uid="{A8EBF186-BC90-41D8-8760-34895F8F4B5A}"/>
    <cellStyle name="SAPBEXstdItem 15 3 2 4" xfId="7277" xr:uid="{40D3C413-129B-40B7-970F-70E6E6386A89}"/>
    <cellStyle name="SAPBEXstdItem 15 3 2 5" xfId="8698" xr:uid="{1F0133B1-DA00-4D24-AB7D-9E14E2ED594B}"/>
    <cellStyle name="SAPBEXstdItem 15 3 3" xfId="4202" xr:uid="{8D682898-1761-4603-B164-8563450E6C68}"/>
    <cellStyle name="SAPBEXstdItem 15 3 3 2" xfId="9648" xr:uid="{CBA7DC5E-F804-472D-9E68-2CB3AEE9368D}"/>
    <cellStyle name="SAPBEXstdItem 15 3 3 3" xfId="13246" xr:uid="{9A153D1F-8186-4F3D-BB60-BBFCAF0916DB}"/>
    <cellStyle name="SAPBEXstdItem 15 3 4" xfId="5639" xr:uid="{5F2BBCF6-8852-4AAF-BB24-38755FF6DECB}"/>
    <cellStyle name="SAPBEXstdItem 15 3 4 2" xfId="11085" xr:uid="{7F33422A-5C5A-4D44-B36C-0F6A2EBBFFC4}"/>
    <cellStyle name="SAPBEXstdItem 15 3 4 3" xfId="13298" xr:uid="{3EABBFA4-C1F9-414B-A5F3-AB7E00F5F393}"/>
    <cellStyle name="SAPBEXstdItem 15 3 5" xfId="7270" xr:uid="{F30174ED-CBF7-4BCF-B38A-811BCBD6F76F}"/>
    <cellStyle name="SAPBEXstdItem 15 3 6" xfId="7241" xr:uid="{F4E3B0AE-DC46-4117-99A7-8DEE94C68E22}"/>
    <cellStyle name="SAPBEXstdItem 15 4" xfId="389" xr:uid="{CD5AC0C0-A3FD-4BD0-B67E-DF162637EF90}"/>
    <cellStyle name="SAPBEXstdItem 15 4 2" xfId="4208" xr:uid="{5C147363-C668-48AA-AF1F-B349AE206B1A}"/>
    <cellStyle name="SAPBEXstdItem 15 4 2 2" xfId="9654" xr:uid="{302F9848-3FA4-4E33-A0EC-5F60FF2CFE3B}"/>
    <cellStyle name="SAPBEXstdItem 15 4 2 3" xfId="13248" xr:uid="{E95E2820-1230-4BE9-9661-7E84C7969A64}"/>
    <cellStyle name="SAPBEXstdItem 15 4 3" xfId="4065" xr:uid="{E57C592A-0A30-4612-87D7-64FB37FB0F3D}"/>
    <cellStyle name="SAPBEXstdItem 15 4 3 2" xfId="9515" xr:uid="{7F7C9FA0-99AD-4C7C-971E-BFF9F4ED4DEE}"/>
    <cellStyle name="SAPBEXstdItem 15 4 3 3" xfId="13205" xr:uid="{F15053EA-A209-4D1D-9D72-CA7FBF48CC00}"/>
    <cellStyle name="SAPBEXstdItem 15 4 4" xfId="7276" xr:uid="{D366A3BA-5075-43E3-A986-FC83A54C1183}"/>
    <cellStyle name="SAPBEXstdItem 15 4 5" xfId="7279" xr:uid="{00C16E30-5045-4D27-830C-58D2EA50B880}"/>
    <cellStyle name="SAPBEXstdItem 15 5" xfId="4170" xr:uid="{DD4D3B18-3488-44EA-9EFC-6F289109BE15}"/>
    <cellStyle name="SAPBEXstdItem 15 5 2" xfId="9620" xr:uid="{E820A005-584B-4063-9BAE-139737B99411}"/>
    <cellStyle name="SAPBEXstdItem 15 5 3" xfId="13242" xr:uid="{19989AB5-9834-44F1-B627-D1E3515FF0E1}"/>
    <cellStyle name="SAPBEXstdItem 15 6" xfId="5466" xr:uid="{F852FB8E-4552-48D7-ACEA-28D4B36FA16F}"/>
    <cellStyle name="SAPBEXstdItem 15 6 2" xfId="10912" xr:uid="{4A945DCA-7027-43FB-85E3-04B169398459}"/>
    <cellStyle name="SAPBEXstdItem 15 6 3" xfId="13258" xr:uid="{6DB4B391-46DE-4B04-AE9E-6DD338B3DA65}"/>
    <cellStyle name="SAPBEXstdItem 15 7" xfId="7240" xr:uid="{BCBC1EA3-B14C-4041-ABD3-F8C191127E3F}"/>
    <cellStyle name="SAPBEXstdItem 15 8" xfId="8703" xr:uid="{20637FD3-95CE-40D6-B1B0-FEE00A1350E4}"/>
    <cellStyle name="SAPBEXstdItem 2" xfId="303" xr:uid="{16B8CBF2-BE12-4296-9142-2708D68E41B7}"/>
    <cellStyle name="SAPBEXstdItem 2 10" xfId="7232" xr:uid="{4D1A6B80-6756-4CB4-B2BD-CF97B1C7478F}"/>
    <cellStyle name="SAPBEXstdItem 2 11" xfId="8534" xr:uid="{34630FCE-26C0-4A35-8460-D2D6198A4748}"/>
    <cellStyle name="SAPBEXstdItem 2 2" xfId="378" xr:uid="{BEAE3B48-5999-4E8F-AAA8-0C9D4B1E8189}"/>
    <cellStyle name="SAPBEXstdItem 2 2 2" xfId="401" xr:uid="{3CF497B1-79BB-43C9-8455-1C8919FDD8DC}"/>
    <cellStyle name="SAPBEXstdItem 2 2 2 2" xfId="4211" xr:uid="{C0BCFCC4-14DF-478D-8217-4D5DB477F59E}"/>
    <cellStyle name="SAPBEXstdItem 2 2 2 2 2" xfId="9657" xr:uid="{FADA9D49-AFB4-40FB-A2B2-C5DDFB305781}"/>
    <cellStyle name="SAPBEXstdItem 2 2 2 2 3" xfId="13250" xr:uid="{9200EC9F-50C1-4138-A7DB-FF63F528EBEA}"/>
    <cellStyle name="SAPBEXstdItem 2 2 2 3" xfId="5633" xr:uid="{E183FEB3-E2B5-4BA6-A193-5F042F60230E}"/>
    <cellStyle name="SAPBEXstdItem 2 2 2 3 2" xfId="11079" xr:uid="{0695B7FA-FAF9-4AAA-8225-215B298A3A54}"/>
    <cellStyle name="SAPBEXstdItem 2 2 2 3 3" xfId="13294" xr:uid="{980FCBCB-CCD6-4352-9C65-1B53E03752CA}"/>
    <cellStyle name="SAPBEXstdItem 2 2 2 4" xfId="7280" xr:uid="{CFCEE96A-15D3-420C-B367-71975215A07B}"/>
    <cellStyle name="SAPBEXstdItem 2 2 2 5" xfId="7180" xr:uid="{EDD0C4D0-3DA0-40FC-973A-58B8D7A7A724}"/>
    <cellStyle name="SAPBEXstdItem 2 2 3" xfId="3309" xr:uid="{836A2A13-F2F9-4620-B5D8-2B31A4109972}"/>
    <cellStyle name="SAPBEXstdItem 2 2 3 2" xfId="5825" xr:uid="{EE760A90-835F-4A29-814F-B345EF8445A0}"/>
    <cellStyle name="SAPBEXstdItem 2 2 3 2 2" xfId="11267" xr:uid="{472C47D1-FBC6-404A-8896-DF6AD516CF48}"/>
    <cellStyle name="SAPBEXstdItem 2 2 3 2 3" xfId="13466" xr:uid="{898BEEEF-E661-4A9D-98C9-032B96FCFFE4}"/>
    <cellStyle name="SAPBEXstdItem 2 2 3 3" xfId="6623" xr:uid="{DC42BBF2-6A0D-41BA-9AEF-2198EA56C64E}"/>
    <cellStyle name="SAPBEXstdItem 2 2 3 3 2" xfId="12065" xr:uid="{0469BBEB-1DF9-48F2-9099-DF743AFD2548}"/>
    <cellStyle name="SAPBEXstdItem 2 2 3 3 3" xfId="14128" xr:uid="{0767BBDC-0F6D-450F-AEEB-828AA9EFDB68}"/>
    <cellStyle name="SAPBEXstdItem 2 2 3 4" xfId="8882" xr:uid="{3DD182AE-DF52-4161-BDFE-E00F1861D935}"/>
    <cellStyle name="SAPBEXstdItem 2 2 3 5" xfId="12731" xr:uid="{F7DE71E4-334C-4291-A99E-E6FD329D5663}"/>
    <cellStyle name="SAPBEXstdItem 2 2 4" xfId="3686" xr:uid="{E4CCFEFF-01C0-4B2E-8D74-369EE10CE5A8}"/>
    <cellStyle name="SAPBEXstdItem 2 2 4 2" xfId="6094" xr:uid="{D408F91B-D2CF-495D-82FB-C0AB9AEB4A74}"/>
    <cellStyle name="SAPBEXstdItem 2 2 4 2 2" xfId="11536" xr:uid="{2DAA3C13-1BA3-42E1-9BFB-E29D4E757FD6}"/>
    <cellStyle name="SAPBEXstdItem 2 2 4 2 3" xfId="13613" xr:uid="{F0E5C8B3-4564-4494-B171-7D3E65F92371}"/>
    <cellStyle name="SAPBEXstdItem 2 2 4 3" xfId="6778" xr:uid="{0A66196E-397E-45D5-ACA3-B303B6F4E57D}"/>
    <cellStyle name="SAPBEXstdItem 2 2 4 3 2" xfId="12220" xr:uid="{AFAEB577-F85E-49A7-96C4-C1D487A8329B}"/>
    <cellStyle name="SAPBEXstdItem 2 2 4 3 3" xfId="14275" xr:uid="{A9A2A054-F4E6-417A-8980-7C056D4A0AED}"/>
    <cellStyle name="SAPBEXstdItem 2 2 4 4" xfId="9157" xr:uid="{6654CFE4-6EDF-4A35-984E-354B9B882BBE}"/>
    <cellStyle name="SAPBEXstdItem 2 2 4 5" xfId="12878" xr:uid="{A0039ED0-0ACD-49D5-A086-AB576C26DF0E}"/>
    <cellStyle name="SAPBEXstdItem 2 2 5" xfId="4201" xr:uid="{474879A8-44CD-4F62-93DA-D60B0A7021C3}"/>
    <cellStyle name="SAPBEXstdItem 2 2 5 2" xfId="9647" xr:uid="{ED1457C1-F6A4-4081-94BD-8373E209CAE0}"/>
    <cellStyle name="SAPBEXstdItem 2 2 5 3" xfId="13245" xr:uid="{2EEF5D23-852A-4778-BEC8-45CDD382BBAE}"/>
    <cellStyle name="SAPBEXstdItem 2 2 6" xfId="5637" xr:uid="{4BF3029B-46DB-48E5-81ED-58BD73778B54}"/>
    <cellStyle name="SAPBEXstdItem 2 2 6 2" xfId="11083" xr:uid="{FEE0E4EE-95B0-4C79-BA54-26804131CA55}"/>
    <cellStyle name="SAPBEXstdItem 2 2 6 3" xfId="13296" xr:uid="{B160E62E-94BC-48B0-B2F9-E021188328DC}"/>
    <cellStyle name="SAPBEXstdItem 2 2 7" xfId="7269" xr:uid="{55309AEF-4610-4678-AB69-E76F78DEC91B}"/>
    <cellStyle name="SAPBEXstdItem 2 2 8" xfId="8699" xr:uid="{BDE3B03C-31EF-42CD-81AF-0310A25287CF}"/>
    <cellStyle name="SAPBEXstdItem 2 3" xfId="3310" xr:uid="{5955F65E-6642-4B4F-9EAF-F2CADBB55E4E}"/>
    <cellStyle name="SAPBEXstdItem 2 3 2" xfId="3752" xr:uid="{297154A6-FFF3-4B83-8CAE-46DAAC476C06}"/>
    <cellStyle name="SAPBEXstdItem 2 3 2 2" xfId="6160" xr:uid="{413255D9-3A8B-4BFD-B74E-5B63428493D2}"/>
    <cellStyle name="SAPBEXstdItem 2 3 2 2 2" xfId="11602" xr:uid="{7BE06A99-85E7-4806-BF2C-239934A31961}"/>
    <cellStyle name="SAPBEXstdItem 2 3 2 2 3" xfId="13677" xr:uid="{D64DB6AE-99E0-446C-941B-920E91B9DA7E}"/>
    <cellStyle name="SAPBEXstdItem 2 3 2 3" xfId="6842" xr:uid="{95F0DA00-0739-4853-A2F3-0B83BB3AA9D4}"/>
    <cellStyle name="SAPBEXstdItem 2 3 2 3 2" xfId="12284" xr:uid="{7468B2DA-E53C-4C6E-9D29-3789C523FA15}"/>
    <cellStyle name="SAPBEXstdItem 2 3 2 3 3" xfId="14337" xr:uid="{A848ADD0-FC42-46D4-9FF9-1087199DF20F}"/>
    <cellStyle name="SAPBEXstdItem 2 3 2 4" xfId="9223" xr:uid="{FFAF828A-6C62-4F81-97C7-591D8042CF37}"/>
    <cellStyle name="SAPBEXstdItem 2 3 2 5" xfId="12940" xr:uid="{E93F9E97-CE31-4087-BC3F-32FD491E39F8}"/>
    <cellStyle name="SAPBEXstdItem 2 3 3" xfId="5826" xr:uid="{7C972707-7683-473D-B714-7492D79F450E}"/>
    <cellStyle name="SAPBEXstdItem 2 3 3 2" xfId="11268" xr:uid="{38ECAA3F-C888-40C9-A513-7B3E515348D3}"/>
    <cellStyle name="SAPBEXstdItem 2 3 3 3" xfId="13467" xr:uid="{E73E0CE9-D49A-4042-8140-B93A05DF68E1}"/>
    <cellStyle name="SAPBEXstdItem 2 3 4" xfId="6624" xr:uid="{601C65BC-BBB3-4A65-80F1-7554DD9EF971}"/>
    <cellStyle name="SAPBEXstdItem 2 3 4 2" xfId="12066" xr:uid="{3830D227-72C0-49A0-A10A-458DE33A7683}"/>
    <cellStyle name="SAPBEXstdItem 2 3 4 3" xfId="14129" xr:uid="{781000F2-103F-4089-BE6E-29E7B9E6465F}"/>
    <cellStyle name="SAPBEXstdItem 2 3 5" xfId="8883" xr:uid="{0FD92476-DC67-4E52-B734-FA76200615D9}"/>
    <cellStyle name="SAPBEXstdItem 2 3 6" xfId="12732" xr:uid="{E58206E2-76FE-43E2-BC8C-FC4A52B7ECCD}"/>
    <cellStyle name="SAPBEXstdItem 2 4" xfId="3540" xr:uid="{64E9DB3A-F2FA-40E4-8B17-6DBE75C6273F}"/>
    <cellStyle name="SAPBEXstdItem 2 4 2" xfId="3818" xr:uid="{E9AD7C38-355E-4DC4-90DA-684C2E7E691C}"/>
    <cellStyle name="SAPBEXstdItem 2 4 2 2" xfId="6225" xr:uid="{5F81F3DF-04DB-4D46-8FF9-E177C692A08F}"/>
    <cellStyle name="SAPBEXstdItem 2 4 2 2 2" xfId="11667" xr:uid="{35731711-09C2-4EA3-9485-2CFD3E8D2000}"/>
    <cellStyle name="SAPBEXstdItem 2 4 2 2 3" xfId="13741" xr:uid="{56ED5EFE-4C04-4034-BABD-782BFCB453C1}"/>
    <cellStyle name="SAPBEXstdItem 2 4 2 3" xfId="6905" xr:uid="{8B9F95AD-7941-4741-A7A1-8A11DBC877CC}"/>
    <cellStyle name="SAPBEXstdItem 2 4 2 3 2" xfId="12347" xr:uid="{0282AD3F-5221-4096-A5D5-28CABF5E73C5}"/>
    <cellStyle name="SAPBEXstdItem 2 4 2 3 3" xfId="14399" xr:uid="{B3222C4F-2870-471F-9F86-5ED3B8F04631}"/>
    <cellStyle name="SAPBEXstdItem 2 4 2 4" xfId="9288" xr:uid="{417C71D0-7C4A-417E-BB54-742836628031}"/>
    <cellStyle name="SAPBEXstdItem 2 4 2 5" xfId="13002" xr:uid="{2F0EDA83-F138-43B8-AF36-55CDA56AF25C}"/>
    <cellStyle name="SAPBEXstdItem 2 4 3" xfId="5964" xr:uid="{54826E74-18C8-40C6-87A0-0F8F1B8D5CEF}"/>
    <cellStyle name="SAPBEXstdItem 2 4 3 2" xfId="11406" xr:uid="{8E7769F9-C43F-4E99-8C72-56A7917DA371}"/>
    <cellStyle name="SAPBEXstdItem 2 4 3 3" xfId="13493" xr:uid="{D52BC5B0-34FB-415F-90DC-77036029D44A}"/>
    <cellStyle name="SAPBEXstdItem 2 4 4" xfId="6650" xr:uid="{5CDF3F1C-14A8-4BFE-B73C-1110EEE3AEA4}"/>
    <cellStyle name="SAPBEXstdItem 2 4 4 2" xfId="12092" xr:uid="{B38E23F1-83B1-4B67-AEE6-1030BE68A595}"/>
    <cellStyle name="SAPBEXstdItem 2 4 4 3" xfId="14155" xr:uid="{54C8309A-1D43-4C37-9D97-886EEA6CB45B}"/>
    <cellStyle name="SAPBEXstdItem 2 4 5" xfId="9022" xr:uid="{8204FB87-BC44-477F-A157-487B0E3D31ED}"/>
    <cellStyle name="SAPBEXstdItem 2 4 6" xfId="12758" xr:uid="{005EF4EE-B019-41D2-9A59-7532C942B1BB}"/>
    <cellStyle name="SAPBEXstdItem 2 5" xfId="3308" xr:uid="{77E3EB2C-970B-48D9-9704-F8F8C91E3714}"/>
    <cellStyle name="SAPBEXstdItem 2 5 2" xfId="3903" xr:uid="{6F4F232A-563C-4063-BC90-77FAA98368DD}"/>
    <cellStyle name="SAPBEXstdItem 2 5 2 2" xfId="6308" xr:uid="{1A15D1A4-A682-41F7-8330-D567F68AD239}"/>
    <cellStyle name="SAPBEXstdItem 2 5 2 2 2" xfId="11750" xr:uid="{8697C37F-33BC-4B3D-8C3C-C9546D9D9D73}"/>
    <cellStyle name="SAPBEXstdItem 2 5 2 2 3" xfId="13822" xr:uid="{DF064651-E63C-42F2-B909-06B474351F7C}"/>
    <cellStyle name="SAPBEXstdItem 2 5 2 3" xfId="6986" xr:uid="{9F196BCA-E39E-4D22-9388-4F9F06B4A263}"/>
    <cellStyle name="SAPBEXstdItem 2 5 2 3 2" xfId="12428" xr:uid="{795AB1A6-48C9-40D7-9E05-983A7956B5F1}"/>
    <cellStyle name="SAPBEXstdItem 2 5 2 3 3" xfId="14478" xr:uid="{25347EC8-2A9C-490C-9B37-655D813B29C6}"/>
    <cellStyle name="SAPBEXstdItem 2 5 2 4" xfId="9371" xr:uid="{6C3D5228-33C2-465E-A5AD-4E5F7B80E225}"/>
    <cellStyle name="SAPBEXstdItem 2 5 2 5" xfId="13081" xr:uid="{0712AF16-C094-4F52-B615-5D1DF048DD12}"/>
    <cellStyle name="SAPBEXstdItem 2 5 3" xfId="5824" xr:uid="{CEC624F3-3475-49F1-A581-3615F5187469}"/>
    <cellStyle name="SAPBEXstdItem 2 5 3 2" xfId="11266" xr:uid="{DF02210E-B5A1-4D4B-B570-744285E522AA}"/>
    <cellStyle name="SAPBEXstdItem 2 5 3 3" xfId="13465" xr:uid="{32E5D840-952C-453A-A618-88736AC3292C}"/>
    <cellStyle name="SAPBEXstdItem 2 5 4" xfId="6622" xr:uid="{0C1D33CB-2793-4C71-AA06-5ED4A28DDE2C}"/>
    <cellStyle name="SAPBEXstdItem 2 5 4 2" xfId="12064" xr:uid="{397A68E0-3007-4609-BE47-D8BD209E1AD4}"/>
    <cellStyle name="SAPBEXstdItem 2 5 4 3" xfId="14127" xr:uid="{483DE97E-2F81-468F-AC2D-BCAF8E58BE01}"/>
    <cellStyle name="SAPBEXstdItem 2 5 5" xfId="8881" xr:uid="{29F08BFF-976E-4126-BEB7-61D054AF83B9}"/>
    <cellStyle name="SAPBEXstdItem 2 5 6" xfId="12730" xr:uid="{2F4F7F21-44FF-4E8E-A5A8-35A2C79805AB}"/>
    <cellStyle name="SAPBEXstdItem 2 6" xfId="2032" xr:uid="{76357A11-01FF-46B5-86D9-4C29AEA8E450}"/>
    <cellStyle name="SAPBEXstdItem 2 6 2" xfId="3970" xr:uid="{99C63C0D-8098-4F8F-8053-4EB91F715D83}"/>
    <cellStyle name="SAPBEXstdItem 2 6 2 2" xfId="6373" xr:uid="{5966B8A3-B48C-4649-980B-774B31A762AF}"/>
    <cellStyle name="SAPBEXstdItem 2 6 2 2 2" xfId="11815" xr:uid="{9DF67591-BE64-4E9A-B91D-2CD057078EF8}"/>
    <cellStyle name="SAPBEXstdItem 2 6 2 2 3" xfId="13886" xr:uid="{B4B5BFBC-732A-44E2-BA5B-2A475CB735AA}"/>
    <cellStyle name="SAPBEXstdItem 2 6 2 3" xfId="7049" xr:uid="{EDB159BD-8B5E-45A3-BA45-CDC692C9946D}"/>
    <cellStyle name="SAPBEXstdItem 2 6 2 3 2" xfId="12491" xr:uid="{7677D914-0CF4-4F97-9E45-12C056B45F35}"/>
    <cellStyle name="SAPBEXstdItem 2 6 2 3 3" xfId="14540" xr:uid="{D260D167-E161-49B4-B137-06B261FF6D3F}"/>
    <cellStyle name="SAPBEXstdItem 2 6 2 4" xfId="9436" xr:uid="{17543837-979E-4DC1-BC03-4788255B1155}"/>
    <cellStyle name="SAPBEXstdItem 2 6 2 5" xfId="13143" xr:uid="{EC4E3EA8-EAD0-4AF3-9BDC-9907BA7B5BFB}"/>
    <cellStyle name="SAPBEXstdItem 2 6 3" xfId="5587" xr:uid="{31E27311-8023-429A-9E54-744EE135EFDE}"/>
    <cellStyle name="SAPBEXstdItem 2 6 3 2" xfId="11033" xr:uid="{DA51A9B5-540D-4598-9DB7-E0A77D32D644}"/>
    <cellStyle name="SAPBEXstdItem 2 6 3 3" xfId="13268" xr:uid="{C84D9B57-C6D9-4403-8194-C846360F67D4}"/>
    <cellStyle name="SAPBEXstdItem 2 6 4" xfId="6449" xr:uid="{497ED847-2F22-4F85-AB41-296F3A0F0DC5}"/>
    <cellStyle name="SAPBEXstdItem 2 6 4 2" xfId="11891" xr:uid="{FDE112D5-F3DC-4765-AF73-4C5DF7266035}"/>
    <cellStyle name="SAPBEXstdItem 2 6 4 3" xfId="13959" xr:uid="{2B4A4978-0D14-4873-BD15-C31001AB668E}"/>
    <cellStyle name="SAPBEXstdItem 2 6 5" xfId="8653" xr:uid="{E24929BA-C323-4CAA-8AD8-90A49D2DAFCE}"/>
    <cellStyle name="SAPBEXstdItem 2 6 6" xfId="12562" xr:uid="{40399A32-0994-42B3-A0A7-4D1CA05B2165}"/>
    <cellStyle name="SAPBEXstdItem 2 7" xfId="3604" xr:uid="{C37D6B72-1A1C-49F4-A531-2E147F041A22}"/>
    <cellStyle name="SAPBEXstdItem 2 7 2" xfId="6013" xr:uid="{7799419C-AD62-47C3-BD6F-56EF5E285DD2}"/>
    <cellStyle name="SAPBEXstdItem 2 7 2 2" xfId="11455" xr:uid="{ECD8DF0A-5479-4F29-A17D-DC853ACCDACC}"/>
    <cellStyle name="SAPBEXstdItem 2 7 2 3" xfId="13537" xr:uid="{88778961-9F37-4024-8D5E-4BA5CEBDCCD6}"/>
    <cellStyle name="SAPBEXstdItem 2 7 3" xfId="6697" xr:uid="{816DBCF2-F071-46A7-A60B-1E912748A228}"/>
    <cellStyle name="SAPBEXstdItem 2 7 3 2" xfId="12139" xr:uid="{02E9D161-EB37-4660-97A8-711B0F9720CD}"/>
    <cellStyle name="SAPBEXstdItem 2 7 3 3" xfId="14199" xr:uid="{E89D19B8-30A3-4DA2-A847-0868EA81583E}"/>
    <cellStyle name="SAPBEXstdItem 2 7 4" xfId="9076" xr:uid="{7E8D84F5-819C-4A1E-9FD6-1DDB40ABA5EF}"/>
    <cellStyle name="SAPBEXstdItem 2 7 5" xfId="12802" xr:uid="{2F9BB24E-2E32-4882-B11A-715FBAA77C46}"/>
    <cellStyle name="SAPBEXstdItem 2 8" xfId="4162" xr:uid="{576E2018-7310-4B3C-832B-6156B06D30F6}"/>
    <cellStyle name="SAPBEXstdItem 2 8 2" xfId="9612" xr:uid="{2F8FBB50-8A6C-41C6-9683-52332D44112F}"/>
    <cellStyle name="SAPBEXstdItem 2 8 3" xfId="13240" xr:uid="{50496E31-AA4B-4F33-BC9F-4F2FF8DDA1B9}"/>
    <cellStyle name="SAPBEXstdItem 2 9" xfId="6435" xr:uid="{B7648031-C345-4380-8869-176865568984}"/>
    <cellStyle name="SAPBEXstdItem 2 9 2" xfId="11877" xr:uid="{E45E6FA0-6675-47A1-95E7-45B6E6189CAC}"/>
    <cellStyle name="SAPBEXstdItem 2 9 3" xfId="13945" xr:uid="{AAD7E5F8-8335-469D-869D-240B40166854}"/>
    <cellStyle name="SAPBEXstdItem 2_2014 CLEAResult Invoices" xfId="3311" xr:uid="{F0E620E1-E659-48EF-B337-7BDE8995D06A}"/>
    <cellStyle name="SAPBEXstdItem 3" xfId="3312" xr:uid="{FD26B94D-C97B-4854-8910-5FFC1F043C75}"/>
    <cellStyle name="SAPBEXstdItem 3 10" xfId="12733" xr:uid="{50ACE858-F044-49A2-BCD4-345986484FD8}"/>
    <cellStyle name="SAPBEXstdItem 3 2" xfId="3807" xr:uid="{864F7DF8-C69D-4F74-861A-4F77AAAFA967}"/>
    <cellStyle name="SAPBEXstdItem 3 2 2" xfId="6215" xr:uid="{9514EF6C-8B41-46CF-A8BD-90988D00E223}"/>
    <cellStyle name="SAPBEXstdItem 3 2 2 2" xfId="11657" xr:uid="{4E05DD47-4A35-4816-8B81-29778652AFEA}"/>
    <cellStyle name="SAPBEXstdItem 3 2 2 3" xfId="13732" xr:uid="{1C4D47DF-77EC-4CDF-B3B1-B3965FD1D7C3}"/>
    <cellStyle name="SAPBEXstdItem 3 2 3" xfId="6897" xr:uid="{C1E8011C-36CE-45F9-BFD8-331CA09D27C6}"/>
    <cellStyle name="SAPBEXstdItem 3 2 3 2" xfId="12339" xr:uid="{EA6F9B6F-5DFE-46C2-9D1A-FF0FD0DEA1D7}"/>
    <cellStyle name="SAPBEXstdItem 3 2 3 3" xfId="14392" xr:uid="{5418B152-9083-4ECD-B4F4-59CB6E2BD7F2}"/>
    <cellStyle name="SAPBEXstdItem 3 2 4" xfId="9278" xr:uid="{012842BD-43F5-4AF2-A6F7-B1AC566F84B7}"/>
    <cellStyle name="SAPBEXstdItem 3 2 5" xfId="12995" xr:uid="{92934274-2667-477E-B89F-6ED292069B74}"/>
    <cellStyle name="SAPBEXstdItem 3 3" xfId="3873" xr:uid="{3F72C81A-4661-44BF-A1ED-793EE83698E6}"/>
    <cellStyle name="SAPBEXstdItem 3 3 2" xfId="6280" xr:uid="{2B0349A5-4CF0-48AA-8F60-A5E1B65193E1}"/>
    <cellStyle name="SAPBEXstdItem 3 3 2 2" xfId="11722" xr:uid="{E3863381-996F-4F15-8D11-40B522A1E3E3}"/>
    <cellStyle name="SAPBEXstdItem 3 3 2 3" xfId="13796" xr:uid="{194D047C-F575-4E0B-AC12-897259D67CA8}"/>
    <cellStyle name="SAPBEXstdItem 3 3 3" xfId="6960" xr:uid="{EABB30E2-C61E-41B4-9E76-A4CF14BF8A8B}"/>
    <cellStyle name="SAPBEXstdItem 3 3 3 2" xfId="12402" xr:uid="{EFF1CB76-8723-49D2-B5DA-BC0C3D29FC2A}"/>
    <cellStyle name="SAPBEXstdItem 3 3 3 3" xfId="14454" xr:uid="{452DAA62-A506-4E94-9271-75EA4758F573}"/>
    <cellStyle name="SAPBEXstdItem 3 3 4" xfId="9343" xr:uid="{0F7E6C97-790B-4C08-99EE-6056FE685DE7}"/>
    <cellStyle name="SAPBEXstdItem 3 3 5" xfId="13057" xr:uid="{A1B04F2C-9BA3-4CE2-8C25-B7D3869DF837}"/>
    <cellStyle name="SAPBEXstdItem 3 4" xfId="3958" xr:uid="{C7B8CAA5-2B75-4F94-BBAE-C70BC64A49BF}"/>
    <cellStyle name="SAPBEXstdItem 3 4 2" xfId="6363" xr:uid="{D63B3E3C-6F35-42DE-93B9-7FE1A793B3E3}"/>
    <cellStyle name="SAPBEXstdItem 3 4 2 2" xfId="11805" xr:uid="{58B18378-3FC4-4316-AA2E-184DAD2EE022}"/>
    <cellStyle name="SAPBEXstdItem 3 4 2 3" xfId="13877" xr:uid="{2731A18E-3DD6-4254-86EE-E193604D59BB}"/>
    <cellStyle name="SAPBEXstdItem 3 4 3" xfId="7041" xr:uid="{CB4184D7-803F-4B22-BC78-072704D3B43D}"/>
    <cellStyle name="SAPBEXstdItem 3 4 3 2" xfId="12483" xr:uid="{F1C2D7E4-80F6-4E0B-8DFD-75A855977D65}"/>
    <cellStyle name="SAPBEXstdItem 3 4 3 3" xfId="14533" xr:uid="{1F79FF9D-C503-4298-8840-074C013DC11F}"/>
    <cellStyle name="SAPBEXstdItem 3 4 4" xfId="9426" xr:uid="{AD28A80C-FF4E-40A5-A17A-310A9ACC6E7B}"/>
    <cellStyle name="SAPBEXstdItem 3 4 5" xfId="13136" xr:uid="{F63C7573-A6B8-45C0-A2C5-DC9969193DE2}"/>
    <cellStyle name="SAPBEXstdItem 3 5" xfId="4025" xr:uid="{7401BAC7-59B5-43FA-953A-688D070694A5}"/>
    <cellStyle name="SAPBEXstdItem 3 5 2" xfId="6428" xr:uid="{511E1DFF-DEEA-4E51-86B3-A0C78EA20D8C}"/>
    <cellStyle name="SAPBEXstdItem 3 5 2 2" xfId="11870" xr:uid="{7960EA83-37D4-4104-98FB-7700C82F7B6E}"/>
    <cellStyle name="SAPBEXstdItem 3 5 2 3" xfId="13941" xr:uid="{6A8E17CA-CD6A-4CB1-A68A-B6023A35AC0A}"/>
    <cellStyle name="SAPBEXstdItem 3 5 3" xfId="7104" xr:uid="{D8F1C3F4-CFFC-428B-9D75-79831EEAC116}"/>
    <cellStyle name="SAPBEXstdItem 3 5 3 2" xfId="12546" xr:uid="{5A3AC69F-C2AF-49F5-8383-918980C6E829}"/>
    <cellStyle name="SAPBEXstdItem 3 5 3 3" xfId="14595" xr:uid="{99B9EF25-D66F-4913-96A2-279BEE7FA88F}"/>
    <cellStyle name="SAPBEXstdItem 3 5 4" xfId="9491" xr:uid="{039A4CB1-B352-42DE-B305-9A4F7751193D}"/>
    <cellStyle name="SAPBEXstdItem 3 5 5" xfId="13198" xr:uid="{A64CB6B8-02B7-4E6D-90FE-D6FEE3CB8976}"/>
    <cellStyle name="SAPBEXstdItem 3 6" xfId="3741" xr:uid="{144C9339-2084-4AD6-A544-E8A0D2DFB5E8}"/>
    <cellStyle name="SAPBEXstdItem 3 6 2" xfId="6149" xr:uid="{CB174509-0038-4678-A30D-DC53F693E705}"/>
    <cellStyle name="SAPBEXstdItem 3 6 2 2" xfId="11591" xr:uid="{46CB4699-049A-48E2-99E3-32CB47983042}"/>
    <cellStyle name="SAPBEXstdItem 3 6 2 3" xfId="13668" xr:uid="{08265F5A-C1BE-458F-86D8-B39E095B8CAB}"/>
    <cellStyle name="SAPBEXstdItem 3 6 3" xfId="6833" xr:uid="{34851858-9AAF-4574-809F-0D654B647935}"/>
    <cellStyle name="SAPBEXstdItem 3 6 3 2" xfId="12275" xr:uid="{5D239365-6A6A-434D-A966-2BD478CDCE06}"/>
    <cellStyle name="SAPBEXstdItem 3 6 3 3" xfId="14330" xr:uid="{79AACA77-4473-43C7-B9FC-731741E90B38}"/>
    <cellStyle name="SAPBEXstdItem 3 6 4" xfId="9212" xr:uid="{0C8AAC03-0C6B-4791-AD72-A66519A99595}"/>
    <cellStyle name="SAPBEXstdItem 3 6 5" xfId="12933" xr:uid="{66D0FBA9-066F-441A-ACFA-E6D987DE5965}"/>
    <cellStyle name="SAPBEXstdItem 3 7" xfId="5827" xr:uid="{E4CCBFC4-13B3-421E-8791-A9F872DED3C0}"/>
    <cellStyle name="SAPBEXstdItem 3 7 2" xfId="11269" xr:uid="{E433F9F8-13F5-465E-A39E-39896263FC1B}"/>
    <cellStyle name="SAPBEXstdItem 3 7 3" xfId="13468" xr:uid="{573EDFCC-ABD4-4395-8210-150CAFCCA7DD}"/>
    <cellStyle name="SAPBEXstdItem 3 8" xfId="6625" xr:uid="{4E7C9861-9847-484E-84DD-643E34B4FCF4}"/>
    <cellStyle name="SAPBEXstdItem 3 8 2" xfId="12067" xr:uid="{C4AF26C8-4CC8-4BE3-86AC-E2D064729B6F}"/>
    <cellStyle name="SAPBEXstdItem 3 8 3" xfId="14130" xr:uid="{FE1643FD-0F02-420F-9C20-320C696ADBAE}"/>
    <cellStyle name="SAPBEXstdItem 3 9" xfId="8884" xr:uid="{D30F1FFC-8383-4272-A30B-6C82B6C643D4}"/>
    <cellStyle name="SAPBEXstdItem 4" xfId="2031" xr:uid="{568E573D-EC56-417B-A547-F417F37FF9A9}"/>
    <cellStyle name="SAPBEXstdItem 4 2" xfId="3674" xr:uid="{29D3863B-720F-4C62-B944-0CEAC10B32D9}"/>
    <cellStyle name="SAPBEXstdItem 4 2 2" xfId="6082" xr:uid="{01C3051D-803D-471A-AFEA-06F4A25D1123}"/>
    <cellStyle name="SAPBEXstdItem 4 2 2 2" xfId="11524" xr:uid="{8E4D9FEF-0A39-4BDF-B515-A175294328D1}"/>
    <cellStyle name="SAPBEXstdItem 4 2 2 3" xfId="13603" xr:uid="{B0750302-5D1F-4A86-B7B9-00CD18E392B7}"/>
    <cellStyle name="SAPBEXstdItem 4 2 3" xfId="6766" xr:uid="{852B5CEB-A486-451C-B8CA-4C4F684F7272}"/>
    <cellStyle name="SAPBEXstdItem 4 2 3 2" xfId="12208" xr:uid="{5C241AC8-0AF9-4BA8-99D7-E6EBA4A96E51}"/>
    <cellStyle name="SAPBEXstdItem 4 2 3 3" xfId="14265" xr:uid="{C8E1E98F-17D7-4006-B74E-B59CF13F85BF}"/>
    <cellStyle name="SAPBEXstdItem 4 2 4" xfId="9145" xr:uid="{C53461ED-4042-4F5D-916F-DF640A3F7887}"/>
    <cellStyle name="SAPBEXstdItem 4 2 5" xfId="12868" xr:uid="{12F74220-ABCB-46A0-B5C2-DFE69F5CF2A2}"/>
    <cellStyle name="SAPBEXstdItem 4 3" xfId="5586" xr:uid="{F91F1025-10DC-485D-ADF2-78D7F0E82492}"/>
    <cellStyle name="SAPBEXstdItem 4 3 2" xfId="11032" xr:uid="{69996838-09AF-473A-BC4D-02279B2D1EA6}"/>
    <cellStyle name="SAPBEXstdItem 4 3 3" xfId="13267" xr:uid="{C41A2318-F2EB-4C83-91BD-63E219A65FB4}"/>
    <cellStyle name="SAPBEXstdItem 4 4" xfId="6448" xr:uid="{D1888649-F0FC-4E32-A446-3FA79128ACF4}"/>
    <cellStyle name="SAPBEXstdItem 4 4 2" xfId="11890" xr:uid="{EEE2A1A3-11AD-40DC-A285-B404FE1CC7F9}"/>
    <cellStyle name="SAPBEXstdItem 4 4 3" xfId="13958" xr:uid="{9AF9C608-E6D9-4EBE-AEFD-5F539B902CE7}"/>
    <cellStyle name="SAPBEXstdItem 4 5" xfId="8652" xr:uid="{5F08DCBF-28F1-4E7D-BCD0-BD6FEA8237E5}"/>
    <cellStyle name="SAPBEXstdItem 4 6" xfId="12561" xr:uid="{5B392444-D409-47B3-9C7C-D907F48C018A}"/>
    <cellStyle name="SAPBEXstdItem 5" xfId="3890" xr:uid="{ADDD4F22-2EA4-4E8F-BE3A-4025CDC2E31D}"/>
    <cellStyle name="SAPBEXstdItem 5 2" xfId="6297" xr:uid="{51ADE1BD-C899-4D83-845D-6CC2F0B03ECA}"/>
    <cellStyle name="SAPBEXstdItem 5 2 2" xfId="11739" xr:uid="{15ACA1D6-A02A-4ABB-92F1-35C3BA300DFE}"/>
    <cellStyle name="SAPBEXstdItem 5 2 3" xfId="13813" xr:uid="{BB9E0461-45AD-4CD8-A244-5970382E4004}"/>
    <cellStyle name="SAPBEXstdItem 5 3" xfId="6977" xr:uid="{E6E71B95-E094-42D2-B8E0-805C5CD0F332}"/>
    <cellStyle name="SAPBEXstdItem 5 3 2" xfId="12419" xr:uid="{02A22D3E-710B-43D2-B648-ABDCC603174B}"/>
    <cellStyle name="SAPBEXstdItem 5 3 3" xfId="14471" xr:uid="{9439496D-DBD4-4127-AA55-EC1B52F1E359}"/>
    <cellStyle name="SAPBEXstdItem 5 4" xfId="9360" xr:uid="{531E5D00-C1FF-465C-B85D-02F001B3D912}"/>
    <cellStyle name="SAPBEXstdItem 5 5" xfId="13074" xr:uid="{5BB3250E-ED56-439B-BCC0-C6694DE4D56B}"/>
    <cellStyle name="SAPBEXstdItem 6" xfId="3590" xr:uid="{BBC69717-4735-4206-9C7E-54425E16351C}"/>
    <cellStyle name="SAPBEXstdItem 6 2" xfId="6001" xr:uid="{114ECBD9-D99E-42C7-8E4B-054313BCAE95}"/>
    <cellStyle name="SAPBEXstdItem 6 2 2" xfId="11443" xr:uid="{88B6189B-1D7F-44F3-90D9-F28656A55D24}"/>
    <cellStyle name="SAPBEXstdItem 6 2 3" xfId="13527" xr:uid="{B5F6C2BC-B013-4E8B-BD40-C991C4722AA3}"/>
    <cellStyle name="SAPBEXstdItem 6 3" xfId="6684" xr:uid="{D954EA6F-8522-4FAB-9BA0-162CCDD47BF2}"/>
    <cellStyle name="SAPBEXstdItem 6 3 2" xfId="12126" xr:uid="{8ACC8128-C32C-441D-900F-1C303B8A2456}"/>
    <cellStyle name="SAPBEXstdItem 6 3 3" xfId="14188" xr:uid="{8D78BF22-746E-4267-88D4-A8B2B16A12ED}"/>
    <cellStyle name="SAPBEXstdItem 6 4" xfId="9062" xr:uid="{09BE3EE2-C124-4129-B0F9-2DEF3930F0F2}"/>
    <cellStyle name="SAPBEXstdItem 6 5" xfId="12791" xr:uid="{0D431F26-4C5A-48B7-A845-4D4FD1E5167B}"/>
    <cellStyle name="SAPBEXstdItem 7" xfId="4158" xr:uid="{A9714636-0320-4564-875A-43C7EF38614F}"/>
    <cellStyle name="SAPBEXstdItem 7 2" xfId="9608" xr:uid="{CD3A0278-B74A-423E-969D-DE45639B03D5}"/>
    <cellStyle name="SAPBEXstdItem 7 3" xfId="13237" xr:uid="{8B20E4FA-203D-4103-B19A-4F86BD3A00A2}"/>
    <cellStyle name="SAPBEXstdItem 8" xfId="5670" xr:uid="{E27BC9AD-BCCC-42A3-A157-692315AFB4FE}"/>
    <cellStyle name="SAPBEXstdItem 8 2" xfId="11112" xr:uid="{7D44FFE9-8CFC-447E-BE56-00CBE9CAA959}"/>
    <cellStyle name="SAPBEXstdItem 8 3" xfId="13318" xr:uid="{09D7AB3A-625D-4CD7-8607-D08D845A3AEE}"/>
    <cellStyle name="SAPBEXstdItem 9" xfId="7226" xr:uid="{89858B0C-A1CF-4E91-B919-3EBE91D6CAF7}"/>
    <cellStyle name="SAPBEXstdItem_2014 CLEAResult Invoices" xfId="3313" xr:uid="{E287DC62-3AF9-42A3-A699-692555A88B49}"/>
    <cellStyle name="SAPBEXstdItemX" xfId="283" xr:uid="{FFBF0A1A-CFC8-44A3-9665-380EDDEC2C36}"/>
    <cellStyle name="SAPBEXstdItemX 10" xfId="7245" xr:uid="{D49AA57D-EB09-4041-A3FD-0C8401C49D0F}"/>
    <cellStyle name="SAPBEXstdItemX 2" xfId="3315" xr:uid="{2A1DC679-2D84-4C91-B3B5-98A09D6E1923}"/>
    <cellStyle name="SAPBEXstdItemX 2 10" xfId="8886" xr:uid="{5332200A-A41E-489A-8C1D-F0D6687F4753}"/>
    <cellStyle name="SAPBEXstdItemX 2 11" xfId="12735" xr:uid="{DFD47753-51E9-4C30-8266-666C7CDE13C0}"/>
    <cellStyle name="SAPBEXstdItemX 2 2" xfId="3711" xr:uid="{544E9B13-4B6F-4B45-87AA-40E3472EDCDB}"/>
    <cellStyle name="SAPBEXstdItemX 2 2 2" xfId="6119" xr:uid="{2E14B6B1-981A-45C2-A22C-74476B3344C2}"/>
    <cellStyle name="SAPBEXstdItemX 2 2 2 2" xfId="11561" xr:uid="{1D0235DF-C666-4B1A-82B2-A3F5C7EB9E3F}"/>
    <cellStyle name="SAPBEXstdItemX 2 2 2 3" xfId="13638" xr:uid="{7DB90E09-CA9B-4EEE-B334-4E0C0291F927}"/>
    <cellStyle name="SAPBEXstdItemX 2 2 3" xfId="6803" xr:uid="{6E0C485F-CE45-43EC-A902-A4D6153DA15E}"/>
    <cellStyle name="SAPBEXstdItemX 2 2 3 2" xfId="12245" xr:uid="{BE2C0BD1-D756-440D-BE70-CB26EC65EE30}"/>
    <cellStyle name="SAPBEXstdItemX 2 2 3 3" xfId="14300" xr:uid="{07355C85-73D8-4C8B-955E-0C6878353860}"/>
    <cellStyle name="SAPBEXstdItemX 2 2 4" xfId="9182" xr:uid="{DE8B655F-A9AA-425E-92B4-A95A372CFDD6}"/>
    <cellStyle name="SAPBEXstdItemX 2 2 5" xfId="12903" xr:uid="{D291A228-C347-4333-87EA-8457A0C0F202}"/>
    <cellStyle name="SAPBEXstdItemX 2 3" xfId="3777" xr:uid="{BC3C3302-606A-4F71-B456-AACC47B16BED}"/>
    <cellStyle name="SAPBEXstdItemX 2 3 2" xfId="6185" xr:uid="{B2431A2C-8E54-4A42-9ECF-DD7F52F47278}"/>
    <cellStyle name="SAPBEXstdItemX 2 3 2 2" xfId="11627" xr:uid="{B8AE70B3-7E59-4F3A-BCD9-0E3AC6536045}"/>
    <cellStyle name="SAPBEXstdItemX 2 3 2 3" xfId="13702" xr:uid="{FADC3365-A61B-4599-A302-D6732B174A0E}"/>
    <cellStyle name="SAPBEXstdItemX 2 3 3" xfId="6867" xr:uid="{F27D6653-61F9-476A-B816-D6FC038E89F5}"/>
    <cellStyle name="SAPBEXstdItemX 2 3 3 2" xfId="12309" xr:uid="{CA9CBFF5-661A-4F4F-A447-FBDF46A186B6}"/>
    <cellStyle name="SAPBEXstdItemX 2 3 3 3" xfId="14362" xr:uid="{01F3CFA2-1F11-40CE-B3D8-DACA29BD6599}"/>
    <cellStyle name="SAPBEXstdItemX 2 3 4" xfId="9248" xr:uid="{9B2F5121-1686-4C64-A469-3D0323396EB2}"/>
    <cellStyle name="SAPBEXstdItemX 2 3 5" xfId="12965" xr:uid="{8E564A29-AA90-4F99-90AB-81EC5A3B6F7D}"/>
    <cellStyle name="SAPBEXstdItemX 2 4" xfId="3843" xr:uid="{4B801B4E-9C4D-45E6-BE36-B69F70BAB6E8}"/>
    <cellStyle name="SAPBEXstdItemX 2 4 2" xfId="6250" xr:uid="{FE32A429-91C6-44DD-9825-377D5FDFA8C5}"/>
    <cellStyle name="SAPBEXstdItemX 2 4 2 2" xfId="11692" xr:uid="{829F62AB-4D0F-435B-ACFD-689DE0D6349A}"/>
    <cellStyle name="SAPBEXstdItemX 2 4 2 3" xfId="13766" xr:uid="{886908BD-D4A3-48B9-96DA-CE46072ED34C}"/>
    <cellStyle name="SAPBEXstdItemX 2 4 3" xfId="6930" xr:uid="{4E6D676D-9F05-410E-A892-DCAD7BC79332}"/>
    <cellStyle name="SAPBEXstdItemX 2 4 3 2" xfId="12372" xr:uid="{F0CDC538-423D-46FD-A946-0E0E2C196C7F}"/>
    <cellStyle name="SAPBEXstdItemX 2 4 3 3" xfId="14424" xr:uid="{8CF10200-4E7F-4D68-9EDA-5A8A9E1A7205}"/>
    <cellStyle name="SAPBEXstdItemX 2 4 4" xfId="9313" xr:uid="{83BE23B4-F677-49ED-9112-F866F7756F24}"/>
    <cellStyle name="SAPBEXstdItemX 2 4 5" xfId="13027" xr:uid="{B5742568-729B-4C0A-B6CC-C8424C8216A6}"/>
    <cellStyle name="SAPBEXstdItemX 2 5" xfId="3928" xr:uid="{4BE798CC-8B0B-4A3B-90E5-EE6408E64FBB}"/>
    <cellStyle name="SAPBEXstdItemX 2 5 2" xfId="6333" xr:uid="{E585B7D2-EE0D-45F1-A026-65B84F5F5E7D}"/>
    <cellStyle name="SAPBEXstdItemX 2 5 2 2" xfId="11775" xr:uid="{B178557B-746D-4448-B63A-DDFD11E22A14}"/>
    <cellStyle name="SAPBEXstdItemX 2 5 2 3" xfId="13847" xr:uid="{D064CC60-B73A-45E4-8AEB-BD2565F67757}"/>
    <cellStyle name="SAPBEXstdItemX 2 5 3" xfId="7011" xr:uid="{C2C03E88-C84C-45F4-B48D-97440512E7B0}"/>
    <cellStyle name="SAPBEXstdItemX 2 5 3 2" xfId="12453" xr:uid="{9521FD2C-6D0F-4D7F-9658-C34BE3174837}"/>
    <cellStyle name="SAPBEXstdItemX 2 5 3 3" xfId="14503" xr:uid="{563C4EBA-E681-4E72-8406-3D39A762A155}"/>
    <cellStyle name="SAPBEXstdItemX 2 5 4" xfId="9396" xr:uid="{10F1ED07-975E-4983-BA1C-6C60DD1182B1}"/>
    <cellStyle name="SAPBEXstdItemX 2 5 5" xfId="13106" xr:uid="{ECC468A9-441A-4B24-9E68-483F7CD4BCC1}"/>
    <cellStyle name="SAPBEXstdItemX 2 6" xfId="3995" xr:uid="{FA58E470-C4F9-4661-BC83-414D7ED6BE74}"/>
    <cellStyle name="SAPBEXstdItemX 2 6 2" xfId="6398" xr:uid="{6D63D799-EDA2-406A-B4FC-6FA37D3FD472}"/>
    <cellStyle name="SAPBEXstdItemX 2 6 2 2" xfId="11840" xr:uid="{7A7CE9C7-2635-4905-88DD-90529684CD3A}"/>
    <cellStyle name="SAPBEXstdItemX 2 6 2 3" xfId="13911" xr:uid="{70955947-4C62-4F54-93C4-C69EBCA3F15D}"/>
    <cellStyle name="SAPBEXstdItemX 2 6 3" xfId="7074" xr:uid="{E231D2E2-16BF-45CF-B87F-F94C32EF54C7}"/>
    <cellStyle name="SAPBEXstdItemX 2 6 3 2" xfId="12516" xr:uid="{E838C80B-4884-4875-8042-9C78C427CD27}"/>
    <cellStyle name="SAPBEXstdItemX 2 6 3 3" xfId="14565" xr:uid="{848F3F7B-29D1-4B50-8155-783468D128C3}"/>
    <cellStyle name="SAPBEXstdItemX 2 6 4" xfId="9461" xr:uid="{31EC2F9E-033D-413C-BFF8-BB8FF54D90CD}"/>
    <cellStyle name="SAPBEXstdItemX 2 6 5" xfId="13168" xr:uid="{E6E757E6-3957-48C3-B1F6-C7C942CB09EF}"/>
    <cellStyle name="SAPBEXstdItemX 2 7" xfId="3629" xr:uid="{339047E2-1C94-4925-99F0-BC4514072035}"/>
    <cellStyle name="SAPBEXstdItemX 2 7 2" xfId="6038" xr:uid="{166D12CA-D071-4006-BC9F-8899BF7D2CB6}"/>
    <cellStyle name="SAPBEXstdItemX 2 7 2 2" xfId="11480" xr:uid="{7D0CEA6A-2F18-4D31-8F5C-0DF10CB5817E}"/>
    <cellStyle name="SAPBEXstdItemX 2 7 2 3" xfId="13562" xr:uid="{8AEFDFEB-0541-4459-91CD-F54BFE48261A}"/>
    <cellStyle name="SAPBEXstdItemX 2 7 3" xfId="6722" xr:uid="{C8919A5F-B392-4C1E-B829-707D3DA2D45E}"/>
    <cellStyle name="SAPBEXstdItemX 2 7 3 2" xfId="12164" xr:uid="{54D6336B-E0CF-4A9E-B276-DF159B4359E6}"/>
    <cellStyle name="SAPBEXstdItemX 2 7 3 3" xfId="14224" xr:uid="{EF7890E7-AAA8-46B0-9BFD-FCA08554AC4B}"/>
    <cellStyle name="SAPBEXstdItemX 2 7 4" xfId="9101" xr:uid="{95D4741E-8DF0-4A69-94A6-403B097A767C}"/>
    <cellStyle name="SAPBEXstdItemX 2 7 5" xfId="12827" xr:uid="{F95BF3D9-76FB-4C25-A105-3DD51B9ABEF1}"/>
    <cellStyle name="SAPBEXstdItemX 2 8" xfId="5829" xr:uid="{0074B154-CE7F-4EAE-9EED-559E7434AA74}"/>
    <cellStyle name="SAPBEXstdItemX 2 8 2" xfId="11271" xr:uid="{0F9B765F-141B-40FD-91F8-B38714E8A6BA}"/>
    <cellStyle name="SAPBEXstdItemX 2 8 3" xfId="13470" xr:uid="{E82DE416-051F-4432-B2FF-980062EF2D8B}"/>
    <cellStyle name="SAPBEXstdItemX 2 9" xfId="6627" xr:uid="{E1491717-8D1C-40A3-9DE9-ABE5C7E490A4}"/>
    <cellStyle name="SAPBEXstdItemX 2 9 2" xfId="12069" xr:uid="{1841FE2D-53FB-4CDE-9FA0-609B0C753100}"/>
    <cellStyle name="SAPBEXstdItemX 2 9 3" xfId="14132" xr:uid="{483103E7-0660-4715-9749-61F941BA6EFF}"/>
    <cellStyle name="SAPBEXstdItemX 3" xfId="3314" xr:uid="{60456164-FDC3-4918-BFF6-B83BD3354816}"/>
    <cellStyle name="SAPBEXstdItemX 3 10" xfId="12734" xr:uid="{9247371F-68F2-40BA-86E0-B4C213DF7074}"/>
    <cellStyle name="SAPBEXstdItemX 3 2" xfId="3808" xr:uid="{C7118972-A899-43B1-B20B-85E83BFFE135}"/>
    <cellStyle name="SAPBEXstdItemX 3 2 2" xfId="6216" xr:uid="{FDE75AB2-9B6C-4BE5-B973-3B15A5EF3D4A}"/>
    <cellStyle name="SAPBEXstdItemX 3 2 2 2" xfId="11658" xr:uid="{237DE61A-EA54-43D9-A663-CB26EDC5F5B6}"/>
    <cellStyle name="SAPBEXstdItemX 3 2 2 3" xfId="13733" xr:uid="{A5006CE1-0165-4D7E-BDFC-F43E2E31A0FB}"/>
    <cellStyle name="SAPBEXstdItemX 3 2 3" xfId="6898" xr:uid="{8238CD65-F26F-430F-8DDF-BE1367554345}"/>
    <cellStyle name="SAPBEXstdItemX 3 2 3 2" xfId="12340" xr:uid="{8A92D8AE-9AC7-412C-9BC6-920DDE92DAA5}"/>
    <cellStyle name="SAPBEXstdItemX 3 2 3 3" xfId="14393" xr:uid="{729819AE-886E-4E5C-A86A-A2A21F3C704A}"/>
    <cellStyle name="SAPBEXstdItemX 3 2 4" xfId="9279" xr:uid="{9D9F381E-EFA1-42D5-AB62-11B0F89C71C5}"/>
    <cellStyle name="SAPBEXstdItemX 3 2 5" xfId="12996" xr:uid="{1569CB44-CE64-4734-BA6F-9797A28409F4}"/>
    <cellStyle name="SAPBEXstdItemX 3 3" xfId="3874" xr:uid="{0E793758-3FDE-4594-BB2E-371A123AD3C8}"/>
    <cellStyle name="SAPBEXstdItemX 3 3 2" xfId="6281" xr:uid="{F4451F3A-A9F8-4096-B990-A46BDD027C72}"/>
    <cellStyle name="SAPBEXstdItemX 3 3 2 2" xfId="11723" xr:uid="{DAEA1268-E28D-457C-AE87-E43FBA63CA4F}"/>
    <cellStyle name="SAPBEXstdItemX 3 3 2 3" xfId="13797" xr:uid="{8DDDDA76-D2DB-4203-BFBD-B28DFDDCECF7}"/>
    <cellStyle name="SAPBEXstdItemX 3 3 3" xfId="6961" xr:uid="{78E78351-BC9C-4218-9FCF-E32CE90627C1}"/>
    <cellStyle name="SAPBEXstdItemX 3 3 3 2" xfId="12403" xr:uid="{78D8632A-4ABB-439E-9DEB-899AD11E5374}"/>
    <cellStyle name="SAPBEXstdItemX 3 3 3 3" xfId="14455" xr:uid="{E3EBEDEA-3CBD-4C31-A9BD-8E86C6DB8FD2}"/>
    <cellStyle name="SAPBEXstdItemX 3 3 4" xfId="9344" xr:uid="{80EF0C6E-C11E-4334-8861-864B48529643}"/>
    <cellStyle name="SAPBEXstdItemX 3 3 5" xfId="13058" xr:uid="{A832788C-8335-414A-965C-B7562B8F9EAF}"/>
    <cellStyle name="SAPBEXstdItemX 3 4" xfId="3959" xr:uid="{BAA242D6-3070-41AB-A955-39E0E11B4711}"/>
    <cellStyle name="SAPBEXstdItemX 3 4 2" xfId="6364" xr:uid="{887DBB5E-063B-4EA8-93A0-CFFFB679B653}"/>
    <cellStyle name="SAPBEXstdItemX 3 4 2 2" xfId="11806" xr:uid="{E56CAE90-06BB-46D9-8C84-F47E885F5D24}"/>
    <cellStyle name="SAPBEXstdItemX 3 4 2 3" xfId="13878" xr:uid="{08CC744C-5340-4443-B10C-EC1D26543DFC}"/>
    <cellStyle name="SAPBEXstdItemX 3 4 3" xfId="7042" xr:uid="{813C37D8-6ADC-43D8-BF38-7657D83798CA}"/>
    <cellStyle name="SAPBEXstdItemX 3 4 3 2" xfId="12484" xr:uid="{E03E572A-339F-4839-B10F-EAD1EC2CF527}"/>
    <cellStyle name="SAPBEXstdItemX 3 4 3 3" xfId="14534" xr:uid="{1488284A-9754-40D6-8B80-004FACE15209}"/>
    <cellStyle name="SAPBEXstdItemX 3 4 4" xfId="9427" xr:uid="{C1B72E17-0782-4A09-A350-A1A1DD4A8F2F}"/>
    <cellStyle name="SAPBEXstdItemX 3 4 5" xfId="13137" xr:uid="{73D61D67-BB69-4341-8C73-B910DA70CC41}"/>
    <cellStyle name="SAPBEXstdItemX 3 5" xfId="4026" xr:uid="{0C5D6F0B-30D9-4613-9237-C4EAAB0DE684}"/>
    <cellStyle name="SAPBEXstdItemX 3 5 2" xfId="6429" xr:uid="{6C68F1A3-788A-46EF-98B2-55EA972ABE3F}"/>
    <cellStyle name="SAPBEXstdItemX 3 5 2 2" xfId="11871" xr:uid="{DA119C75-70DD-4CBE-B631-6C00544AB279}"/>
    <cellStyle name="SAPBEXstdItemX 3 5 2 3" xfId="13942" xr:uid="{B2376CDC-A334-4B55-AFAF-A41F4F0C48AB}"/>
    <cellStyle name="SAPBEXstdItemX 3 5 3" xfId="7105" xr:uid="{E48B94AA-1B01-4B51-B162-6C7E1366E461}"/>
    <cellStyle name="SAPBEXstdItemX 3 5 3 2" xfId="12547" xr:uid="{7198AE02-33F1-4E9D-8D06-2F952FD19338}"/>
    <cellStyle name="SAPBEXstdItemX 3 5 3 3" xfId="14596" xr:uid="{5FA9CF29-878C-4826-8C47-88CF082EC2C8}"/>
    <cellStyle name="SAPBEXstdItemX 3 5 4" xfId="9492" xr:uid="{CC44A3D6-276E-430C-9C96-9B0816158587}"/>
    <cellStyle name="SAPBEXstdItemX 3 5 5" xfId="13199" xr:uid="{792478C0-4E3F-4A35-9759-B811A58F1455}"/>
    <cellStyle name="SAPBEXstdItemX 3 6" xfId="3742" xr:uid="{BDCF68B4-928C-4741-9A7B-23A5B6404D16}"/>
    <cellStyle name="SAPBEXstdItemX 3 6 2" xfId="6150" xr:uid="{4F80C3A6-8DD9-4A6A-8C3D-F01C2084E866}"/>
    <cellStyle name="SAPBEXstdItemX 3 6 2 2" xfId="11592" xr:uid="{B566669F-2CC1-4E93-9027-0FB29C11E249}"/>
    <cellStyle name="SAPBEXstdItemX 3 6 2 3" xfId="13669" xr:uid="{94893984-8A4C-41E0-A7EF-D559608FDCD8}"/>
    <cellStyle name="SAPBEXstdItemX 3 6 3" xfId="6834" xr:uid="{1DC29BE1-E80C-4028-B8BF-9E4A0A2FAAED}"/>
    <cellStyle name="SAPBEXstdItemX 3 6 3 2" xfId="12276" xr:uid="{7FB6A2FD-7E2B-4C78-8537-4EEAAA48484E}"/>
    <cellStyle name="SAPBEXstdItemX 3 6 3 3" xfId="14331" xr:uid="{D08AD880-F718-4DC7-BECA-6F03D1AEBEDF}"/>
    <cellStyle name="SAPBEXstdItemX 3 6 4" xfId="9213" xr:uid="{AB79C96D-067E-42A4-B3F3-CCFB646137A3}"/>
    <cellStyle name="SAPBEXstdItemX 3 6 5" xfId="12934" xr:uid="{6D1EAE28-31E2-4EF8-8B62-8CD7D1382C07}"/>
    <cellStyle name="SAPBEXstdItemX 3 7" xfId="5828" xr:uid="{F162340F-B657-402A-AB7C-3EFA4E49B0D5}"/>
    <cellStyle name="SAPBEXstdItemX 3 7 2" xfId="11270" xr:uid="{AF30727E-802A-4E4F-A194-546A4F75D123}"/>
    <cellStyle name="SAPBEXstdItemX 3 7 3" xfId="13469" xr:uid="{AE5F5BF9-C8B2-4CD5-AC83-00F04BE0A4D3}"/>
    <cellStyle name="SAPBEXstdItemX 3 8" xfId="6626" xr:uid="{EE627CA5-6C77-419B-B58B-730A85E1F0BB}"/>
    <cellStyle name="SAPBEXstdItemX 3 8 2" xfId="12068" xr:uid="{C6BFB4D0-87EB-4F7D-BF82-CD7B57ECC8CB}"/>
    <cellStyle name="SAPBEXstdItemX 3 8 3" xfId="14131" xr:uid="{75C5ACCB-DB51-455D-ABCC-3433A71F82D9}"/>
    <cellStyle name="SAPBEXstdItemX 3 9" xfId="8885" xr:uid="{CF0B8BD5-71A3-4F27-B69F-F61CB53338B2}"/>
    <cellStyle name="SAPBEXstdItemX 4" xfId="3675" xr:uid="{7D2D16AB-DB73-40CB-8343-9606A10D937C}"/>
    <cellStyle name="SAPBEXstdItemX 4 2" xfId="6083" xr:uid="{0BD4DECC-7726-484A-B831-0CCAFF86F51C}"/>
    <cellStyle name="SAPBEXstdItemX 4 2 2" xfId="11525" xr:uid="{B661CC9E-5A8A-497F-AC4A-75A27E1725BE}"/>
    <cellStyle name="SAPBEXstdItemX 4 2 3" xfId="13604" xr:uid="{49EBA8F3-B5BA-4615-96B9-B05E8AE21CFB}"/>
    <cellStyle name="SAPBEXstdItemX 4 3" xfId="6767" xr:uid="{27A67CF0-1BCE-40E5-9521-956677E11C9D}"/>
    <cellStyle name="SAPBEXstdItemX 4 3 2" xfId="12209" xr:uid="{74A35B25-5CC6-46BC-848E-8F38086107F0}"/>
    <cellStyle name="SAPBEXstdItemX 4 3 3" xfId="14266" xr:uid="{6DF370C3-7A28-46C4-A210-6F5B3A3835CF}"/>
    <cellStyle name="SAPBEXstdItemX 4 4" xfId="9146" xr:uid="{FBAE8063-6523-4E99-9EF4-6396DF2578B0}"/>
    <cellStyle name="SAPBEXstdItemX 4 5" xfId="12869" xr:uid="{BDFE6EE5-6508-42A0-8419-C732A936D7EB}"/>
    <cellStyle name="SAPBEXstdItemX 5" xfId="3891" xr:uid="{097D2BF9-168D-469C-844A-D15AE62877CE}"/>
    <cellStyle name="SAPBEXstdItemX 5 2" xfId="6298" xr:uid="{2B386EDC-77AA-40C3-8F16-63EC2E7D85C3}"/>
    <cellStyle name="SAPBEXstdItemX 5 2 2" xfId="11740" xr:uid="{0ED1BC03-5998-4CA8-B98F-3D7ACCC642E2}"/>
    <cellStyle name="SAPBEXstdItemX 5 2 3" xfId="13814" xr:uid="{9C31512F-D438-43C3-965C-417F1F8CD256}"/>
    <cellStyle name="SAPBEXstdItemX 5 3" xfId="6978" xr:uid="{BC2736FB-2CD6-4B8A-BEEA-0A08D2FFDD72}"/>
    <cellStyle name="SAPBEXstdItemX 5 3 2" xfId="12420" xr:uid="{EC8230D8-133C-40BC-B4A7-B4BB9698ED28}"/>
    <cellStyle name="SAPBEXstdItemX 5 3 3" xfId="14472" xr:uid="{D7E88B4C-AAC1-41B1-8DEE-BD99E5380D4D}"/>
    <cellStyle name="SAPBEXstdItemX 5 4" xfId="9361" xr:uid="{E00B04BF-51E6-486B-BB57-5D3E92DC0E96}"/>
    <cellStyle name="SAPBEXstdItemX 5 5" xfId="13075" xr:uid="{6CC80505-F34C-408F-9190-AB85E19F0F2B}"/>
    <cellStyle name="SAPBEXstdItemX 6" xfId="3591" xr:uid="{05FCDA5B-2972-493D-A36B-9BC5348F72FD}"/>
    <cellStyle name="SAPBEXstdItemX 6 2" xfId="6002" xr:uid="{4A134E60-86BD-4BF4-8001-9679B6320408}"/>
    <cellStyle name="SAPBEXstdItemX 6 2 2" xfId="11444" xr:uid="{33B00E76-8D8F-4C67-89B8-DE42DE8181A9}"/>
    <cellStyle name="SAPBEXstdItemX 6 2 3" xfId="13528" xr:uid="{A40A5248-B1FB-4978-9794-33936EF3F2E5}"/>
    <cellStyle name="SAPBEXstdItemX 6 3" xfId="6685" xr:uid="{9EE481AE-69D0-4302-A45E-213763848005}"/>
    <cellStyle name="SAPBEXstdItemX 6 3 2" xfId="12127" xr:uid="{75F328EA-EB4B-4FD3-ADCD-444E1A65D13B}"/>
    <cellStyle name="SAPBEXstdItemX 6 3 3" xfId="14189" xr:uid="{15C42758-B2B4-4396-BB30-BEF784E17476}"/>
    <cellStyle name="SAPBEXstdItemX 6 4" xfId="9063" xr:uid="{28303E45-5648-49BF-954A-1253A44BF372}"/>
    <cellStyle name="SAPBEXstdItemX 6 5" xfId="12792" xr:uid="{C463AF40-A1C2-43FD-9DCF-2953BE4AB4D7}"/>
    <cellStyle name="SAPBEXstdItemX 7" xfId="4159" xr:uid="{1FABB90D-8B58-4476-B03D-5384B2BE2039}"/>
    <cellStyle name="SAPBEXstdItemX 7 2" xfId="9609" xr:uid="{1D487E9D-6596-4031-8C4E-B5D43713C84C}"/>
    <cellStyle name="SAPBEXstdItemX 7 3" xfId="13238" xr:uid="{BC6F4E98-159C-457A-B43B-6A7E8F997295}"/>
    <cellStyle name="SAPBEXstdItemX 8" xfId="5661" xr:uid="{8E8FAB5D-97BA-4F0C-8C15-16A9E4802F7A}"/>
    <cellStyle name="SAPBEXstdItemX 8 2" xfId="11103" xr:uid="{9536D043-F8E9-4CCA-9A0A-BC8D624A1B43}"/>
    <cellStyle name="SAPBEXstdItemX 8 3" xfId="13309" xr:uid="{769C104B-A557-469C-A240-484B6FB1F2EB}"/>
    <cellStyle name="SAPBEXstdItemX 9" xfId="7227" xr:uid="{46C1526B-934E-4525-8CA6-78ED29A015FF}"/>
    <cellStyle name="SAPBEXstdItemX_2014 CLEAResult Invoices" xfId="3316" xr:uid="{2341D188-D468-4595-86B8-6A1828B97DC8}"/>
    <cellStyle name="SAPBEXtitle" xfId="284" xr:uid="{F68B7A38-5F7D-4BF8-AF3E-40DA7F763D13}"/>
    <cellStyle name="SAPBEXtitle 2" xfId="3318" xr:uid="{6B7F1FDF-EBFB-4E73-A77E-82ED20BE9392}"/>
    <cellStyle name="SAPBEXtitle 2 2" xfId="5831" xr:uid="{42F1DE7B-705C-45D7-B2FF-1DB3CC22FFFC}"/>
    <cellStyle name="SAPBEXtitle 2 2 2" xfId="11273" xr:uid="{BF3E1B71-DA8C-4652-A68A-C237D3476922}"/>
    <cellStyle name="SAPBEXtitle 2 2 3" xfId="13472" xr:uid="{EBC8183C-135E-4AA2-9034-833435088145}"/>
    <cellStyle name="SAPBEXtitle 2 3" xfId="6629" xr:uid="{8CCEFA90-692D-4C93-90B8-A5D4FBE9194F}"/>
    <cellStyle name="SAPBEXtitle 2 3 2" xfId="12071" xr:uid="{AAB90308-2DDB-42B0-9859-62C68CD790C4}"/>
    <cellStyle name="SAPBEXtitle 2 3 3" xfId="14134" xr:uid="{220F5A3F-B001-4A55-8CDF-09FF58B4DF30}"/>
    <cellStyle name="SAPBEXtitle 2 4" xfId="8888" xr:uid="{16FC72F8-8D23-433A-9B92-B2AD435C094E}"/>
    <cellStyle name="SAPBEXtitle 2 5" xfId="12737" xr:uid="{3EC9FD58-A89F-4F14-9D5F-A28C26C1643B}"/>
    <cellStyle name="SAPBEXtitle 3" xfId="3317" xr:uid="{E9E27F93-C339-42F0-A7CF-041C9D358C64}"/>
    <cellStyle name="SAPBEXtitle 3 2" xfId="5830" xr:uid="{FCD0C3C4-FD10-46D3-B46E-34C09E40C9F7}"/>
    <cellStyle name="SAPBEXtitle 3 2 2" xfId="11272" xr:uid="{7B3DCAAF-D2D1-4AA4-BCA1-0786A51FDA22}"/>
    <cellStyle name="SAPBEXtitle 3 2 3" xfId="13471" xr:uid="{2DA12D11-EEA6-464D-8C49-47F6009F5FB0}"/>
    <cellStyle name="SAPBEXtitle 3 3" xfId="6628" xr:uid="{FBE3F01F-82DD-450D-BFCB-DF04B92206D9}"/>
    <cellStyle name="SAPBEXtitle 3 3 2" xfId="12070" xr:uid="{A608450D-9221-4CE6-B3A1-D61D139AB635}"/>
    <cellStyle name="SAPBEXtitle 3 3 3" xfId="14133" xr:uid="{201A19C6-7406-4019-A99E-0AE0A231CBFA}"/>
    <cellStyle name="SAPBEXtitle 3 4" xfId="8887" xr:uid="{2DDDA0FC-F280-43A0-A676-AC3FEDC0EDAB}"/>
    <cellStyle name="SAPBEXtitle 3 5" xfId="12736" xr:uid="{B82B2544-E01B-40B9-992C-89DCA07172B0}"/>
    <cellStyle name="SAPBEXtitle_2014 CLEAResult Invoices" xfId="3319" xr:uid="{2B82B68C-0852-422D-8492-829584D360E5}"/>
    <cellStyle name="SAPBEXunassignedItem" xfId="3320" xr:uid="{28738F17-D22D-4C7D-B2E8-223E78D0685E}"/>
    <cellStyle name="SAPBEXunassignedItem 2" xfId="3321" xr:uid="{28751AB9-F6D0-4384-B4DB-EB2513E52582}"/>
    <cellStyle name="SAPBEXunassignedItem_2014 CLEAResult Invoices" xfId="3322" xr:uid="{0E5AC230-8FD2-47DA-9DC3-A886BCEB37EB}"/>
    <cellStyle name="SAPBEXundefined" xfId="285" xr:uid="{34073A47-C784-4FD4-A645-254F62AC2BF6}"/>
    <cellStyle name="SAPBEXundefined 10" xfId="8707" xr:uid="{4887CA56-63BB-4FBF-BC38-1F73A0CC883C}"/>
    <cellStyle name="SAPBEXundefined 2" xfId="3324" xr:uid="{08413857-3B36-4E85-8F1F-11AB34C83E57}"/>
    <cellStyle name="SAPBEXundefined 2 10" xfId="8893" xr:uid="{A079F6E7-9A85-4FF3-B8F6-E1B658739E93}"/>
    <cellStyle name="SAPBEXundefined 2 11" xfId="12739" xr:uid="{CE165A5A-67A9-4D6A-9B0A-74FF82A27D1B}"/>
    <cellStyle name="SAPBEXundefined 2 2" xfId="3712" xr:uid="{CCC7E130-4DF3-4626-8210-60CA264FB8E5}"/>
    <cellStyle name="SAPBEXundefined 2 2 2" xfId="6120" xr:uid="{9392BDB4-D5F8-402D-B264-8457F3C96244}"/>
    <cellStyle name="SAPBEXundefined 2 2 2 2" xfId="11562" xr:uid="{2410F753-E9BE-480F-A307-AC992290C48D}"/>
    <cellStyle name="SAPBEXundefined 2 2 2 3" xfId="13639" xr:uid="{A271D82F-9067-4954-92A9-FEB6FE5EA34C}"/>
    <cellStyle name="SAPBEXundefined 2 2 3" xfId="6804" xr:uid="{DF495D96-4B60-4862-9C4D-87B2C1D23D67}"/>
    <cellStyle name="SAPBEXundefined 2 2 3 2" xfId="12246" xr:uid="{747DBF83-7DEA-49AC-82BB-28F3FEF8AB77}"/>
    <cellStyle name="SAPBEXundefined 2 2 3 3" xfId="14301" xr:uid="{47B2C1BE-874E-4A6B-B19F-A3B6114E8715}"/>
    <cellStyle name="SAPBEXundefined 2 2 4" xfId="9183" xr:uid="{0022BDF2-6258-4112-8A80-ED8E2018F740}"/>
    <cellStyle name="SAPBEXundefined 2 2 5" xfId="12904" xr:uid="{6055B1D2-F9CA-442D-A691-C0A0AC51FF27}"/>
    <cellStyle name="SAPBEXundefined 2 3" xfId="3778" xr:uid="{78E67DB7-2009-4852-8F31-BC56716856E0}"/>
    <cellStyle name="SAPBEXundefined 2 3 2" xfId="6186" xr:uid="{29285F6B-FA8C-4A68-9E56-810D6196A6A0}"/>
    <cellStyle name="SAPBEXundefined 2 3 2 2" xfId="11628" xr:uid="{1A17BFB6-719F-4325-90A2-0182F31F05E8}"/>
    <cellStyle name="SAPBEXundefined 2 3 2 3" xfId="13703" xr:uid="{3AA671A9-E6E7-469B-BB63-58266AF5C215}"/>
    <cellStyle name="SAPBEXundefined 2 3 3" xfId="6868" xr:uid="{2DBE571B-AE05-4C47-951F-C6711C4AF9A3}"/>
    <cellStyle name="SAPBEXundefined 2 3 3 2" xfId="12310" xr:uid="{A82225E7-2079-425B-ADED-17EF25409888}"/>
    <cellStyle name="SAPBEXundefined 2 3 3 3" xfId="14363" xr:uid="{4A499466-396A-4EC2-8939-1A260C968FE3}"/>
    <cellStyle name="SAPBEXundefined 2 3 4" xfId="9249" xr:uid="{13345327-87E0-4382-A661-553657F0B22D}"/>
    <cellStyle name="SAPBEXundefined 2 3 5" xfId="12966" xr:uid="{8E7DE56F-93F2-48A5-A222-40A1541BC567}"/>
    <cellStyle name="SAPBEXundefined 2 4" xfId="3844" xr:uid="{1B535C84-3AE0-443D-A4AB-3EEF362B33EA}"/>
    <cellStyle name="SAPBEXundefined 2 4 2" xfId="6251" xr:uid="{EFF41D95-80C1-423E-B938-8A49476E45B4}"/>
    <cellStyle name="SAPBEXundefined 2 4 2 2" xfId="11693" xr:uid="{9854E485-BF31-492E-827A-E9BBEFA1C8B8}"/>
    <cellStyle name="SAPBEXundefined 2 4 2 3" xfId="13767" xr:uid="{C8129E81-A113-4884-A951-0141C82DB978}"/>
    <cellStyle name="SAPBEXundefined 2 4 3" xfId="6931" xr:uid="{888B987A-C429-4ECE-9BA6-48ECD886416D}"/>
    <cellStyle name="SAPBEXundefined 2 4 3 2" xfId="12373" xr:uid="{AB10C9CE-3DC1-4EB8-B5B0-0FAC3C897576}"/>
    <cellStyle name="SAPBEXundefined 2 4 3 3" xfId="14425" xr:uid="{279E2C7A-3F43-494F-AA0C-871E134E8B85}"/>
    <cellStyle name="SAPBEXundefined 2 4 4" xfId="9314" xr:uid="{E12B3309-5C62-47DE-9EE6-33CD00E63B6D}"/>
    <cellStyle name="SAPBEXundefined 2 4 5" xfId="13028" xr:uid="{6C142078-5216-49E2-B0EE-4E458FAFCEDB}"/>
    <cellStyle name="SAPBEXundefined 2 5" xfId="3929" xr:uid="{1F6FDF7B-FE81-47D2-A471-DE28993ECA62}"/>
    <cellStyle name="SAPBEXundefined 2 5 2" xfId="6334" xr:uid="{8044FB10-7F46-4C0B-8493-58F3ECAFA5A9}"/>
    <cellStyle name="SAPBEXundefined 2 5 2 2" xfId="11776" xr:uid="{D272B0BB-1CB8-4CE9-B75C-BC5066ECB866}"/>
    <cellStyle name="SAPBEXundefined 2 5 2 3" xfId="13848" xr:uid="{4A778B4A-B8DA-49E8-AF87-95779B83EE83}"/>
    <cellStyle name="SAPBEXundefined 2 5 3" xfId="7012" xr:uid="{21F82FCE-8AF7-4DE2-9125-615D1C7B4F4E}"/>
    <cellStyle name="SAPBEXundefined 2 5 3 2" xfId="12454" xr:uid="{60732EEE-F4D4-47B7-98AD-55925CA5A482}"/>
    <cellStyle name="SAPBEXundefined 2 5 3 3" xfId="14504" xr:uid="{441A57AB-C271-4612-BF24-2014D0F4FA7C}"/>
    <cellStyle name="SAPBEXundefined 2 5 4" xfId="9397" xr:uid="{63443E4A-D08D-47CC-A1FD-7959CB963B9F}"/>
    <cellStyle name="SAPBEXundefined 2 5 5" xfId="13107" xr:uid="{401B4141-874A-4B49-9D8C-21618CF48A8D}"/>
    <cellStyle name="SAPBEXundefined 2 6" xfId="3996" xr:uid="{756E1DD1-C3F3-454E-9F80-CAD4D9C821A9}"/>
    <cellStyle name="SAPBEXundefined 2 6 2" xfId="6399" xr:uid="{170334DB-AC8B-41A8-9C52-A575FA3BB61A}"/>
    <cellStyle name="SAPBEXundefined 2 6 2 2" xfId="11841" xr:uid="{52A42527-D05D-4FC4-AFFF-A6242276ABE8}"/>
    <cellStyle name="SAPBEXundefined 2 6 2 3" xfId="13912" xr:uid="{29A77DEF-0019-4D90-8876-6232C9961058}"/>
    <cellStyle name="SAPBEXundefined 2 6 3" xfId="7075" xr:uid="{F57C5288-BDDC-4D2F-AE2F-8841F80F72FA}"/>
    <cellStyle name="SAPBEXundefined 2 6 3 2" xfId="12517" xr:uid="{DE40DEFF-063B-4013-987D-A4F2468E2F2F}"/>
    <cellStyle name="SAPBEXundefined 2 6 3 3" xfId="14566" xr:uid="{880EA555-179E-4DFF-B188-72CEA4BEEA51}"/>
    <cellStyle name="SAPBEXundefined 2 6 4" xfId="9462" xr:uid="{86586924-C571-4900-9E9F-1E4C9FC59445}"/>
    <cellStyle name="SAPBEXundefined 2 6 5" xfId="13169" xr:uid="{F666D90D-03F6-47F7-A943-3E3A08F6987E}"/>
    <cellStyle name="SAPBEXundefined 2 7" xfId="3630" xr:uid="{8EC23D39-2F09-49BB-9A0D-EA54FDE420F9}"/>
    <cellStyle name="SAPBEXundefined 2 7 2" xfId="6039" xr:uid="{FBD60C29-9273-4AC1-AB65-7D0BDE91ECC1}"/>
    <cellStyle name="SAPBEXundefined 2 7 2 2" xfId="11481" xr:uid="{8437472D-53A1-486A-B4A4-5D100B4333DB}"/>
    <cellStyle name="SAPBEXundefined 2 7 2 3" xfId="13563" xr:uid="{BE6F32CA-319B-4DFA-8685-2F533F97C207}"/>
    <cellStyle name="SAPBEXundefined 2 7 3" xfId="6723" xr:uid="{1B60AB88-C100-410A-BA0E-2A87EBDAFB6A}"/>
    <cellStyle name="SAPBEXundefined 2 7 3 2" xfId="12165" xr:uid="{D92C63D5-0D39-4939-851C-D509E614E613}"/>
    <cellStyle name="SAPBEXundefined 2 7 3 3" xfId="14225" xr:uid="{4C6DDE88-ED00-4E3A-847D-E1F2EC66E6E2}"/>
    <cellStyle name="SAPBEXundefined 2 7 4" xfId="9102" xr:uid="{7AD7B407-A2ED-49D2-B165-0E35E6C59E40}"/>
    <cellStyle name="SAPBEXundefined 2 7 5" xfId="12828" xr:uid="{AF147A6E-289D-4BF5-B40E-3B8E4B6416B5}"/>
    <cellStyle name="SAPBEXundefined 2 8" xfId="5833" xr:uid="{67DC95FC-22F2-4B06-B10F-EF94751A0113}"/>
    <cellStyle name="SAPBEXundefined 2 8 2" xfId="11275" xr:uid="{FB8580E2-A380-4C28-B5D6-7583653B8A95}"/>
    <cellStyle name="SAPBEXundefined 2 8 3" xfId="13474" xr:uid="{639CB144-770D-4FFC-B4F2-54DBC885B913}"/>
    <cellStyle name="SAPBEXundefined 2 9" xfId="6631" xr:uid="{657CD6D2-8362-4E4B-9947-226017FC9C92}"/>
    <cellStyle name="SAPBEXundefined 2 9 2" xfId="12073" xr:uid="{0D0FD664-ADF3-4E1A-98A8-33A6146AF1FA}"/>
    <cellStyle name="SAPBEXundefined 2 9 3" xfId="14136" xr:uid="{9B3D83D5-93B7-4602-9FD0-C092DCC0B53F}"/>
    <cellStyle name="SAPBEXundefined 3" xfId="3323" xr:uid="{2E573704-466B-4070-8E5A-BF17C1038D02}"/>
    <cellStyle name="SAPBEXundefined 3 10" xfId="12738" xr:uid="{D989D2D9-6F9C-4AAF-A3E5-D90180937443}"/>
    <cellStyle name="SAPBEXundefined 3 2" xfId="3809" xr:uid="{B18A15A0-48E2-41BE-81D5-36C8B8061D71}"/>
    <cellStyle name="SAPBEXundefined 3 2 2" xfId="6217" xr:uid="{71243974-BCF7-46ED-9E72-A0FF36A1171E}"/>
    <cellStyle name="SAPBEXundefined 3 2 2 2" xfId="11659" xr:uid="{3F2FA470-78EC-49A8-BCBB-A3222EE5E768}"/>
    <cellStyle name="SAPBEXundefined 3 2 2 3" xfId="13734" xr:uid="{4B57598C-8BE2-47C4-95D6-EE5C81ED2B12}"/>
    <cellStyle name="SAPBEXundefined 3 2 3" xfId="6899" xr:uid="{03894895-1C33-486E-A351-4FEA25BE1412}"/>
    <cellStyle name="SAPBEXundefined 3 2 3 2" xfId="12341" xr:uid="{6ED23C20-0B96-4690-B174-7811BF6BCF05}"/>
    <cellStyle name="SAPBEXundefined 3 2 3 3" xfId="14394" xr:uid="{8A83E37D-5F1D-4B40-A8D3-97C8008B0FEF}"/>
    <cellStyle name="SAPBEXundefined 3 2 4" xfId="9280" xr:uid="{7DB5299D-D6BC-43DE-A1DF-643CC02A4D48}"/>
    <cellStyle name="SAPBEXundefined 3 2 5" xfId="12997" xr:uid="{129CFEDE-11C5-4BBE-85F3-268EBC809B64}"/>
    <cellStyle name="SAPBEXundefined 3 3" xfId="3875" xr:uid="{314ED294-5C4D-47B0-B217-D2DB83592C1F}"/>
    <cellStyle name="SAPBEXundefined 3 3 2" xfId="6282" xr:uid="{D2578E70-7C94-4A57-9C5E-90A8DB5CBD71}"/>
    <cellStyle name="SAPBEXundefined 3 3 2 2" xfId="11724" xr:uid="{035F36F4-DBE6-4B59-A11F-1A8BC935859F}"/>
    <cellStyle name="SAPBEXundefined 3 3 2 3" xfId="13798" xr:uid="{1C5F0518-5139-4C34-A08A-32B283102893}"/>
    <cellStyle name="SAPBEXundefined 3 3 3" xfId="6962" xr:uid="{87AC4594-8D8B-404C-BC1B-5969D3D0B4D0}"/>
    <cellStyle name="SAPBEXundefined 3 3 3 2" xfId="12404" xr:uid="{2855F510-4FA1-42B2-91A6-5FCC334753A8}"/>
    <cellStyle name="SAPBEXundefined 3 3 3 3" xfId="14456" xr:uid="{CA6F621C-0239-40CC-9C6B-F72B7F0607B3}"/>
    <cellStyle name="SAPBEXundefined 3 3 4" xfId="9345" xr:uid="{1C194A3E-36E1-415E-8E2E-48416EB8BAF0}"/>
    <cellStyle name="SAPBEXundefined 3 3 5" xfId="13059" xr:uid="{9739EEED-9967-4891-9E45-D53AAB4EDB5E}"/>
    <cellStyle name="SAPBEXundefined 3 4" xfId="3960" xr:uid="{0891A8FC-DE62-4E01-BBC4-BA02D13E6EC7}"/>
    <cellStyle name="SAPBEXundefined 3 4 2" xfId="6365" xr:uid="{6DC3E93E-B37F-4731-9B08-1DEACC8225E3}"/>
    <cellStyle name="SAPBEXundefined 3 4 2 2" xfId="11807" xr:uid="{59172580-7499-472B-A77F-2290DD98AA29}"/>
    <cellStyle name="SAPBEXundefined 3 4 2 3" xfId="13879" xr:uid="{6C740E0A-B6EB-4042-8A8F-70D874DAA828}"/>
    <cellStyle name="SAPBEXundefined 3 4 3" xfId="7043" xr:uid="{2F10EF8D-4AAC-4328-A462-B76AD409B4AB}"/>
    <cellStyle name="SAPBEXundefined 3 4 3 2" xfId="12485" xr:uid="{75A4587D-D25A-42C5-B970-24E762DFD790}"/>
    <cellStyle name="SAPBEXundefined 3 4 3 3" xfId="14535" xr:uid="{92B56BB9-8E04-445F-8F3B-A5BC0EF9B80F}"/>
    <cellStyle name="SAPBEXundefined 3 4 4" xfId="9428" xr:uid="{78DA7853-07AD-4763-B8B3-CC8FA93DBFA9}"/>
    <cellStyle name="SAPBEXundefined 3 4 5" xfId="13138" xr:uid="{7D94EF50-1EB8-40BD-95DA-B0C1AFB10617}"/>
    <cellStyle name="SAPBEXundefined 3 5" xfId="4027" xr:uid="{0776FADC-7F87-48B2-8DAA-CB56A5ECBEF2}"/>
    <cellStyle name="SAPBEXundefined 3 5 2" xfId="6430" xr:uid="{D0759791-EB4F-4241-928B-ECA0750E0A8F}"/>
    <cellStyle name="SAPBEXundefined 3 5 2 2" xfId="11872" xr:uid="{790FC196-E527-464E-9B47-CB76B53DB777}"/>
    <cellStyle name="SAPBEXundefined 3 5 2 3" xfId="13943" xr:uid="{A3BFEC4B-9BB1-449C-B305-E356C17EAAA2}"/>
    <cellStyle name="SAPBEXundefined 3 5 3" xfId="7106" xr:uid="{4F7B83C3-32C2-4E65-95D8-EEDFB1FB199E}"/>
    <cellStyle name="SAPBEXundefined 3 5 3 2" xfId="12548" xr:uid="{F29026E9-DA4E-4E83-AF6A-5D4C2090B362}"/>
    <cellStyle name="SAPBEXundefined 3 5 3 3" xfId="14597" xr:uid="{961F65F2-9CDD-48C6-A438-E2E6726E4D3D}"/>
    <cellStyle name="SAPBEXundefined 3 5 4" xfId="9493" xr:uid="{50BD54A3-8EEE-4168-99CA-A07A0464A542}"/>
    <cellStyle name="SAPBEXundefined 3 5 5" xfId="13200" xr:uid="{EAB34A32-5378-4A43-8373-79219339AE32}"/>
    <cellStyle name="SAPBEXundefined 3 6" xfId="3743" xr:uid="{FC929A9F-46DD-4D50-AFAB-F3ADAACFED66}"/>
    <cellStyle name="SAPBEXundefined 3 6 2" xfId="6151" xr:uid="{EC42C8F4-25AC-401A-8C0C-FE90666E9279}"/>
    <cellStyle name="SAPBEXundefined 3 6 2 2" xfId="11593" xr:uid="{55CF9DE7-BE4F-4C85-80D1-3773E735141A}"/>
    <cellStyle name="SAPBEXundefined 3 6 2 3" xfId="13670" xr:uid="{917A6084-E394-4432-A620-5AC5B89B4C79}"/>
    <cellStyle name="SAPBEXundefined 3 6 3" xfId="6835" xr:uid="{C6DB3215-90BD-471A-B047-949BCD71A32C}"/>
    <cellStyle name="SAPBEXundefined 3 6 3 2" xfId="12277" xr:uid="{CD357F14-8E4F-4DE0-A37F-61A029061320}"/>
    <cellStyle name="SAPBEXundefined 3 6 3 3" xfId="14332" xr:uid="{2ED1F493-B940-40F4-86E8-331A23297C7A}"/>
    <cellStyle name="SAPBEXundefined 3 6 4" xfId="9214" xr:uid="{405C02FB-FE6B-4EB3-AA03-DB8ACC961B8C}"/>
    <cellStyle name="SAPBEXundefined 3 6 5" xfId="12935" xr:uid="{C4D977DB-4E7B-44E0-9F84-F91671A6ADA8}"/>
    <cellStyle name="SAPBEXundefined 3 7" xfId="5832" xr:uid="{538D8EBE-BE0A-4E5F-951F-42DBFF3BD9AA}"/>
    <cellStyle name="SAPBEXundefined 3 7 2" xfId="11274" xr:uid="{C11D22B4-28C4-4CFD-AAC9-B9DC6B3CD74A}"/>
    <cellStyle name="SAPBEXundefined 3 7 3" xfId="13473" xr:uid="{88823630-5152-499E-99A4-654FAE5850FC}"/>
    <cellStyle name="SAPBEXundefined 3 8" xfId="6630" xr:uid="{9710A693-1123-474B-BBE2-0ED81A8F42E0}"/>
    <cellStyle name="SAPBEXundefined 3 8 2" xfId="12072" xr:uid="{963456DF-30B9-471B-8A32-8176F2A953B0}"/>
    <cellStyle name="SAPBEXundefined 3 8 3" xfId="14135" xr:uid="{D0B9FA6B-12B4-4734-9C56-29232D046083}"/>
    <cellStyle name="SAPBEXundefined 3 9" xfId="8892" xr:uid="{E6468BEA-5BC9-4381-B1DD-DDFD511F1DE5}"/>
    <cellStyle name="SAPBEXundefined 4" xfId="3676" xr:uid="{A7DB0D01-98DE-478D-A7DA-C5C6A60D876F}"/>
    <cellStyle name="SAPBEXundefined 4 2" xfId="6084" xr:uid="{F85A9686-4EFC-40E0-A246-A43803B12279}"/>
    <cellStyle name="SAPBEXundefined 4 2 2" xfId="11526" xr:uid="{F8532897-BEF7-4415-86F6-D3D576C8170F}"/>
    <cellStyle name="SAPBEXundefined 4 2 3" xfId="13605" xr:uid="{6823B137-EE6A-4B1F-B6E2-3921F83956FC}"/>
    <cellStyle name="SAPBEXundefined 4 3" xfId="6768" xr:uid="{BBDDE5CE-1B73-4937-BD2A-A76CA06295C5}"/>
    <cellStyle name="SAPBEXundefined 4 3 2" xfId="12210" xr:uid="{CEFB6C32-7C73-41C8-BE60-26E9A132C614}"/>
    <cellStyle name="SAPBEXundefined 4 3 3" xfId="14267" xr:uid="{78D76FBC-6139-4460-A26F-B59461009028}"/>
    <cellStyle name="SAPBEXundefined 4 4" xfId="9147" xr:uid="{D81E1DCB-8523-4F70-A331-F7381A9451A6}"/>
    <cellStyle name="SAPBEXundefined 4 5" xfId="12870" xr:uid="{3D594AE1-B2FD-43A9-A73C-56CC714FC326}"/>
    <cellStyle name="SAPBEXundefined 5" xfId="3892" xr:uid="{91C703A8-3B72-41A1-BC26-C23BD73155B9}"/>
    <cellStyle name="SAPBEXundefined 5 2" xfId="6299" xr:uid="{6A597D0A-66BB-40D0-BCC5-E0B7742BF444}"/>
    <cellStyle name="SAPBEXundefined 5 2 2" xfId="11741" xr:uid="{10E34389-EDA9-4EFB-9357-E0F45BA31834}"/>
    <cellStyle name="SAPBEXundefined 5 2 3" xfId="13815" xr:uid="{F626A21C-5D80-4AB4-B098-4565D42434A8}"/>
    <cellStyle name="SAPBEXundefined 5 3" xfId="6979" xr:uid="{E558F139-1540-4AA0-B1E2-5B721FBBD0A1}"/>
    <cellStyle name="SAPBEXundefined 5 3 2" xfId="12421" xr:uid="{B07167F2-B85B-498F-B22F-34335F8E6F87}"/>
    <cellStyle name="SAPBEXundefined 5 3 3" xfId="14473" xr:uid="{51C750B5-2AD4-417B-9FF8-2CC429E515F1}"/>
    <cellStyle name="SAPBEXundefined 5 4" xfId="9362" xr:uid="{4810D5CD-7C33-4B9D-8F50-3D96BD217BE0}"/>
    <cellStyle name="SAPBEXundefined 5 5" xfId="13076" xr:uid="{E0D1A0EA-15C8-408D-8606-68E0ADF1DDA8}"/>
    <cellStyle name="SAPBEXundefined 6" xfId="3592" xr:uid="{2F180FC7-4454-4C20-B38A-34CD387FDA4A}"/>
    <cellStyle name="SAPBEXundefined 6 2" xfId="6003" xr:uid="{F0E3CCBB-3CB4-40EF-9085-7038BE26B717}"/>
    <cellStyle name="SAPBEXundefined 6 2 2" xfId="11445" xr:uid="{809D3224-5330-4ED6-BB7C-50BE01E08D9F}"/>
    <cellStyle name="SAPBEXundefined 6 2 3" xfId="13529" xr:uid="{117FD1AD-96F4-44D7-87BD-B68AD4942F97}"/>
    <cellStyle name="SAPBEXundefined 6 3" xfId="6686" xr:uid="{A2C37BA3-00A6-45D0-BD73-1C3E0B893ED0}"/>
    <cellStyle name="SAPBEXundefined 6 3 2" xfId="12128" xr:uid="{F323FE66-DED3-4BE1-9F90-8D29740D9BC9}"/>
    <cellStyle name="SAPBEXundefined 6 3 3" xfId="14190" xr:uid="{99B51E24-5BDB-4C17-8C47-9F86E59B92DD}"/>
    <cellStyle name="SAPBEXundefined 6 4" xfId="9064" xr:uid="{8B9160C3-9BA8-46AF-905D-699A012FEAF1}"/>
    <cellStyle name="SAPBEXundefined 6 5" xfId="12793" xr:uid="{B8CBEE4E-97DF-438E-9D43-F0D91DD7FEA5}"/>
    <cellStyle name="SAPBEXundefined 7" xfId="4160" xr:uid="{AFE4A6DC-8079-4F3D-976C-9D1153FB0E24}"/>
    <cellStyle name="SAPBEXundefined 7 2" xfId="9610" xr:uid="{5C5D1533-DD12-4F09-9A3D-5FA7E549F43D}"/>
    <cellStyle name="SAPBEXundefined 7 3" xfId="13239" xr:uid="{178987D6-5051-42A0-9C58-664970812DB6}"/>
    <cellStyle name="SAPBEXundefined 8" xfId="5660" xr:uid="{19A6D2B5-D827-47D7-9546-D5D54EF15F84}"/>
    <cellStyle name="SAPBEXundefined 8 2" xfId="11102" xr:uid="{29226A97-A95D-4243-8728-C82DB93763F8}"/>
    <cellStyle name="SAPBEXundefined 8 3" xfId="13308" xr:uid="{8AF4AC06-E906-471B-B84E-88252155660E}"/>
    <cellStyle name="SAPBEXundefined 9" xfId="7228" xr:uid="{94F94169-B6CE-4769-A3DD-8F7FCA912BDC}"/>
    <cellStyle name="SAPBEXundefined_2014 CLEAResult Invoices" xfId="3325" xr:uid="{5146729A-0DBB-43BC-8CC4-ECB33FD21A57}"/>
    <cellStyle name="SEM-BPS-data" xfId="286" xr:uid="{278CB194-899A-4949-9CE1-1C20B4189BD4}"/>
    <cellStyle name="SEM-BPS-head" xfId="287" xr:uid="{A133611F-1C14-43C3-A212-F10D3C147348}"/>
    <cellStyle name="SEM-BPS-headdata" xfId="288" xr:uid="{3F198B7B-AD42-4219-BEEB-763FB4D49034}"/>
    <cellStyle name="SEM-BPS-headkey" xfId="289" xr:uid="{846DFE5C-8D1D-4217-8C4A-59286E7AB666}"/>
    <cellStyle name="SEM-BPS-input-on" xfId="290" xr:uid="{47021C86-582B-4496-8E2E-CDE70F1FCE43}"/>
    <cellStyle name="SEM-BPS-key" xfId="291" xr:uid="{76E57C1D-1C6A-4309-9EF0-6E2F465CD83A}"/>
    <cellStyle name="SEM-BPS-total" xfId="292" xr:uid="{0715C40E-90E8-4AFD-90F5-1BD3280FDE1E}"/>
    <cellStyle name="SHADEDSTORES" xfId="293" xr:uid="{3A97AAD0-80D1-42F2-B13D-A987DD3FA35E}"/>
    <cellStyle name="SHADEDSTORES 2" xfId="3599" xr:uid="{5364C5AD-797F-4660-9F53-644A7347BD07}"/>
    <cellStyle name="SHADEDSTORES 2 2" xfId="3747" xr:uid="{893AFB2A-02E7-493D-8329-D8D00720FC41}"/>
    <cellStyle name="SHADEDSTORES 2 2 2" xfId="6155" xr:uid="{BB509B85-8BAE-4317-9442-CE29B7C5E582}"/>
    <cellStyle name="SHADEDSTORES 2 2 2 2" xfId="11597" xr:uid="{182C0510-CAB4-40A2-AB6C-934FC000D219}"/>
    <cellStyle name="SHADEDSTORES 2 2 2 3" xfId="13672" xr:uid="{9E9CD53A-103C-4F4B-9CEF-5D5F71CC0530}"/>
    <cellStyle name="SHADEDSTORES 2 2 3" xfId="9218" xr:uid="{4A1655A2-7E6B-409C-B577-AAADE02BEAD2}"/>
    <cellStyle name="SHADEDSTORES 2 3" xfId="3813" xr:uid="{3294CB1D-E5EE-4212-AB9B-5277526F5C74}"/>
    <cellStyle name="SHADEDSTORES 2 3 2" xfId="6220" xr:uid="{A01E1167-3BB0-4290-A2AB-DE2E1E0BFCFE}"/>
    <cellStyle name="SHADEDSTORES 2 3 2 2" xfId="11662" xr:uid="{009EEB31-4FBA-43AD-AAB8-0F93D2781089}"/>
    <cellStyle name="SHADEDSTORES 2 3 2 3" xfId="13736" xr:uid="{A224C215-4FA8-4363-891D-3F5D0B2F7348}"/>
    <cellStyle name="SHADEDSTORES 2 3 3" xfId="9283" xr:uid="{0D99CA01-AB65-4376-86FB-4CFCA4139222}"/>
    <cellStyle name="SHADEDSTORES 2 4" xfId="3898" xr:uid="{F63F9260-0ACA-40E6-9A5B-773EF9DB6354}"/>
    <cellStyle name="SHADEDSTORES 2 4 2" xfId="6303" xr:uid="{8A5B4E2B-813D-413B-82BD-2CF9AC5933CF}"/>
    <cellStyle name="SHADEDSTORES 2 4 2 2" xfId="11745" xr:uid="{565165A1-8622-4834-8B73-A6A18E44032A}"/>
    <cellStyle name="SHADEDSTORES 2 4 2 3" xfId="13817" xr:uid="{5274A1B0-C8CE-42AA-905C-5A7BFE62D08A}"/>
    <cellStyle name="SHADEDSTORES 2 4 3" xfId="9366" xr:uid="{4387AFD7-0048-4ED5-9C07-B60406F038F9}"/>
    <cellStyle name="SHADEDSTORES 2 5" xfId="3965" xr:uid="{28DEA48C-AFD8-4A54-9845-4C708287E141}"/>
    <cellStyle name="SHADEDSTORES 2 5 2" xfId="6368" xr:uid="{5E35C9E3-C24B-4A4C-A38B-25643977CFD0}"/>
    <cellStyle name="SHADEDSTORES 2 5 2 2" xfId="11810" xr:uid="{F2547720-76F8-463A-A35F-3BA346018CE2}"/>
    <cellStyle name="SHADEDSTORES 2 5 2 3" xfId="13881" xr:uid="{40C98B18-A430-4E06-BC98-50583AE91364}"/>
    <cellStyle name="SHADEDSTORES 2 5 3" xfId="9431" xr:uid="{57298CBA-5BEB-4E87-8A5F-86212F79CA4D}"/>
    <cellStyle name="SHADEDSTORES 2 6" xfId="6692" xr:uid="{366C0C66-3DAA-429A-ABC6-067E9FE15BD8}"/>
    <cellStyle name="SHADEDSTORES 2 6 2" xfId="12134" xr:uid="{5DAD3027-4374-4EA9-B5F1-8A5A43EFBE7A}"/>
    <cellStyle name="SHADEDSTORES 2 6 3" xfId="14194" xr:uid="{F47B41C2-8436-459E-B483-CF9AB2A17E32}"/>
    <cellStyle name="SHADEDSTORES 2 7" xfId="9071" xr:uid="{B1924440-1D40-4032-964C-E8B3DF76A429}"/>
    <cellStyle name="SHADEDSTORES 2 8" xfId="12797" xr:uid="{17CD1D0A-BE36-4440-AC55-F4F2B22AC21D}"/>
    <cellStyle name="SHADEDSTORES 3" xfId="3593" xr:uid="{E5EEABCC-C443-4DA2-A070-6FC25D0F9C38}"/>
    <cellStyle name="SHADEDSTORES 3 2" xfId="6004" xr:uid="{6BF790DB-0791-4F26-A538-BFBF11E1F13D}"/>
    <cellStyle name="SHADEDSTORES 3 2 2" xfId="11446" xr:uid="{E4655AF6-2E56-4B99-A9BC-2F05425674CB}"/>
    <cellStyle name="SHADEDSTORES 3 2 3" xfId="13530" xr:uid="{8D52A588-EDEB-4A17-8EBD-250DD14FDFB8}"/>
    <cellStyle name="SHADEDSTORES 3 3" xfId="9065" xr:uid="{3057EB90-2981-4E23-90D5-556C0E8161E9}"/>
    <cellStyle name="Sheet Title" xfId="3326" xr:uid="{F3BCBB20-36B8-4E1A-8660-E53D9A9D479D}"/>
    <cellStyle name="specstores" xfId="294" xr:uid="{5C2EAD2A-0902-4F7F-AEA6-277716F27E52}"/>
    <cellStyle name="Subtotal" xfId="295" xr:uid="{EF8F96EE-0295-4794-9646-9F7B084DFC32}"/>
    <cellStyle name="Title" xfId="70" builtinId="15" customBuiltin="1"/>
    <cellStyle name="Title 2" xfId="71" xr:uid="{00000000-0005-0000-0000-000050000000}"/>
    <cellStyle name="Title 2 2" xfId="3328" xr:uid="{FF8E9EDE-0283-4C58-9658-FD5449E58F64}"/>
    <cellStyle name="Title 2 3" xfId="3329" xr:uid="{E61F52A4-DE9C-4F35-8559-D9E598A3AA9F}"/>
    <cellStyle name="Title 2 4" xfId="3330" xr:uid="{45CEA59D-DE97-4509-A800-A54BBC6A85F3}"/>
    <cellStyle name="Title 2 5" xfId="3541" xr:uid="{D104AB3E-ABCE-42A4-AD2B-BD3DE16E6138}"/>
    <cellStyle name="Title 2 6" xfId="3327" xr:uid="{97887F77-7406-4E96-B923-EF9ED537019E}"/>
    <cellStyle name="Title 2 7" xfId="2033" xr:uid="{F03C424E-EC9D-4E14-A517-87BFB50DF50A}"/>
    <cellStyle name="Title 3" xfId="3331" xr:uid="{47538DC8-BF44-4F28-93C8-0ABA3FF48F8F}"/>
    <cellStyle name="Title 4" xfId="2036" xr:uid="{214253E3-2ABA-42C9-9A56-37A6858E3071}"/>
    <cellStyle name="Title 5" xfId="336" xr:uid="{9C2F0109-C9B8-431B-B7EA-014ECBA67A83}"/>
    <cellStyle name="Total" xfId="72" builtinId="25" customBuiltin="1"/>
    <cellStyle name="Total 2" xfId="73" xr:uid="{00000000-0005-0000-0000-000052000000}"/>
    <cellStyle name="Total 2 10" xfId="5588" xr:uid="{4A7D5525-1E08-41FE-88BD-1F37EE4FBD5F}"/>
    <cellStyle name="Total 2 10 2" xfId="11034" xr:uid="{80608648-5CBA-4246-948D-34AC5C0441BB}"/>
    <cellStyle name="Total 2 10 3" xfId="13269" xr:uid="{69CF15C1-0E5D-433E-9151-FF118FB4E643}"/>
    <cellStyle name="Total 2 11" xfId="6450" xr:uid="{CCC573E8-BB68-466D-A6BD-BE729BE1D150}"/>
    <cellStyle name="Total 2 11 2" xfId="11892" xr:uid="{ACE8366A-CF29-40CC-B497-4241A06E7567}"/>
    <cellStyle name="Total 2 11 3" xfId="13960" xr:uid="{7323D66C-B1B7-402E-91F5-7B7ABCFFA0F0}"/>
    <cellStyle name="Total 2 12" xfId="7120" xr:uid="{32FEDDFC-6A2B-4E88-B707-3F8E994BB30F}"/>
    <cellStyle name="Total 2 13" xfId="7211" xr:uid="{5A028012-5AE4-4F44-A930-1C164D867E21}"/>
    <cellStyle name="Total 2 2" xfId="2035" xr:uid="{08C189F2-1570-4E03-B5BE-8F42EBDDD471}"/>
    <cellStyle name="Total 2 2 2" xfId="3334" xr:uid="{BF8C980A-4625-480A-BCFA-05CB3C29A4DC}"/>
    <cellStyle name="Total 2 2 2 2" xfId="5836" xr:uid="{46DE7BBE-5586-46D5-81E5-452B0181BE43}"/>
    <cellStyle name="Total 2 2 2 2 2" xfId="11278" xr:uid="{D3928738-EE12-4C72-96BD-89CAD470EB0B}"/>
    <cellStyle name="Total 2 2 2 2 3" xfId="13477" xr:uid="{B3DACD6F-0483-4323-9FFB-3604771713E3}"/>
    <cellStyle name="Total 2 2 2 3" xfId="6634" xr:uid="{3B5EE908-AA19-4A52-B859-BA85FB1149B2}"/>
    <cellStyle name="Total 2 2 2 3 2" xfId="12076" xr:uid="{671FE879-FEF9-43A0-936B-84E1B4284B83}"/>
    <cellStyle name="Total 2 2 2 3 3" xfId="14139" xr:uid="{30A9E99B-7020-4D38-ADE6-616AEAE60F7E}"/>
    <cellStyle name="Total 2 2 2 4" xfId="8896" xr:uid="{F5007469-C738-41A9-8D65-F87114266224}"/>
    <cellStyle name="Total 2 2 2 5" xfId="12742" xr:uid="{0171BEB4-C9D3-4769-AD09-B2024C8E31AE}"/>
    <cellStyle name="Total 2 2 3" xfId="3335" xr:uid="{EB5014FE-DF61-44D9-98D9-247D2297C7F8}"/>
    <cellStyle name="Total 2 2 3 2" xfId="5837" xr:uid="{46B174A0-DA7A-46AC-A63B-C692EA4C3040}"/>
    <cellStyle name="Total 2 2 3 2 2" xfId="11279" xr:uid="{39252B1A-D259-48F4-B2E2-92CA5F6B8669}"/>
    <cellStyle name="Total 2 2 3 2 3" xfId="13478" xr:uid="{6AA47E9D-53FC-462A-9584-6F15D8E31FE0}"/>
    <cellStyle name="Total 2 2 3 3" xfId="6635" xr:uid="{E7EE7319-4916-4D29-B1C7-CBD4AE40F558}"/>
    <cellStyle name="Total 2 2 3 3 2" xfId="12077" xr:uid="{04F50C96-DD1A-43C0-BC3F-1F65A8D7F469}"/>
    <cellStyle name="Total 2 2 3 3 3" xfId="14140" xr:uid="{9A3B99B6-DD1C-4C1B-AC20-4BF241C94653}"/>
    <cellStyle name="Total 2 2 3 4" xfId="8897" xr:uid="{85B0786F-7D9C-4B73-A3B4-6937EF4561D2}"/>
    <cellStyle name="Total 2 2 3 5" xfId="12743" xr:uid="{961B7A78-DE07-490A-8B81-0B68A6C0C005}"/>
    <cellStyle name="Total 2 2 4" xfId="3543" xr:uid="{39E0B733-B767-4D4B-AC8D-0A8C5FFAC05B}"/>
    <cellStyle name="Total 2 2 4 2" xfId="5966" xr:uid="{61F31786-8E45-405B-97EE-DE9CC5E2E569}"/>
    <cellStyle name="Total 2 2 4 2 2" xfId="11408" xr:uid="{BC7743C3-73C5-402E-9ED9-DCEA8D4808D9}"/>
    <cellStyle name="Total 2 2 4 2 3" xfId="13495" xr:uid="{71C9E752-9C8D-4B04-8757-D17D2A122569}"/>
    <cellStyle name="Total 2 2 4 3" xfId="6652" xr:uid="{2A61C38A-0A0A-451F-97E0-347D4881A7F6}"/>
    <cellStyle name="Total 2 2 4 3 2" xfId="12094" xr:uid="{D826F1A5-CC44-4C76-9619-601809DC1BAB}"/>
    <cellStyle name="Total 2 2 4 3 3" xfId="14157" xr:uid="{6672E1E5-BA9D-4BEA-99A1-D0BA1810E6D1}"/>
    <cellStyle name="Total 2 2 4 4" xfId="9024" xr:uid="{1CECAE53-D9EA-4E94-AA22-B6678D342894}"/>
    <cellStyle name="Total 2 2 4 5" xfId="12760" xr:uid="{9BA792E6-47D1-4C88-9429-40E8ACF91FCC}"/>
    <cellStyle name="Total 2 2 5" xfId="3333" xr:uid="{87DAE865-47BC-4E2A-994F-65F60301926C}"/>
    <cellStyle name="Total 2 2 5 2" xfId="5835" xr:uid="{151CF5D6-DA19-43FC-B9C6-C581614CA8B3}"/>
    <cellStyle name="Total 2 2 5 2 2" xfId="11277" xr:uid="{8907664C-A194-4823-8DA0-483A9AE6291F}"/>
    <cellStyle name="Total 2 2 5 2 3" xfId="13476" xr:uid="{31B201E1-528E-4B83-8B8D-D57A5E34474A}"/>
    <cellStyle name="Total 2 2 5 3" xfId="6633" xr:uid="{8ADDD6CC-31BE-40CA-8707-151DA0022FBA}"/>
    <cellStyle name="Total 2 2 5 3 2" xfId="12075" xr:uid="{0FAA0514-F482-41F6-880C-BDA2C06F91E8}"/>
    <cellStyle name="Total 2 2 5 3 3" xfId="14138" xr:uid="{3A95D1D5-DF09-4C9F-9488-6BADA354E592}"/>
    <cellStyle name="Total 2 2 5 4" xfId="8895" xr:uid="{25EA4625-FECF-4088-8727-4B84A2C9A7F2}"/>
    <cellStyle name="Total 2 2 5 5" xfId="12741" xr:uid="{B0401FD4-5B40-4DE0-809C-EFFF13B571AA}"/>
    <cellStyle name="Total 2 2 6" xfId="5589" xr:uid="{46531D37-1036-42EE-901C-446D0DFC0D47}"/>
    <cellStyle name="Total 2 2 6 2" xfId="11035" xr:uid="{638294FA-260B-4DAC-ACB2-5D14672CD7BC}"/>
    <cellStyle name="Total 2 2 6 3" xfId="13270" xr:uid="{2D74D418-A4C1-4FCD-938E-8DDA38C36705}"/>
    <cellStyle name="Total 2 2 7" xfId="6451" xr:uid="{3083013B-8D78-4342-8386-4293DDDF9618}"/>
    <cellStyle name="Total 2 2 7 2" xfId="11893" xr:uid="{EC49E72C-2EF0-4F77-8DE7-48BB3B88AA32}"/>
    <cellStyle name="Total 2 2 7 3" xfId="13961" xr:uid="{2F860002-03BD-48D7-A77F-DFD3374D2566}"/>
    <cellStyle name="Total 2 2 8" xfId="8655" xr:uid="{3BD7D373-52F5-49FC-9935-B6A52A4075C2}"/>
    <cellStyle name="Total 2 2 9" xfId="12564" xr:uid="{4CF67264-2C22-43A6-90A7-AD3E00456D82}"/>
    <cellStyle name="Total 2 2_2014 CLEAResult Invoices" xfId="3336" xr:uid="{38349842-BD8E-407C-BADD-60A1E8EFE04F}"/>
    <cellStyle name="Total 2 3" xfId="3337" xr:uid="{C95A4A8B-C02E-4185-9034-6A0560341AED}"/>
    <cellStyle name="Total 2 3 2" xfId="3338" xr:uid="{F816D9DC-5658-459E-9F4B-F4657FDD6DA4}"/>
    <cellStyle name="Total 2 3 2 2" xfId="5839" xr:uid="{7D7B6555-27C7-4D02-B297-26112048A78A}"/>
    <cellStyle name="Total 2 3 2 2 2" xfId="11281" xr:uid="{8DC01673-AB5D-4542-B08D-8BEC3A5531AA}"/>
    <cellStyle name="Total 2 3 2 2 3" xfId="13480" xr:uid="{921039F3-B439-4750-B21D-4F2FE3240CA7}"/>
    <cellStyle name="Total 2 3 2 3" xfId="6637" xr:uid="{4F2AEB98-A652-4F15-BC99-590923F06CFC}"/>
    <cellStyle name="Total 2 3 2 3 2" xfId="12079" xr:uid="{6E6CF658-D61C-4E4E-B134-E52A4B709D87}"/>
    <cellStyle name="Total 2 3 2 3 3" xfId="14142" xr:uid="{1CA645FA-2069-45D3-B76C-2E1F6C8F487E}"/>
    <cellStyle name="Total 2 3 2 4" xfId="8899" xr:uid="{A9512508-9E2A-4EC3-9007-9106D89B91F6}"/>
    <cellStyle name="Total 2 3 2 5" xfId="12745" xr:uid="{A5AC7E54-02CC-403D-AE9C-6CF69F235969}"/>
    <cellStyle name="Total 2 3 3" xfId="5838" xr:uid="{3E09EC2B-3CD8-4E24-812D-9CCE53031608}"/>
    <cellStyle name="Total 2 3 3 2" xfId="11280" xr:uid="{B04A070E-E7D9-4F3C-9D7F-65B5AB799729}"/>
    <cellStyle name="Total 2 3 3 3" xfId="13479" xr:uid="{B38F9163-59AE-4114-B49B-F7D679FA17A5}"/>
    <cellStyle name="Total 2 3 4" xfId="6636" xr:uid="{FE4E07A1-712C-41D3-AC0E-0B3828C25BCC}"/>
    <cellStyle name="Total 2 3 4 2" xfId="12078" xr:uid="{F8599718-C71D-48E2-9A98-96EDC7F3934A}"/>
    <cellStyle name="Total 2 3 4 3" xfId="14141" xr:uid="{66C3B863-5B67-4919-BA17-0E2948814604}"/>
    <cellStyle name="Total 2 3 5" xfId="8898" xr:uid="{1C83B0E0-24C6-4568-9E22-41C6809AEDAE}"/>
    <cellStyle name="Total 2 3 6" xfId="12744" xr:uid="{C94044F6-7EB8-4B8D-B04C-FCCF51619147}"/>
    <cellStyle name="Total 2 4" xfId="3339" xr:uid="{E5DD797B-1956-47A1-886C-D153CB7D825E}"/>
    <cellStyle name="Total 2 4 2" xfId="3340" xr:uid="{72A75240-5E8C-46A2-A74A-87654345CB3E}"/>
    <cellStyle name="Total 2 4 3" xfId="5840" xr:uid="{8D6428B7-36AE-4B41-945B-B958B41B45A3}"/>
    <cellStyle name="Total 2 4 3 2" xfId="11282" xr:uid="{723C5ABB-9A4D-4B9B-8E71-7A15CEF96B86}"/>
    <cellStyle name="Total 2 4 3 3" xfId="13481" xr:uid="{B4CF3557-5FB2-4CFD-A952-86F914B8475B}"/>
    <cellStyle name="Total 2 4 4" xfId="6638" xr:uid="{F55079DF-F978-4914-9A32-DB1A974CC25B}"/>
    <cellStyle name="Total 2 4 4 2" xfId="12080" xr:uid="{0D5DA0CF-BFAF-4EE3-80CC-9B7E9796F80B}"/>
    <cellStyle name="Total 2 4 4 3" xfId="14143" xr:uid="{B01345E7-0CBE-4A23-92C6-F8F217F1EE28}"/>
    <cellStyle name="Total 2 4 5" xfId="8900" xr:uid="{8322BB71-54E4-429D-9F9A-11DDAC07D501}"/>
    <cellStyle name="Total 2 4 6" xfId="12746" xr:uid="{EE976959-DF44-4E08-A3A4-F20B6FCD907F}"/>
    <cellStyle name="Total 2 5" xfId="3341" xr:uid="{BDE8EF90-1B4B-4F2D-9753-0A14803ECB8B}"/>
    <cellStyle name="Total 2 5 2" xfId="3342" xr:uid="{D755DDD6-0963-4619-A1E9-7818DD52A7BA}"/>
    <cellStyle name="Total 2 5 3" xfId="5842" xr:uid="{5ABA5565-1B29-4FB6-A8DB-50E0CEA74D67}"/>
    <cellStyle name="Total 2 5 3 2" xfId="11284" xr:uid="{A8475A71-341A-45F5-9B3A-4EF9C67FF33A}"/>
    <cellStyle name="Total 2 5 3 3" xfId="13482" xr:uid="{ACEF8CFD-0C77-4356-B217-D334443CB420}"/>
    <cellStyle name="Total 2 5 4" xfId="6639" xr:uid="{DD489CA5-9D52-4126-A335-BBCC9277B0F4}"/>
    <cellStyle name="Total 2 5 4 2" xfId="12081" xr:uid="{6B5CBC24-BE16-4AAF-8EFE-A938CCC85049}"/>
    <cellStyle name="Total 2 5 4 3" xfId="14144" xr:uid="{F7A8939E-249A-4911-B2DE-952BCFADD77D}"/>
    <cellStyle name="Total 2 5 5" xfId="8901" xr:uid="{DB32EBA2-A405-47A6-A63C-0C1E7B144A4B}"/>
    <cellStyle name="Total 2 5 6" xfId="12747" xr:uid="{01C3BC77-9779-4861-931E-6CEE537DF42E}"/>
    <cellStyle name="Total 2 6" xfId="3343" xr:uid="{B076C1A9-440B-4809-B766-C208E635FCFA}"/>
    <cellStyle name="Total 2 6 2" xfId="5844" xr:uid="{9AFFD435-A7E7-4826-B222-0C5FDD0E4B7E}"/>
    <cellStyle name="Total 2 6 2 2" xfId="11286" xr:uid="{E5B99DD5-F51B-4183-BE89-FAFC20155E84}"/>
    <cellStyle name="Total 2 6 2 3" xfId="13483" xr:uid="{DAB713C9-8075-4813-9BFC-6D8D0B4307E4}"/>
    <cellStyle name="Total 2 6 3" xfId="6640" xr:uid="{A3643C35-1200-424B-8411-AC873A066353}"/>
    <cellStyle name="Total 2 6 3 2" xfId="12082" xr:uid="{5FB93D53-D6B6-4182-8EAE-52C71FE866BA}"/>
    <cellStyle name="Total 2 6 3 3" xfId="14145" xr:uid="{253FFF04-37EC-4EC7-86D2-D92CB335840B}"/>
    <cellStyle name="Total 2 6 4" xfId="8902" xr:uid="{7DD5F77F-FFEA-458A-B8A4-7AC6FB89E649}"/>
    <cellStyle name="Total 2 6 5" xfId="12748" xr:uid="{5231925F-5BDB-478C-ACEB-6A29EFA4201E}"/>
    <cellStyle name="Total 2 7" xfId="3542" xr:uid="{175B5B92-3143-4B9D-B353-5E7FF557793E}"/>
    <cellStyle name="Total 2 7 2" xfId="5965" xr:uid="{1FB4EF13-DB23-40BD-82D8-E0451D7965DB}"/>
    <cellStyle name="Total 2 7 2 2" xfId="11407" xr:uid="{92740C4D-F328-46A8-B672-D5FB7B31923B}"/>
    <cellStyle name="Total 2 7 2 3" xfId="13494" xr:uid="{014262C6-4005-4FBB-A182-3D6FB84B6F75}"/>
    <cellStyle name="Total 2 7 3" xfId="6651" xr:uid="{65EFEE80-0BE8-4306-B908-04F3147E53DC}"/>
    <cellStyle name="Total 2 7 3 2" xfId="12093" xr:uid="{38C5FA67-4E14-403B-A696-891FB004C880}"/>
    <cellStyle name="Total 2 7 3 3" xfId="14156" xr:uid="{31A1C3C8-70EE-4021-B8DF-B2D3ED73269E}"/>
    <cellStyle name="Total 2 7 4" xfId="9023" xr:uid="{2888662F-4EC5-42B4-8A8F-63E36675DB3C}"/>
    <cellStyle name="Total 2 7 5" xfId="12759" xr:uid="{A49D5591-7D06-41DE-8491-53E942BCDA28}"/>
    <cellStyle name="Total 2 8" xfId="3332" xr:uid="{CAB80B8D-15A6-42DA-B814-04121E1B941C}"/>
    <cellStyle name="Total 2 8 2" xfId="5834" xr:uid="{90DFF736-C196-45B1-B710-DF38C1E85E4F}"/>
    <cellStyle name="Total 2 8 2 2" xfId="11276" xr:uid="{2B2F33AF-26AD-42A9-9EB1-BFB8528D55CF}"/>
    <cellStyle name="Total 2 8 2 3" xfId="13475" xr:uid="{3B412365-648D-4521-A6F1-B9B0D722DBDB}"/>
    <cellStyle name="Total 2 8 3" xfId="6632" xr:uid="{3F4801C6-3B1B-4788-99F2-3A4494EC02CA}"/>
    <cellStyle name="Total 2 8 3 2" xfId="12074" xr:uid="{7469077D-1997-4FCF-BFC9-F3AFA2B46A1D}"/>
    <cellStyle name="Total 2 8 3 3" xfId="14137" xr:uid="{D552D6BB-23A5-422C-A601-B33A1DC581DF}"/>
    <cellStyle name="Total 2 8 4" xfId="8894" xr:uid="{224A5A65-5E0A-4CCB-B487-D85F1149CC53}"/>
    <cellStyle name="Total 2 8 5" xfId="12740" xr:uid="{DDFD8E3F-7267-4063-890F-A0E73B22EEF5}"/>
    <cellStyle name="Total 2 9" xfId="2034" xr:uid="{69D0B1DD-BD09-4989-BFA1-DEA02A389051}"/>
    <cellStyle name="Total 2 9 2" xfId="8654" xr:uid="{39052BC3-FD90-467D-956E-9ACC4F2EEAD1}"/>
    <cellStyle name="Total 2 9 3" xfId="12563" xr:uid="{81682CCB-3476-44D9-B2D1-C35DCF7D93C5}"/>
    <cellStyle name="Total 2_2014 CLEAResult Invoices" xfId="3344" xr:uid="{55F76C89-B4D8-4252-B130-AAE9B586EE2C}"/>
    <cellStyle name="Total 3" xfId="3345" xr:uid="{D0C36747-BDD9-44D0-8931-BD15825EEEAA}"/>
    <cellStyle name="Total 3 2" xfId="3346" xr:uid="{45E3A9F1-5BC5-40C9-B21D-D0A8B3D5D6CD}"/>
    <cellStyle name="Total 3 3" xfId="3347" xr:uid="{13FFD74F-30F2-4477-8369-BDBCBCAE0616}"/>
    <cellStyle name="Total 3 3 2" xfId="5845" xr:uid="{1725E7BE-F8EF-432C-B720-8F9576613903}"/>
    <cellStyle name="Total 3 3 2 2" xfId="11287" xr:uid="{F0079BDF-5CF0-4787-98A4-31F36C7E723A}"/>
    <cellStyle name="Total 3 3 2 3" xfId="13484" xr:uid="{CC5A871F-D4C3-4A59-95D6-EF88466DA4F2}"/>
    <cellStyle name="Total 3 3 3" xfId="6641" xr:uid="{F94211C9-3FC3-45AD-A89B-7C5493994E46}"/>
    <cellStyle name="Total 3 3 3 2" xfId="12083" xr:uid="{4E171F31-988E-44E9-B9C3-38B5AB6DAF37}"/>
    <cellStyle name="Total 3 3 3 3" xfId="14146" xr:uid="{CF67DBDF-65AA-436C-9B00-FF18C3E815F5}"/>
    <cellStyle name="Total 3 3 4" xfId="8903" xr:uid="{13D2DAED-61F1-424B-8336-A5A46B045C6E}"/>
    <cellStyle name="Total 3 3 5" xfId="12749" xr:uid="{2D0CFC6B-FADC-40E0-B406-9E3AA8D58B83}"/>
    <cellStyle name="Total 4" xfId="352" xr:uid="{BCFA91EA-34B8-42BF-83CA-5BDF42143044}"/>
    <cellStyle name="Total 5" xfId="4182" xr:uid="{E124B1ED-5271-42B0-8622-E4FCB77E2B59}"/>
    <cellStyle name="Total 6" xfId="5642" xr:uid="{A6962056-831D-41D3-846D-0AF977656C91}"/>
    <cellStyle name="Total 7" xfId="7119" xr:uid="{E0269A7A-6DB9-4468-936D-36723757273B}"/>
    <cellStyle name="Total 8" xfId="8870" xr:uid="{59F3F3EB-ABF7-4813-95ED-C994EE1977A0}"/>
    <cellStyle name="Warning Text" xfId="74" builtinId="11" customBuiltin="1"/>
    <cellStyle name="Warning Text 2" xfId="75" xr:uid="{00000000-0005-0000-0000-000054000000}"/>
    <cellStyle name="Warning Text 2 2" xfId="3348" xr:uid="{95244F5C-A5EC-47E5-81FC-C9420E7E8BDF}"/>
    <cellStyle name="Warning Text 2 2 2" xfId="3349" xr:uid="{21C3D113-8A5C-4457-B964-7E64D72FEEFD}"/>
    <cellStyle name="Warning Text 2 2 3" xfId="3350" xr:uid="{68CE1D5A-ECA9-42B7-A4D0-1A08BD62CADD}"/>
    <cellStyle name="Warning Text 2 3" xfId="3351" xr:uid="{6A659BE8-FF58-4EDF-9525-888EC2BB5F92}"/>
    <cellStyle name="Warning Text 2 4" xfId="3352" xr:uid="{9DF48FF3-703D-400C-B3CC-832C30CB2B01}"/>
    <cellStyle name="Warning Text 2 5" xfId="3353" xr:uid="{F56972E1-D0F2-4BF5-B471-0B03933D6E2C}"/>
    <cellStyle name="Warning Text 2 6" xfId="3354" xr:uid="{096D4512-76A8-4317-87AE-6EA525483B8A}"/>
    <cellStyle name="Warning Text 3" xfId="3355" xr:uid="{6C57A47A-7648-4DA6-BF97-9C4AD8D9E16E}"/>
    <cellStyle name="Warning Text 3 2" xfId="3356" xr:uid="{BD85DF63-48D7-48CF-8E0C-50A4CDCEB54E}"/>
    <cellStyle name="Warning Text 3 3" xfId="3357" xr:uid="{870330F6-1FDE-40F1-BF2B-FE9048252C22}"/>
    <cellStyle name="Warning Text 4" xfId="349" xr:uid="{EC822664-9D67-4A4F-ABE2-BFB198DF3CA3}"/>
  </cellStyles>
  <dxfs count="128">
    <dxf>
      <font>
        <color rgb="FF00B050"/>
      </font>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none"/>
      </font>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707C80B6-CE92-4980-9503-EB602BCC8F6D}"/>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8AC5-4485-B2E8-422E1C4EFE1D}"/>
              </c:ext>
            </c:extLst>
          </c:dPt>
          <c:dPt>
            <c:idx val="1"/>
            <c:bubble3D val="0"/>
            <c:extLst>
              <c:ext xmlns:c16="http://schemas.microsoft.com/office/drawing/2014/chart" uri="{C3380CC4-5D6E-409C-BE32-E72D297353CC}">
                <c16:uniqueId val="{00000001-8AC5-4485-B2E8-422E1C4EFE1D}"/>
              </c:ext>
            </c:extLst>
          </c:dPt>
          <c:dPt>
            <c:idx val="2"/>
            <c:bubble3D val="0"/>
            <c:extLst>
              <c:ext xmlns:c16="http://schemas.microsoft.com/office/drawing/2014/chart" uri="{C3380CC4-5D6E-409C-BE32-E72D297353CC}">
                <c16:uniqueId val="{00000002-8AC5-4485-B2E8-422E1C4EFE1D}"/>
              </c:ext>
            </c:extLst>
          </c:dPt>
          <c:dPt>
            <c:idx val="3"/>
            <c:bubble3D val="0"/>
            <c:extLst>
              <c:ext xmlns:c16="http://schemas.microsoft.com/office/drawing/2014/chart" uri="{C3380CC4-5D6E-409C-BE32-E72D297353CC}">
                <c16:uniqueId val="{00000003-8AC5-4485-B2E8-422E1C4EFE1D}"/>
              </c:ext>
            </c:extLst>
          </c:dPt>
          <c:dPt>
            <c:idx val="4"/>
            <c:bubble3D val="0"/>
            <c:extLst>
              <c:ext xmlns:c16="http://schemas.microsoft.com/office/drawing/2014/chart" uri="{C3380CC4-5D6E-409C-BE32-E72D297353CC}">
                <c16:uniqueId val="{00000004-8AC5-4485-B2E8-422E1C4EFE1D}"/>
              </c:ext>
            </c:extLst>
          </c:dPt>
          <c:dPt>
            <c:idx val="5"/>
            <c:bubble3D val="0"/>
            <c:extLst>
              <c:ext xmlns:c16="http://schemas.microsoft.com/office/drawing/2014/chart" uri="{C3380CC4-5D6E-409C-BE32-E72D297353CC}">
                <c16:uniqueId val="{00000005-8AC5-4485-B2E8-422E1C4EFE1D}"/>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2786719.67</c:v>
                </c:pt>
                <c:pt idx="1">
                  <c:v>329677.81000000006</c:v>
                </c:pt>
                <c:pt idx="2">
                  <c:v>5141749.2799999993</c:v>
                </c:pt>
                <c:pt idx="3">
                  <c:v>1662166.27</c:v>
                </c:pt>
                <c:pt idx="4">
                  <c:v>435223.03</c:v>
                </c:pt>
                <c:pt idx="5">
                  <c:v>15003.2</c:v>
                </c:pt>
              </c:numCache>
            </c:numRef>
          </c:val>
          <c:extLst>
            <c:ext xmlns:c16="http://schemas.microsoft.com/office/drawing/2014/chart" uri="{C3380CC4-5D6E-409C-BE32-E72D297353CC}">
              <c16:uniqueId val="{00000006-8AC5-4485-B2E8-422E1C4EFE1D}"/>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5"/>
                <c:pt idx="0">
                  <c:v>4022955</c:v>
                </c:pt>
                <c:pt idx="1">
                  <c:v>4124913</c:v>
                </c:pt>
                <c:pt idx="2">
                  <c:v>3726152</c:v>
                </c:pt>
                <c:pt idx="3">
                  <c:v>3742393</c:v>
                </c:pt>
                <c:pt idx="4">
                  <c:v>3639823.76</c:v>
                </c:pt>
              </c:numCache>
            </c:numRef>
          </c:val>
          <c:extLst>
            <c:ext xmlns:c16="http://schemas.microsoft.com/office/drawing/2014/chart" uri="{C3380CC4-5D6E-409C-BE32-E72D297353CC}">
              <c16:uniqueId val="{00000000-626E-4DD2-9C10-DC515975C32D}"/>
            </c:ext>
          </c:extLst>
        </c:ser>
        <c:dLbls>
          <c:showLegendKey val="0"/>
          <c:showVal val="0"/>
          <c:showCatName val="0"/>
          <c:showSerName val="0"/>
          <c:showPercent val="0"/>
          <c:showBubbleSize val="0"/>
        </c:dLbls>
        <c:gapWidth val="150"/>
        <c:axId val="239740032"/>
        <c:axId val="239741568"/>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5"/>
                <c:pt idx="0">
                  <c:v>2021</c:v>
                </c:pt>
                <c:pt idx="1">
                  <c:v>2022</c:v>
                </c:pt>
                <c:pt idx="2">
                  <c:v>2023</c:v>
                </c:pt>
                <c:pt idx="3">
                  <c:v>2024</c:v>
                </c:pt>
                <c:pt idx="4">
                  <c:v>2025</c:v>
                </c:pt>
              </c:numCache>
            </c:numRef>
          </c:cat>
          <c:val>
            <c:numRef>
              <c:f>'Table 4'!$G$10:$G$14</c:f>
              <c:numCache>
                <c:formatCode>_("$"* #,##0_);_("$"* \(#,##0\);_("$"* "-"??_);_(@_)</c:formatCode>
                <c:ptCount val="5"/>
                <c:pt idx="0">
                  <c:v>9698.9435671800002</c:v>
                </c:pt>
                <c:pt idx="1">
                  <c:v>9130.6140999999989</c:v>
                </c:pt>
                <c:pt idx="2">
                  <c:v>8241.2000000000007</c:v>
                </c:pt>
                <c:pt idx="3">
                  <c:v>10725.767</c:v>
                </c:pt>
                <c:pt idx="4">
                  <c:v>10370.53926</c:v>
                </c:pt>
              </c:numCache>
            </c:numRef>
          </c:val>
          <c:smooth val="0"/>
          <c:extLst>
            <c:ext xmlns:c16="http://schemas.microsoft.com/office/drawing/2014/chart" uri="{C3380CC4-5D6E-409C-BE32-E72D297353CC}">
              <c16:uniqueId val="{00000001-626E-4DD2-9C10-DC515975C32D}"/>
            </c:ext>
          </c:extLst>
        </c:ser>
        <c:ser>
          <c:idx val="1"/>
          <c:order val="1"/>
          <c:tx>
            <c:strRef>
              <c:f>'Table 4'!$E$8</c:f>
              <c:strCache>
                <c:ptCount val="1"/>
                <c:pt idx="0">
                  <c:v>Portfolio Budget
(b)</c:v>
                </c:pt>
              </c:strCache>
            </c:strRef>
          </c:tx>
          <c:marker>
            <c:symbol val="none"/>
          </c:marker>
          <c:val>
            <c:numRef>
              <c:f>'Table 4'!$E$10:$E$14</c:f>
              <c:numCache>
                <c:formatCode>_("$"* #,##0_);_("$"* \(#,##0\);_("$"* "-"??_);_(@_)</c:formatCode>
                <c:ptCount val="5"/>
                <c:pt idx="0">
                  <c:v>9875.8105492186132</c:v>
                </c:pt>
                <c:pt idx="1">
                  <c:v>10025.159423866944</c:v>
                </c:pt>
                <c:pt idx="2">
                  <c:v>10241.331</c:v>
                </c:pt>
                <c:pt idx="3">
                  <c:v>12873.546</c:v>
                </c:pt>
                <c:pt idx="4">
                  <c:v>12941.764219999999</c:v>
                </c:pt>
              </c:numCache>
            </c:numRef>
          </c:val>
          <c:smooth val="0"/>
          <c:extLst>
            <c:ext xmlns:c16="http://schemas.microsoft.com/office/drawing/2014/chart" uri="{C3380CC4-5D6E-409C-BE32-E72D297353CC}">
              <c16:uniqueId val="{00000002-626E-4DD2-9C10-DC515975C32D}"/>
            </c:ext>
          </c:extLst>
        </c:ser>
        <c:dLbls>
          <c:showLegendKey val="0"/>
          <c:showVal val="0"/>
          <c:showCatName val="0"/>
          <c:showSerName val="0"/>
          <c:showPercent val="0"/>
          <c:showBubbleSize val="0"/>
        </c:dLbls>
        <c:marker val="1"/>
        <c:smooth val="0"/>
        <c:axId val="239732608"/>
        <c:axId val="239734144"/>
      </c:lineChart>
      <c:catAx>
        <c:axId val="2397326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734144"/>
        <c:crosses val="autoZero"/>
        <c:auto val="1"/>
        <c:lblAlgn val="ctr"/>
        <c:lblOffset val="100"/>
        <c:noMultiLvlLbl val="0"/>
      </c:catAx>
      <c:valAx>
        <c:axId val="239734144"/>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732608"/>
        <c:crosses val="autoZero"/>
        <c:crossBetween val="between"/>
      </c:valAx>
      <c:catAx>
        <c:axId val="239740032"/>
        <c:scaling>
          <c:orientation val="minMax"/>
        </c:scaling>
        <c:delete val="1"/>
        <c:axPos val="b"/>
        <c:majorTickMark val="out"/>
        <c:minorTickMark val="none"/>
        <c:tickLblPos val="nextTo"/>
        <c:crossAx val="239741568"/>
        <c:crosses val="autoZero"/>
        <c:auto val="1"/>
        <c:lblAlgn val="ctr"/>
        <c:lblOffset val="100"/>
        <c:noMultiLvlLbl val="0"/>
      </c:catAx>
      <c:valAx>
        <c:axId val="239741568"/>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740032"/>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(Therms)</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1096289.2013113501</c:v>
                </c:pt>
                <c:pt idx="1">
                  <c:v>1891964</c:v>
                </c:pt>
                <c:pt idx="2">
                  <c:v>1996742.95</c:v>
                </c:pt>
              </c:numCache>
            </c:numRef>
          </c:val>
          <c:extLst>
            <c:ext xmlns:c16="http://schemas.microsoft.com/office/drawing/2014/chart" uri="{C3380CC4-5D6E-409C-BE32-E72D297353CC}">
              <c16:uniqueId val="{00000000-63D5-4D08-801F-DF191E9D6FFE}"/>
            </c:ext>
          </c:extLst>
        </c:ser>
        <c:dLbls>
          <c:showLegendKey val="0"/>
          <c:showVal val="0"/>
          <c:showCatName val="0"/>
          <c:showSerName val="0"/>
          <c:showPercent val="0"/>
          <c:showBubbleSize val="0"/>
        </c:dLbls>
        <c:gapWidth val="150"/>
        <c:axId val="239430272"/>
        <c:axId val="239440256"/>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362485</c:v>
                </c:pt>
                <c:pt idx="1">
                  <c:v>3853972</c:v>
                </c:pt>
                <c:pt idx="2">
                  <c:v>3927412.79</c:v>
                </c:pt>
              </c:numCache>
            </c:numRef>
          </c:val>
          <c:smooth val="0"/>
          <c:extLst>
            <c:ext xmlns:c16="http://schemas.microsoft.com/office/drawing/2014/chart" uri="{C3380CC4-5D6E-409C-BE32-E72D297353CC}">
              <c16:uniqueId val="{00000001-63D5-4D08-801F-DF191E9D6FFE}"/>
            </c:ext>
          </c:extLst>
        </c:ser>
        <c:ser>
          <c:idx val="2"/>
          <c:order val="2"/>
          <c:tx>
            <c:strRef>
              <c:f>'Table 5'!$D$9</c:f>
              <c:strCache>
                <c:ptCount val="1"/>
                <c:pt idx="0">
                  <c:v>Actual</c:v>
                </c:pt>
              </c:strCache>
            </c:strRef>
          </c:tx>
          <c:marker>
            <c:symbol val="none"/>
          </c:marker>
          <c:val>
            <c:numRef>
              <c:f>'Table 5'!$D$10:$D$12</c:f>
              <c:numCache>
                <c:formatCode>_("$"* #,##0_);_("$"* \(#,##0\);_("$"* "-"_);_(@_)</c:formatCode>
                <c:ptCount val="3"/>
                <c:pt idx="0">
                  <c:v>359955</c:v>
                </c:pt>
                <c:pt idx="1">
                  <c:v>3859088</c:v>
                </c:pt>
                <c:pt idx="2">
                  <c:v>4335230.5199999996</c:v>
                </c:pt>
              </c:numCache>
            </c:numRef>
          </c:val>
          <c:smooth val="0"/>
          <c:extLst>
            <c:ext xmlns:c16="http://schemas.microsoft.com/office/drawing/2014/chart" uri="{C3380CC4-5D6E-409C-BE32-E72D297353CC}">
              <c16:uniqueId val="{00000002-63D5-4D08-801F-DF191E9D6FFE}"/>
            </c:ext>
          </c:extLst>
        </c:ser>
        <c:dLbls>
          <c:showLegendKey val="0"/>
          <c:showVal val="0"/>
          <c:showCatName val="0"/>
          <c:showSerName val="0"/>
          <c:showPercent val="0"/>
          <c:showBubbleSize val="0"/>
        </c:dLbls>
        <c:marker val="1"/>
        <c:smooth val="0"/>
        <c:axId val="239426944"/>
        <c:axId val="239428736"/>
      </c:lineChart>
      <c:catAx>
        <c:axId val="23942694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428736"/>
        <c:crosses val="autoZero"/>
        <c:auto val="1"/>
        <c:lblAlgn val="ctr"/>
        <c:lblOffset val="100"/>
        <c:noMultiLvlLbl val="0"/>
      </c:catAx>
      <c:valAx>
        <c:axId val="239428736"/>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426944"/>
        <c:crosses val="autoZero"/>
        <c:crossBetween val="between"/>
      </c:valAx>
      <c:catAx>
        <c:axId val="239430272"/>
        <c:scaling>
          <c:orientation val="minMax"/>
        </c:scaling>
        <c:delete val="1"/>
        <c:axPos val="b"/>
        <c:numFmt formatCode="General" sourceLinked="1"/>
        <c:majorTickMark val="out"/>
        <c:minorTickMark val="none"/>
        <c:tickLblPos val="nextTo"/>
        <c:crossAx val="239440256"/>
        <c:crosses val="autoZero"/>
        <c:auto val="1"/>
        <c:lblAlgn val="ctr"/>
        <c:lblOffset val="100"/>
        <c:noMultiLvlLbl val="0"/>
      </c:catAx>
      <c:valAx>
        <c:axId val="239440256"/>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9430272"/>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Residential Solutions Program</c:v>
                </c:pt>
                <c:pt idx="1">
                  <c:v>Commercial Solutions</c:v>
                </c:pt>
                <c:pt idx="2">
                  <c:v>Access to Afford Energy &amp; Conservation</c:v>
                </c:pt>
                <c:pt idx="3">
                  <c:v>*Hide*</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3"/>
                <c:pt idx="0">
                  <c:v>4568420.12</c:v>
                </c:pt>
                <c:pt idx="1">
                  <c:v>4335230.5199999996</c:v>
                </c:pt>
                <c:pt idx="2">
                  <c:v>1451885.4200000002</c:v>
                </c:pt>
              </c:numCache>
            </c:numRef>
          </c:val>
          <c:extLst>
            <c:ext xmlns:c16="http://schemas.microsoft.com/office/drawing/2014/chart" uri="{C3380CC4-5D6E-409C-BE32-E72D297353CC}">
              <c16:uniqueId val="{00000000-7417-4FFF-8E0D-51FFABFC75E8}"/>
            </c:ext>
          </c:extLst>
        </c:ser>
        <c:dLbls>
          <c:showLegendKey val="0"/>
          <c:showVal val="0"/>
          <c:showCatName val="0"/>
          <c:showSerName val="0"/>
          <c:showPercent val="0"/>
          <c:showBubbleSize val="0"/>
        </c:dLbls>
        <c:gapWidth val="150"/>
        <c:axId val="238569728"/>
        <c:axId val="238817280"/>
      </c:barChart>
      <c:catAx>
        <c:axId val="238569728"/>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8817280"/>
        <c:crosses val="autoZero"/>
        <c:auto val="1"/>
        <c:lblAlgn val="ctr"/>
        <c:lblOffset val="100"/>
        <c:noMultiLvlLbl val="0"/>
      </c:catAx>
      <c:valAx>
        <c:axId val="238817280"/>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856972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(Therms)</c:v>
                </c:pt>
              </c:strCache>
            </c:strRef>
          </c:tx>
          <c:invertIfNegative val="0"/>
          <c:cat>
            <c:strRef>
              <c:f>Tables!$B$107:$B$126</c:f>
              <c:strCache>
                <c:ptCount val="20"/>
                <c:pt idx="0">
                  <c:v>Residential Solutions Program</c:v>
                </c:pt>
                <c:pt idx="1">
                  <c:v>Commercial Solutions</c:v>
                </c:pt>
                <c:pt idx="2">
                  <c:v>Access to Afford Energy &amp; Conservation</c:v>
                </c:pt>
                <c:pt idx="3">
                  <c:v>*Hide*</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3"/>
                <c:pt idx="0">
                  <c:v>1101642</c:v>
                </c:pt>
                <c:pt idx="1">
                  <c:v>1996742.95</c:v>
                </c:pt>
                <c:pt idx="2">
                  <c:v>541438.81000000006</c:v>
                </c:pt>
              </c:numCache>
            </c:numRef>
          </c:val>
          <c:extLst>
            <c:ext xmlns:c16="http://schemas.microsoft.com/office/drawing/2014/chart" uri="{C3380CC4-5D6E-409C-BE32-E72D297353CC}">
              <c16:uniqueId val="{00000000-DD72-4561-932C-17EC788B2633}"/>
            </c:ext>
          </c:extLst>
        </c:ser>
        <c:dLbls>
          <c:showLegendKey val="0"/>
          <c:showVal val="0"/>
          <c:showCatName val="0"/>
          <c:showSerName val="0"/>
          <c:showPercent val="0"/>
          <c:showBubbleSize val="0"/>
        </c:dLbls>
        <c:gapWidth val="150"/>
        <c:axId val="238835200"/>
        <c:axId val="238836736"/>
      </c:barChart>
      <c:catAx>
        <c:axId val="23883520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8836736"/>
        <c:crosses val="autoZero"/>
        <c:auto val="1"/>
        <c:lblAlgn val="ctr"/>
        <c:lblOffset val="100"/>
        <c:noMultiLvlLbl val="0"/>
      </c:catAx>
      <c:valAx>
        <c:axId val="238836736"/>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883520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(Therms)</c:v>
                </c:pt>
              </c:strCache>
            </c:strRef>
          </c:tx>
          <c:dPt>
            <c:idx val="2"/>
            <c:bubble3D val="0"/>
            <c:extLst>
              <c:ext xmlns:c16="http://schemas.microsoft.com/office/drawing/2014/chart" uri="{C3380CC4-5D6E-409C-BE32-E72D297353CC}">
                <c16:uniqueId val="{00000002-0EF4-47E1-83EB-CABE1586B58F}"/>
              </c:ext>
            </c:extLst>
          </c:dPt>
          <c:cat>
            <c:strRef>
              <c:f>Tables!$B$94:$B$103</c:f>
              <c:strCache>
                <c:ptCount val="10"/>
                <c:pt idx="0">
                  <c:v>Res/Small Business</c:v>
                </c:pt>
                <c:pt idx="1">
                  <c:v>Commercial &amp; Industrial</c:v>
                </c:pt>
                <c:pt idx="2">
                  <c:v>Residential</c:v>
                </c:pt>
                <c:pt idx="3">
                  <c:v>Small Business</c:v>
                </c:pt>
                <c:pt idx="4">
                  <c:v>Municipalities/Schools</c:v>
                </c:pt>
                <c:pt idx="5">
                  <c:v>Agriculture</c:v>
                </c:pt>
                <c:pt idx="6">
                  <c:v>Other</c:v>
                </c:pt>
                <c:pt idx="7">
                  <c:v>Res/C&amp;I</c:v>
                </c:pt>
                <c:pt idx="8">
                  <c:v>Small Business/C&amp;I</c:v>
                </c:pt>
                <c:pt idx="9">
                  <c:v>All Classes</c:v>
                </c:pt>
              </c:strCache>
            </c:strRef>
          </c:cat>
          <c:val>
            <c:numRef>
              <c:f>[0]!Graph_2</c:f>
              <c:numCache>
                <c:formatCode>General</c:formatCode>
                <c:ptCount val="3"/>
                <c:pt idx="0">
                  <c:v>1101642</c:v>
                </c:pt>
                <c:pt idx="1">
                  <c:v>1996743</c:v>
                </c:pt>
                <c:pt idx="2">
                  <c:v>541439</c:v>
                </c:pt>
              </c:numCache>
            </c:numRef>
          </c:val>
          <c:extLst>
            <c:ext xmlns:c16="http://schemas.microsoft.com/office/drawing/2014/chart" uri="{C3380CC4-5D6E-409C-BE32-E72D297353CC}">
              <c16:uniqueId val="{00000003-0EF4-47E1-83EB-CABE1586B58F}"/>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Summit Utilities Arkansas </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214312</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214312</xdr:colOff>
      <xdr:row>1</xdr:row>
      <xdr:rowOff>321469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SUA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9</xdr:col>
      <xdr:colOff>603250</xdr:colOff>
      <xdr:row>1</xdr:row>
      <xdr:rowOff>409575</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8798" y="66674"/>
          <a:ext cx="1477829"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1240155</xdr:colOff>
      <xdr:row>0</xdr:row>
      <xdr:rowOff>66675</xdr:rowOff>
    </xdr:from>
    <xdr:to>
      <xdr:col>3</xdr:col>
      <xdr:colOff>272417</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293370</xdr:colOff>
      <xdr:row>0</xdr:row>
      <xdr:rowOff>66675</xdr:rowOff>
    </xdr:from>
    <xdr:to>
      <xdr:col>4</xdr:col>
      <xdr:colOff>835237</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4</xdr:col>
      <xdr:colOff>835237</xdr:colOff>
      <xdr:row>0</xdr:row>
      <xdr:rowOff>66675</xdr:rowOff>
    </xdr:from>
    <xdr:to>
      <xdr:col>6</xdr:col>
      <xdr:colOff>345021</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358429</xdr:colOff>
      <xdr:row>0</xdr:row>
      <xdr:rowOff>66675</xdr:rowOff>
    </xdr:from>
    <xdr:to>
      <xdr:col>8</xdr:col>
      <xdr:colOff>106827</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118187</xdr:colOff>
      <xdr:row>0</xdr:row>
      <xdr:rowOff>66675</xdr:rowOff>
    </xdr:from>
    <xdr:to>
      <xdr:col>9</xdr:col>
      <xdr:colOff>603319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9</xdr:col>
      <xdr:colOff>547158</xdr:colOff>
      <xdr:row>1</xdr:row>
      <xdr:rowOff>773472</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1196975</xdr:colOff>
      <xdr:row>0</xdr:row>
      <xdr:rowOff>310604</xdr:rowOff>
    </xdr:from>
    <xdr:to>
      <xdr:col>8</xdr:col>
      <xdr:colOff>105516</xdr:colOff>
      <xdr:row>1</xdr:row>
      <xdr:rowOff>291440</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03892" y="310604"/>
          <a:ext cx="5949343" cy="3406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SUA - 2025 Program Year Evaluation</a:t>
          </a:fld>
          <a:endParaRPr lang="en-US" sz="1600" b="1" i="1" u="none">
            <a:latin typeface="+mn-lt"/>
          </a:endParaRPr>
        </a:p>
      </xdr:txBody>
    </xdr:sp>
    <xdr:clientData/>
  </xdr:twoCellAnchor>
  <xdr:twoCellAnchor editAs="absolute">
    <xdr:from>
      <xdr:col>2</xdr:col>
      <xdr:colOff>1920240</xdr:colOff>
      <xdr:row>1</xdr:row>
      <xdr:rowOff>142875</xdr:rowOff>
    </xdr:from>
    <xdr:to>
      <xdr:col>7</xdr:col>
      <xdr:colOff>247356</xdr:colOff>
      <xdr:row>1</xdr:row>
      <xdr:rowOff>423080</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34565" y="504825"/>
          <a:ext cx="456252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184863</xdr:colOff>
      <xdr:row>1</xdr:row>
      <xdr:rowOff>95250</xdr:rowOff>
    </xdr:from>
    <xdr:to>
      <xdr:col>8</xdr:col>
      <xdr:colOff>833437</xdr:colOff>
      <xdr:row>1</xdr:row>
      <xdr:rowOff>316230</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8</xdr:col>
      <xdr:colOff>871509</xdr:colOff>
      <xdr:row>1</xdr:row>
      <xdr:rowOff>95250</xdr:rowOff>
    </xdr:from>
    <xdr:to>
      <xdr:col>9</xdr:col>
      <xdr:colOff>539529</xdr:colOff>
      <xdr:row>1</xdr:row>
      <xdr:rowOff>316230</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270588</xdr:colOff>
      <xdr:row>3</xdr:row>
      <xdr:rowOff>12123</xdr:rowOff>
    </xdr:from>
    <xdr:to>
      <xdr:col>9</xdr:col>
      <xdr:colOff>509096</xdr:colOff>
      <xdr:row>3</xdr:row>
      <xdr:rowOff>164523</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6</xdr:col>
      <xdr:colOff>494531</xdr:colOff>
      <xdr:row>3</xdr:row>
      <xdr:rowOff>1</xdr:rowOff>
    </xdr:from>
    <xdr:to>
      <xdr:col>7</xdr:col>
      <xdr:colOff>435360</xdr:colOff>
      <xdr:row>3</xdr:row>
      <xdr:rowOff>170584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727639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47625</xdr:colOff>
      <xdr:row>2</xdr:row>
      <xdr:rowOff>9524</xdr:rowOff>
    </xdr:from>
    <xdr:to>
      <xdr:col>8</xdr:col>
      <xdr:colOff>152400</xdr:colOff>
      <xdr:row>2</xdr:row>
      <xdr:rowOff>400049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10</xdr:col>
      <xdr:colOff>942975</xdr:colOff>
      <xdr:row>1</xdr:row>
      <xdr:rowOff>409575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299013</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312420</xdr:colOff>
      <xdr:row>0</xdr:row>
      <xdr:rowOff>66675</xdr:rowOff>
    </xdr:from>
    <xdr:to>
      <xdr:col>4</xdr:col>
      <xdr:colOff>849606</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853440</xdr:colOff>
      <xdr:row>0</xdr:row>
      <xdr:rowOff>66675</xdr:rowOff>
    </xdr:from>
    <xdr:to>
      <xdr:col>6</xdr:col>
      <xdr:colOff>771535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777240</xdr:colOff>
      <xdr:row>0</xdr:row>
      <xdr:rowOff>66675</xdr:rowOff>
    </xdr:from>
    <xdr:to>
      <xdr:col>9</xdr:col>
      <xdr:colOff>79987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85724</xdr:colOff>
      <xdr:row>0</xdr:row>
      <xdr:rowOff>66675</xdr:rowOff>
    </xdr:from>
    <xdr:to>
      <xdr:col>10</xdr:col>
      <xdr:colOff>944918</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887724</xdr:colOff>
      <xdr:row>1</xdr:row>
      <xdr:rowOff>773472</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1228725</xdr:colOff>
      <xdr:row>0</xdr:row>
      <xdr:rowOff>300021</xdr:rowOff>
    </xdr:from>
    <xdr:to>
      <xdr:col>9</xdr:col>
      <xdr:colOff>104799</xdr:colOff>
      <xdr:row>1</xdr:row>
      <xdr:rowOff>280857</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SUA - 2025 Program Year Evaluation</a:t>
          </a:fld>
          <a:endParaRPr lang="en-US" sz="1600" b="1" i="1" u="none"/>
        </a:p>
      </xdr:txBody>
    </xdr:sp>
    <xdr:clientData/>
  </xdr:twoCellAnchor>
  <xdr:twoCellAnchor editAs="absolute">
    <xdr:from>
      <xdr:col>2</xdr:col>
      <xdr:colOff>1920240</xdr:colOff>
      <xdr:row>1</xdr:row>
      <xdr:rowOff>142875</xdr:rowOff>
    </xdr:from>
    <xdr:to>
      <xdr:col>8</xdr:col>
      <xdr:colOff>19097</xdr:colOff>
      <xdr:row>1</xdr:row>
      <xdr:rowOff>423080</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34565" y="504825"/>
          <a:ext cx="455680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160020</xdr:colOff>
      <xdr:row>1</xdr:row>
      <xdr:rowOff>95250</xdr:rowOff>
    </xdr:from>
    <xdr:to>
      <xdr:col>10</xdr:col>
      <xdr:colOff>190500</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236220</xdr:colOff>
      <xdr:row>1</xdr:row>
      <xdr:rowOff>95250</xdr:rowOff>
    </xdr:from>
    <xdr:to>
      <xdr:col>10</xdr:col>
      <xdr:colOff>881903</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404206</xdr:colOff>
      <xdr:row>2</xdr:row>
      <xdr:rowOff>116032</xdr:rowOff>
    </xdr:from>
    <xdr:to>
      <xdr:col>10</xdr:col>
      <xdr:colOff>884274</xdr:colOff>
      <xdr:row>3</xdr:row>
      <xdr:rowOff>174048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727639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737755</xdr:colOff>
      <xdr:row>1</xdr:row>
      <xdr:rowOff>409575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327785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331470</xdr:colOff>
      <xdr:row>0</xdr:row>
      <xdr:rowOff>66675</xdr:rowOff>
    </xdr:from>
    <xdr:to>
      <xdr:col>5</xdr:col>
      <xdr:colOff>409575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398145</xdr:colOff>
      <xdr:row>0</xdr:row>
      <xdr:rowOff>66675</xdr:rowOff>
    </xdr:from>
    <xdr:to>
      <xdr:col>7</xdr:col>
      <xdr:colOff>96462</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109797</xdr:colOff>
      <xdr:row>0</xdr:row>
      <xdr:rowOff>66675</xdr:rowOff>
    </xdr:from>
    <xdr:to>
      <xdr:col>8</xdr:col>
      <xdr:colOff>606483</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8</xdr:col>
      <xdr:colOff>619817</xdr:colOff>
      <xdr:row>0</xdr:row>
      <xdr:rowOff>66675</xdr:rowOff>
    </xdr:from>
    <xdr:to>
      <xdr:col>11</xdr:col>
      <xdr:colOff>735849</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678700</xdr:colOff>
      <xdr:row>1</xdr:row>
      <xdr:rowOff>773472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1228725</xdr:colOff>
      <xdr:row>0</xdr:row>
      <xdr:rowOff>300021</xdr:rowOff>
    </xdr:from>
    <xdr:to>
      <xdr:col>8</xdr:col>
      <xdr:colOff>629334</xdr:colOff>
      <xdr:row>1</xdr:row>
      <xdr:rowOff>280857</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SUA - 2025 Program Year Evaluation</a:t>
          </a:fld>
          <a:endParaRPr lang="en-US" sz="1600" b="1" i="1" u="none"/>
        </a:p>
      </xdr:txBody>
    </xdr:sp>
    <xdr:clientData/>
  </xdr:twoCellAnchor>
  <xdr:twoCellAnchor editAs="absolute">
    <xdr:from>
      <xdr:col>2</xdr:col>
      <xdr:colOff>1920240</xdr:colOff>
      <xdr:row>1</xdr:row>
      <xdr:rowOff>142875</xdr:rowOff>
    </xdr:from>
    <xdr:to>
      <xdr:col>7</xdr:col>
      <xdr:colOff>911773</xdr:colOff>
      <xdr:row>1</xdr:row>
      <xdr:rowOff>423080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34565" y="504825"/>
          <a:ext cx="456452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8</xdr:col>
      <xdr:colOff>686493</xdr:colOff>
      <xdr:row>1</xdr:row>
      <xdr:rowOff>95250</xdr:rowOff>
    </xdr:from>
    <xdr:to>
      <xdr:col>9</xdr:col>
      <xdr:colOff>579293</xdr:colOff>
      <xdr:row>1</xdr:row>
      <xdr:rowOff>316230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27536</xdr:colOff>
      <xdr:row>1</xdr:row>
      <xdr:rowOff>95250</xdr:rowOff>
    </xdr:from>
    <xdr:to>
      <xdr:col>11</xdr:col>
      <xdr:colOff>671080</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51955</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580159</xdr:colOff>
      <xdr:row>1</xdr:row>
      <xdr:rowOff>409575</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327785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331470</xdr:colOff>
      <xdr:row>0</xdr:row>
      <xdr:rowOff>66675</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198120</xdr:colOff>
      <xdr:row>0</xdr:row>
      <xdr:rowOff>66675</xdr:rowOff>
    </xdr:from>
    <xdr:to>
      <xdr:col>7</xdr:col>
      <xdr:colOff>184785</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198120</xdr:colOff>
      <xdr:row>0</xdr:row>
      <xdr:rowOff>66675</xdr:rowOff>
    </xdr:from>
    <xdr:to>
      <xdr:col>9</xdr:col>
      <xdr:colOff>43822</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47624</xdr:colOff>
      <xdr:row>0</xdr:row>
      <xdr:rowOff>66675</xdr:rowOff>
    </xdr:from>
    <xdr:to>
      <xdr:col>11</xdr:col>
      <xdr:colOff>577214</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529595</xdr:colOff>
      <xdr:row>1</xdr:row>
      <xdr:rowOff>1082386</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1228725</xdr:colOff>
      <xdr:row>0</xdr:row>
      <xdr:rowOff>300021</xdr:rowOff>
    </xdr:from>
    <xdr:to>
      <xdr:col>9</xdr:col>
      <xdr:colOff>66699</xdr:colOff>
      <xdr:row>1</xdr:row>
      <xdr:rowOff>280857</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SUA - 2025 Program Year Evaluation</a:t>
          </a:fld>
          <a:endParaRPr lang="en-US" sz="1600" b="1" i="1" u="none"/>
        </a:p>
      </xdr:txBody>
    </xdr:sp>
    <xdr:clientData/>
  </xdr:twoCellAnchor>
  <xdr:twoCellAnchor editAs="absolute">
    <xdr:from>
      <xdr:col>2</xdr:col>
      <xdr:colOff>1920240</xdr:colOff>
      <xdr:row>1</xdr:row>
      <xdr:rowOff>142875</xdr:rowOff>
    </xdr:from>
    <xdr:to>
      <xdr:col>8</xdr:col>
      <xdr:colOff>181001</xdr:colOff>
      <xdr:row>1</xdr:row>
      <xdr:rowOff>423080</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34565" y="504825"/>
          <a:ext cx="455678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121920</xdr:colOff>
      <xdr:row>1</xdr:row>
      <xdr:rowOff>95250</xdr:rowOff>
    </xdr:from>
    <xdr:to>
      <xdr:col>9</xdr:col>
      <xdr:colOff>767603</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11</xdr:col>
      <xdr:colOff>522025</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66675</xdr:colOff>
      <xdr:row>1</xdr:row>
      <xdr:rowOff>409575</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809587</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4</xdr:col>
      <xdr:colOff>7620</xdr:colOff>
      <xdr:row>0</xdr:row>
      <xdr:rowOff>66675</xdr:rowOff>
    </xdr:from>
    <xdr:to>
      <xdr:col>5</xdr:col>
      <xdr:colOff>666725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681990</xdr:colOff>
      <xdr:row>0</xdr:row>
      <xdr:rowOff>66675</xdr:rowOff>
    </xdr:from>
    <xdr:to>
      <xdr:col>7</xdr:col>
      <xdr:colOff>1083856</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1097280</xdr:colOff>
      <xdr:row>0</xdr:row>
      <xdr:rowOff>66675</xdr:rowOff>
    </xdr:from>
    <xdr:to>
      <xdr:col>9</xdr:col>
      <xdr:colOff>215419</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9</xdr:col>
      <xdr:colOff>226694</xdr:colOff>
      <xdr:row>0</xdr:row>
      <xdr:rowOff>66675</xdr:rowOff>
    </xdr:from>
    <xdr:to>
      <xdr:col>11</xdr:col>
      <xdr:colOff>66697</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9525</xdr:colOff>
      <xdr:row>1</xdr:row>
      <xdr:rowOff>773472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1228725</xdr:colOff>
      <xdr:row>0</xdr:row>
      <xdr:rowOff>300021</xdr:rowOff>
    </xdr:from>
    <xdr:to>
      <xdr:col>9</xdr:col>
      <xdr:colOff>236211</xdr:colOff>
      <xdr:row>1</xdr:row>
      <xdr:rowOff>280857</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SUA - 2025 Program Year Evaluation</a:t>
          </a:fld>
          <a:endParaRPr lang="en-US" sz="1600" b="1" i="1" u="none"/>
        </a:p>
      </xdr:txBody>
    </xdr:sp>
    <xdr:clientData/>
  </xdr:twoCellAnchor>
  <xdr:twoCellAnchor editAs="absolute">
    <xdr:from>
      <xdr:col>3</xdr:col>
      <xdr:colOff>19050</xdr:colOff>
      <xdr:row>1</xdr:row>
      <xdr:rowOff>142875</xdr:rowOff>
    </xdr:from>
    <xdr:to>
      <xdr:col>8</xdr:col>
      <xdr:colOff>350532</xdr:colOff>
      <xdr:row>1</xdr:row>
      <xdr:rowOff>423080</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238375" y="504825"/>
          <a:ext cx="45510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9</xdr:col>
      <xdr:colOff>293370</xdr:colOff>
      <xdr:row>1</xdr:row>
      <xdr:rowOff>95250</xdr:rowOff>
    </xdr:from>
    <xdr:to>
      <xdr:col>10</xdr:col>
      <xdr:colOff>133378</xdr:colOff>
      <xdr:row>1</xdr:row>
      <xdr:rowOff>316230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171450</xdr:colOff>
      <xdr:row>1</xdr:row>
      <xdr:rowOff>95250</xdr:rowOff>
    </xdr:from>
    <xdr:to>
      <xdr:col>11</xdr:col>
      <xdr:colOff>1905</xdr:colOff>
      <xdr:row>1</xdr:row>
      <xdr:rowOff>316230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SUA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2</xdr:col>
      <xdr:colOff>803881</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985405</xdr:colOff>
      <xdr:row>1</xdr:row>
      <xdr:rowOff>129886</xdr:rowOff>
    </xdr:from>
    <xdr:to>
      <xdr:col>10</xdr:col>
      <xdr:colOff>160510</xdr:colOff>
      <xdr:row>1</xdr:row>
      <xdr:rowOff>358486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8658</xdr:colOff>
      <xdr:row>2</xdr:row>
      <xdr:rowOff>34634</xdr:rowOff>
    </xdr:from>
    <xdr:to>
      <xdr:col>10</xdr:col>
      <xdr:colOff>311726</xdr:colOff>
      <xdr:row>5</xdr:row>
      <xdr:rowOff>2597</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17318</xdr:colOff>
      <xdr:row>1</xdr:row>
      <xdr:rowOff>121227</xdr:rowOff>
    </xdr:from>
    <xdr:to>
      <xdr:col>3</xdr:col>
      <xdr:colOff>57948</xdr:colOff>
      <xdr:row>1</xdr:row>
      <xdr:rowOff>349827</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7620</xdr:colOff>
      <xdr:row>1</xdr:row>
      <xdr:rowOff>0</xdr:rowOff>
    </xdr:from>
    <xdr:to>
      <xdr:col>10</xdr:col>
      <xdr:colOff>803391</xdr:colOff>
      <xdr:row>1</xdr:row>
      <xdr:rowOff>411480</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7620</xdr:colOff>
      <xdr:row>0</xdr:row>
      <xdr:rowOff>68579</xdr:rowOff>
    </xdr:from>
    <xdr:to>
      <xdr:col>2</xdr:col>
      <xdr:colOff>1240051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1251585</xdr:colOff>
      <xdr:row>0</xdr:row>
      <xdr:rowOff>68580</xdr:rowOff>
    </xdr:from>
    <xdr:to>
      <xdr:col>3</xdr:col>
      <xdr:colOff>975379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68580</xdr:rowOff>
    </xdr:from>
    <xdr:to>
      <xdr:col>4</xdr:col>
      <xdr:colOff>179904</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198813</xdr:colOff>
      <xdr:row>0</xdr:row>
      <xdr:rowOff>68580</xdr:rowOff>
    </xdr:from>
    <xdr:to>
      <xdr:col>6</xdr:col>
      <xdr:colOff>294063</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305493</xdr:colOff>
      <xdr:row>0</xdr:row>
      <xdr:rowOff>68580</xdr:rowOff>
    </xdr:from>
    <xdr:to>
      <xdr:col>8</xdr:col>
      <xdr:colOff>543964</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8</xdr:col>
      <xdr:colOff>555393</xdr:colOff>
      <xdr:row>0</xdr:row>
      <xdr:rowOff>68580</xdr:rowOff>
    </xdr:from>
    <xdr:to>
      <xdr:col>10</xdr:col>
      <xdr:colOff>805347</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864987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449579</xdr:rowOff>
    </xdr:from>
    <xdr:to>
      <xdr:col>10</xdr:col>
      <xdr:colOff>751257</xdr:colOff>
      <xdr:row>1</xdr:row>
      <xdr:rowOff>771567</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1226820</xdr:colOff>
      <xdr:row>0</xdr:row>
      <xdr:rowOff>345949</xdr:rowOff>
    </xdr:from>
    <xdr:to>
      <xdr:col>8</xdr:col>
      <xdr:colOff>570658</xdr:colOff>
      <xdr:row>1</xdr:row>
      <xdr:rowOff>233023</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49111" y="347854"/>
          <a:ext cx="5931502"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911FC25-2757-4D03-8E3E-D4F4A19F802E}" type="TxLink">
            <a:rPr lang="en-US" sz="1000" b="0" i="0" u="none" strike="noStrike">
              <a:solidFill>
                <a:srgbClr val="000000"/>
              </a:solidFill>
              <a:latin typeface="Arial"/>
              <a:cs typeface="Arial"/>
            </a:rPr>
            <a:pPr algn="ctr"/>
            <a:t>SUA - 2025 EE Portfolio Information</a:t>
          </a:fld>
          <a:endParaRPr lang="en-US" sz="1600" b="1" i="1" u="none"/>
        </a:p>
      </xdr:txBody>
    </xdr:sp>
    <xdr:clientData/>
  </xdr:twoCellAnchor>
  <xdr:twoCellAnchor editAs="absolute">
    <xdr:from>
      <xdr:col>3</xdr:col>
      <xdr:colOff>188595</xdr:colOff>
      <xdr:row>1</xdr:row>
      <xdr:rowOff>146685</xdr:rowOff>
    </xdr:from>
    <xdr:to>
      <xdr:col>7</xdr:col>
      <xdr:colOff>488728</xdr:colOff>
      <xdr:row>1</xdr:row>
      <xdr:rowOff>426890</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45995" y="513830"/>
          <a:ext cx="45604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23553</xdr:colOff>
      <xdr:row>1</xdr:row>
      <xdr:rowOff>99060</xdr:rowOff>
    </xdr:from>
    <xdr:to>
      <xdr:col>10</xdr:col>
      <xdr:colOff>48318</xdr:colOff>
      <xdr:row>1</xdr:row>
      <xdr:rowOff>314325</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105468</xdr:colOff>
      <xdr:row>1</xdr:row>
      <xdr:rowOff>99060</xdr:rowOff>
    </xdr:from>
    <xdr:to>
      <xdr:col>10</xdr:col>
      <xdr:colOff>743698</xdr:colOff>
      <xdr:row>1</xdr:row>
      <xdr:rowOff>327660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26670</xdr:colOff>
      <xdr:row>1</xdr:row>
      <xdr:rowOff>120015</xdr:rowOff>
    </xdr:from>
    <xdr:to>
      <xdr:col>2</xdr:col>
      <xdr:colOff>177183</xdr:colOff>
      <xdr:row>1</xdr:row>
      <xdr:rowOff>348615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444939</xdr:colOff>
      <xdr:row>1</xdr:row>
      <xdr:rowOff>338051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1021083</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333375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758251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28575</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359933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1</xdr:col>
      <xdr:colOff>1070613</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300186</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8</xdr:col>
      <xdr:colOff>639907</xdr:colOff>
      <xdr:row>1</xdr:row>
      <xdr:rowOff>409575</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1232361</xdr:colOff>
      <xdr:row>0</xdr:row>
      <xdr:rowOff>66675</xdr:rowOff>
    </xdr:from>
    <xdr:to>
      <xdr:col>4</xdr:col>
      <xdr:colOff>310424</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323676</xdr:colOff>
      <xdr:row>0</xdr:row>
      <xdr:rowOff>66675</xdr:rowOff>
    </xdr:from>
    <xdr:to>
      <xdr:col>5</xdr:col>
      <xdr:colOff>337002</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352252</xdr:colOff>
      <xdr:row>0</xdr:row>
      <xdr:rowOff>66675</xdr:rowOff>
    </xdr:from>
    <xdr:to>
      <xdr:col>6</xdr:col>
      <xdr:colOff>159916</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171277</xdr:colOff>
      <xdr:row>0</xdr:row>
      <xdr:rowOff>66675</xdr:rowOff>
    </xdr:from>
    <xdr:to>
      <xdr:col>6</xdr:col>
      <xdr:colOff>1633979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1647651</xdr:colOff>
      <xdr:row>0</xdr:row>
      <xdr:rowOff>66675</xdr:rowOff>
    </xdr:from>
    <xdr:to>
      <xdr:col>8</xdr:col>
      <xdr:colOff>643811</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843858</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3</xdr:col>
      <xdr:colOff>1211406</xdr:colOff>
      <xdr:row>0</xdr:row>
      <xdr:rowOff>300021</xdr:rowOff>
    </xdr:from>
    <xdr:to>
      <xdr:col>6</xdr:col>
      <xdr:colOff>1657178</xdr:colOff>
      <xdr:row>1</xdr:row>
      <xdr:rowOff>280857</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SUA - 2025 EE Portfolio Information</a:t>
          </a:fld>
          <a:endParaRPr lang="en-US" sz="1600" b="1" i="1" u="none"/>
        </a:p>
      </xdr:txBody>
    </xdr:sp>
    <xdr:clientData/>
  </xdr:twoCellAnchor>
  <xdr:twoCellAnchor editAs="absolute">
    <xdr:from>
      <xdr:col>3</xdr:col>
      <xdr:colOff>1904826</xdr:colOff>
      <xdr:row>1</xdr:row>
      <xdr:rowOff>142875</xdr:rowOff>
    </xdr:from>
    <xdr:to>
      <xdr:col>6</xdr:col>
      <xdr:colOff>965671</xdr:colOff>
      <xdr:row>1</xdr:row>
      <xdr:rowOff>423080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1714327</xdr:colOff>
      <xdr:row>1</xdr:row>
      <xdr:rowOff>95250</xdr:rowOff>
    </xdr:from>
    <xdr:to>
      <xdr:col>7</xdr:col>
      <xdr:colOff>363469</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7</xdr:col>
      <xdr:colOff>417022</xdr:colOff>
      <xdr:row>1</xdr:row>
      <xdr:rowOff>95250</xdr:rowOff>
    </xdr:from>
    <xdr:to>
      <xdr:col>8</xdr:col>
      <xdr:colOff>571439</xdr:colOff>
      <xdr:row>1</xdr:row>
      <xdr:rowOff>316230</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389658</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1034761</xdr:colOff>
      <xdr:row>3</xdr:row>
      <xdr:rowOff>6061</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10</xdr:col>
      <xdr:colOff>147206</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775260</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327743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66675</xdr:rowOff>
    </xdr:from>
    <xdr:to>
      <xdr:col>5</xdr:col>
      <xdr:colOff>34297</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57150</xdr:colOff>
      <xdr:row>0</xdr:row>
      <xdr:rowOff>66675</xdr:rowOff>
    </xdr:from>
    <xdr:to>
      <xdr:col>6</xdr:col>
      <xdr:colOff>630512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651510</xdr:colOff>
      <xdr:row>0</xdr:row>
      <xdr:rowOff>66675</xdr:rowOff>
    </xdr:from>
    <xdr:to>
      <xdr:col>8</xdr:col>
      <xdr:colOff>337161</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358139</xdr:colOff>
      <xdr:row>0</xdr:row>
      <xdr:rowOff>66675</xdr:rowOff>
    </xdr:from>
    <xdr:to>
      <xdr:col>10</xdr:col>
      <xdr:colOff>529526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447673</xdr:rowOff>
    </xdr:from>
    <xdr:to>
      <xdr:col>10</xdr:col>
      <xdr:colOff>474332</xdr:colOff>
      <xdr:row>1</xdr:row>
      <xdr:rowOff>943840</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1228725</xdr:colOff>
      <xdr:row>0</xdr:row>
      <xdr:rowOff>300021</xdr:rowOff>
    </xdr:from>
    <xdr:to>
      <xdr:col>8</xdr:col>
      <xdr:colOff>360064</xdr:colOff>
      <xdr:row>1</xdr:row>
      <xdr:rowOff>280857</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43050" y="300021"/>
          <a:ext cx="594171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SUA - 2025 EE Portfolio Information</a:t>
          </a:fld>
          <a:endParaRPr lang="en-US" sz="1600" b="1" i="1" u="none"/>
        </a:p>
      </xdr:txBody>
    </xdr:sp>
    <xdr:clientData/>
  </xdr:twoCellAnchor>
  <xdr:twoCellAnchor editAs="absolute">
    <xdr:from>
      <xdr:col>2</xdr:col>
      <xdr:colOff>1922145</xdr:colOff>
      <xdr:row>1</xdr:row>
      <xdr:rowOff>142875</xdr:rowOff>
    </xdr:from>
    <xdr:to>
      <xdr:col>7</xdr:col>
      <xdr:colOff>548687</xdr:colOff>
      <xdr:row>1</xdr:row>
      <xdr:rowOff>423080</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415290</xdr:colOff>
      <xdr:row>1</xdr:row>
      <xdr:rowOff>95250</xdr:rowOff>
    </xdr:from>
    <xdr:to>
      <xdr:col>9</xdr:col>
      <xdr:colOff>173575</xdr:colOff>
      <xdr:row>1</xdr:row>
      <xdr:rowOff>316230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217170</xdr:colOff>
      <xdr:row>1</xdr:row>
      <xdr:rowOff>95250</xdr:rowOff>
    </xdr:from>
    <xdr:to>
      <xdr:col>10</xdr:col>
      <xdr:colOff>474412</xdr:colOff>
      <xdr:row>1</xdr:row>
      <xdr:rowOff>316230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445773</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30306</xdr:colOff>
      <xdr:row>3</xdr:row>
      <xdr:rowOff>127288</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3</xdr:col>
      <xdr:colOff>727639</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327743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66675</xdr:rowOff>
    </xdr:from>
    <xdr:to>
      <xdr:col>5</xdr:col>
      <xdr:colOff>34297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66675</xdr:rowOff>
    </xdr:from>
    <xdr:to>
      <xdr:col>7</xdr:col>
      <xdr:colOff>43840</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66675</xdr:colOff>
      <xdr:row>0</xdr:row>
      <xdr:rowOff>66675</xdr:rowOff>
    </xdr:from>
    <xdr:to>
      <xdr:col>8</xdr:col>
      <xdr:colOff>156247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161924</xdr:colOff>
      <xdr:row>0</xdr:row>
      <xdr:rowOff>66675</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51088</xdr:colOff>
      <xdr:row>1</xdr:row>
      <xdr:rowOff>447673</xdr:rowOff>
    </xdr:from>
    <xdr:to>
      <xdr:col>10</xdr:col>
      <xdr:colOff>258732</xdr:colOff>
      <xdr:row>1</xdr:row>
      <xdr:rowOff>909204</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1228725</xdr:colOff>
      <xdr:row>0</xdr:row>
      <xdr:rowOff>300021</xdr:rowOff>
    </xdr:from>
    <xdr:to>
      <xdr:col>8</xdr:col>
      <xdr:colOff>180999</xdr:colOff>
      <xdr:row>1</xdr:row>
      <xdr:rowOff>280857</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SUA - 2025 EE Portfolio Information</a:t>
          </a:fld>
          <a:endParaRPr lang="en-US" sz="1600" b="1" i="1" u="none"/>
        </a:p>
      </xdr:txBody>
    </xdr:sp>
    <xdr:clientData/>
  </xdr:twoCellAnchor>
  <xdr:twoCellAnchor editAs="absolute">
    <xdr:from>
      <xdr:col>2</xdr:col>
      <xdr:colOff>1922145</xdr:colOff>
      <xdr:row>1</xdr:row>
      <xdr:rowOff>142875</xdr:rowOff>
    </xdr:from>
    <xdr:to>
      <xdr:col>7</xdr:col>
      <xdr:colOff>861095</xdr:colOff>
      <xdr:row>1</xdr:row>
      <xdr:rowOff>423080</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236220</xdr:colOff>
      <xdr:row>1</xdr:row>
      <xdr:rowOff>95250</xdr:rowOff>
    </xdr:from>
    <xdr:to>
      <xdr:col>8</xdr:col>
      <xdr:colOff>872490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1052079</xdr:colOff>
      <xdr:row>3</xdr:row>
      <xdr:rowOff>205219</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1253192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1247775</xdr:colOff>
      <xdr:row>0</xdr:row>
      <xdr:rowOff>66675</xdr:rowOff>
    </xdr:from>
    <xdr:to>
      <xdr:col>4</xdr:col>
      <xdr:colOff>260910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274320</xdr:colOff>
      <xdr:row>0</xdr:row>
      <xdr:rowOff>66675</xdr:rowOff>
    </xdr:from>
    <xdr:to>
      <xdr:col>5</xdr:col>
      <xdr:colOff>695274</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710565</xdr:colOff>
      <xdr:row>0</xdr:row>
      <xdr:rowOff>66675</xdr:rowOff>
    </xdr:from>
    <xdr:to>
      <xdr:col>7</xdr:col>
      <xdr:colOff>79998</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66675</xdr:rowOff>
    </xdr:from>
    <xdr:to>
      <xdr:col>8</xdr:col>
      <xdr:colOff>506667</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520064</xdr:colOff>
      <xdr:row>0</xdr:row>
      <xdr:rowOff>66675</xdr:rowOff>
    </xdr:from>
    <xdr:to>
      <xdr:col>10</xdr:col>
      <xdr:colOff>691514</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643895</xdr:colOff>
      <xdr:row>1</xdr:row>
      <xdr:rowOff>773472</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1228725</xdr:colOff>
      <xdr:row>0</xdr:row>
      <xdr:rowOff>300021</xdr:rowOff>
    </xdr:from>
    <xdr:to>
      <xdr:col>8</xdr:col>
      <xdr:colOff>529585</xdr:colOff>
      <xdr:row>1</xdr:row>
      <xdr:rowOff>280857</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43050" y="300021"/>
          <a:ext cx="593978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SUA - 2025 EE Portfolio Information</a:t>
          </a:fld>
          <a:endParaRPr lang="en-US" sz="1600" b="1" i="1" u="none"/>
        </a:p>
      </xdr:txBody>
    </xdr:sp>
    <xdr:clientData/>
  </xdr:twoCellAnchor>
  <xdr:twoCellAnchor editAs="absolute">
    <xdr:from>
      <xdr:col>3</xdr:col>
      <xdr:colOff>520065</xdr:colOff>
      <xdr:row>1</xdr:row>
      <xdr:rowOff>142875</xdr:rowOff>
    </xdr:from>
    <xdr:to>
      <xdr:col>7</xdr:col>
      <xdr:colOff>889640</xdr:colOff>
      <xdr:row>1</xdr:row>
      <xdr:rowOff>423080</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586740</xdr:colOff>
      <xdr:row>1</xdr:row>
      <xdr:rowOff>95250</xdr:rowOff>
    </xdr:from>
    <xdr:to>
      <xdr:col>9</xdr:col>
      <xdr:colOff>340995</xdr:colOff>
      <xdr:row>1</xdr:row>
      <xdr:rowOff>316230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636325</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9526</xdr:rowOff>
    </xdr:from>
    <xdr:to>
      <xdr:col>2</xdr:col>
      <xdr:colOff>1097283</xdr:colOff>
      <xdr:row>7</xdr:row>
      <xdr:rowOff>47626</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9525</xdr:colOff>
      <xdr:row>12</xdr:row>
      <xdr:rowOff>9525</xdr:rowOff>
    </xdr:from>
    <xdr:to>
      <xdr:col>2</xdr:col>
      <xdr:colOff>1087549</xdr:colOff>
      <xdr:row>13</xdr:row>
      <xdr:rowOff>47625</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O23" totalsRowShown="0" headerRowDxfId="127" headerRowBorderDxfId="126" tableBorderDxfId="125" totalsRowBorderDxfId="124" headerRowCellStyle="Heading 2">
  <tableColumns count="13">
    <tableColumn id="1" xr3:uid="{00000000-0010-0000-0000-000001000000}" name="Event No." dataDxfId="123" dataCellStyle="Normal - Numbering">
      <calculatedColumnFormula>ROW()-6</calculatedColumnFormula>
    </tableColumn>
    <tableColumn id="12" xr3:uid="{00000000-0010-0000-0000-00000C000000}" name="Test" dataDxfId="122"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21"/>
    <tableColumn id="3" xr3:uid="{00000000-0010-0000-0000-000003000000}" name="Class" dataDxfId="120"/>
    <tableColumn id="4" xr3:uid="{00000000-0010-0000-0000-000004000000}" name="Class Description" dataDxfId="119"/>
    <tableColumn id="5" xr3:uid="{00000000-0010-0000-0000-000005000000}" name="Training Location" dataDxfId="118"/>
    <tableColumn id="6" xr3:uid="{00000000-0010-0000-0000-000006000000}" name="Sponsor" dataDxfId="117"/>
    <tableColumn id="7" xr3:uid="{00000000-0010-0000-0000-000007000000}" name="No. of Attendees_x000a_(A)" dataDxfId="116" dataCellStyle="Number_#,###"/>
    <tableColumn id="8" xr3:uid="{00000000-0010-0000-0000-000008000000}" name="Length of Session_x000a_(B)" dataDxfId="115" dataCellStyle="Number_#,###"/>
    <tableColumn id="9" xr3:uid="{00000000-0010-0000-0000-000009000000}" name="Training Session Man-Hours_x000a_(A x B)" dataDxfId="114" dataCellStyle="Number_#,###"/>
    <tableColumn id="10" xr3:uid="{00000000-0010-0000-0000-00000A000000}" name="Any Certificates Awarded?_x000a_(Y or N)" dataDxfId="113"/>
    <tableColumn id="11" xr3:uid="{00000000-0010-0000-0000-00000B000000}" name="# of Certificates Awarded" dataDxfId="112"/>
    <tableColumn id="13" xr3:uid="{8D57C227-B5C0-4A05-A960-4663AAA5E75F}" name="Column1" dataDxfId="11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54" totalsRowShown="0" headerRowDxfId="110" headerRowBorderDxfId="109" tableBorderDxfId="108" totalsRowBorderDxfId="107" headerRowCellStyle="Heading 2">
  <tableColumns count="12">
    <tableColumn id="1" xr3:uid="{00000000-0010-0000-0100-000001000000}" name="Event No." dataDxfId="106" dataCellStyle="Normal - Numbering">
      <calculatedColumnFormula>ROW()-6</calculatedColumnFormula>
    </tableColumn>
    <tableColumn id="12" xr3:uid="{00000000-0010-0000-0100-00000C000000}" name="Test" dataDxfId="105"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104"/>
    <tableColumn id="3" xr3:uid="{00000000-0010-0000-0100-000003000000}" name="Class" dataDxfId="103"/>
    <tableColumn id="4" xr3:uid="{00000000-0010-0000-0100-000004000000}" name="Class Description" dataDxfId="102"/>
    <tableColumn id="5" xr3:uid="{00000000-0010-0000-0100-000005000000}" name="Training Location" dataDxfId="101"/>
    <tableColumn id="6" xr3:uid="{00000000-0010-0000-0100-000006000000}" name="Sponsor" dataDxfId="100"/>
    <tableColumn id="7" xr3:uid="{00000000-0010-0000-0100-000007000000}" name="No. of Attendees_x000a_(A)" dataDxfId="99" dataCellStyle="Number_#,###"/>
    <tableColumn id="8" xr3:uid="{00000000-0010-0000-0100-000008000000}" name="Length of Session_x000a_(B)" dataDxfId="98" dataCellStyle="Number_#,###"/>
    <tableColumn id="9" xr3:uid="{00000000-0010-0000-0100-000009000000}" name="Training Session Man-Hours_x000a_(A x B)" dataDxfId="97" dataCellStyle="Number_#,###"/>
    <tableColumn id="10" xr3:uid="{00000000-0010-0000-0100-00000A000000}" name="Any Certificates Awarded?_x000a_(Y or N)" dataDxfId="96"/>
    <tableColumn id="11" xr3:uid="{00000000-0010-0000-0100-00000B000000}" name="# of Certificates Awarded" dataDxfId="95"/>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Jlaboy@summitutilities.com"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CC21"/>
  <sheetViews>
    <sheetView showGridLines="0" showRowColHeaders="0" tabSelected="1" zoomScale="110" zoomScaleNormal="110" workbookViewId="0"/>
  </sheetViews>
  <sheetFormatPr defaultRowHeight="12.75"/>
  <cols>
    <col min="1" max="1" width="1" customWidth="1"/>
    <col min="2" max="82" width="1.7109375" customWidth="1"/>
    <col min="85" max="85" width="10.28515625" customWidth="1"/>
    <col min="86" max="86" width="2.42578125" customWidth="1"/>
  </cols>
  <sheetData>
    <row r="1" spans="2:81" ht="56.25" customHeight="1">
      <c r="E1" s="49"/>
      <c r="F1" s="49"/>
      <c r="G1" s="49"/>
      <c r="S1" s="292" t="s">
        <v>0</v>
      </c>
    </row>
    <row r="2" spans="2:81" ht="56.25" customHeight="1">
      <c r="E2" s="50"/>
      <c r="F2" s="50"/>
      <c r="G2" s="50"/>
      <c r="T2" s="293" t="s">
        <v>1</v>
      </c>
    </row>
    <row r="3" spans="2:81" ht="13.5" thickBot="1">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564"/>
      <c r="BF3" s="564"/>
      <c r="BG3" s="564"/>
      <c r="BH3" s="564"/>
      <c r="BI3" s="564"/>
      <c r="BJ3" s="564"/>
      <c r="BK3" s="564"/>
      <c r="BL3" s="564"/>
      <c r="BM3" s="564"/>
      <c r="BN3" s="564"/>
      <c r="BO3" s="564"/>
      <c r="BP3" s="564"/>
      <c r="BQ3" s="564"/>
      <c r="BR3" s="564"/>
      <c r="BS3" s="564"/>
      <c r="BT3" s="564"/>
      <c r="BU3" s="564"/>
      <c r="BV3" s="564"/>
      <c r="BW3" s="564"/>
      <c r="BX3" s="564"/>
      <c r="BY3" s="564"/>
      <c r="BZ3" s="564"/>
      <c r="CA3" s="564"/>
      <c r="CB3" s="564"/>
      <c r="CC3" s="564"/>
    </row>
    <row r="4" spans="2:81" ht="15.75">
      <c r="B4" s="656" t="s">
        <v>2</v>
      </c>
      <c r="C4" s="657"/>
      <c r="D4" s="657"/>
      <c r="E4" s="657"/>
      <c r="F4" s="657"/>
      <c r="G4" s="657"/>
      <c r="H4" s="657"/>
      <c r="I4" s="657"/>
      <c r="J4" s="657"/>
      <c r="K4" s="657"/>
      <c r="L4" s="657"/>
      <c r="M4" s="657"/>
      <c r="N4" s="657"/>
      <c r="O4" s="657"/>
      <c r="P4" s="657"/>
      <c r="Q4" s="658"/>
      <c r="R4" s="656" t="s">
        <v>3</v>
      </c>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7"/>
      <c r="AT4" s="657"/>
      <c r="AU4" s="657"/>
      <c r="AV4" s="657"/>
      <c r="AW4" s="657"/>
      <c r="AX4" s="657"/>
      <c r="AY4" s="657"/>
      <c r="AZ4" s="657"/>
      <c r="BA4" s="657"/>
      <c r="BB4" s="657"/>
      <c r="BC4" s="657"/>
      <c r="BD4" s="657"/>
      <c r="BE4" s="657"/>
      <c r="BF4" s="657"/>
      <c r="BG4" s="657"/>
      <c r="BH4" s="657"/>
      <c r="BI4" s="657"/>
      <c r="BJ4" s="657"/>
      <c r="BK4" s="657"/>
      <c r="BL4" s="657"/>
      <c r="BM4" s="657"/>
      <c r="BN4" s="657"/>
      <c r="BO4" s="657"/>
      <c r="BP4" s="657"/>
      <c r="BQ4" s="657"/>
      <c r="BR4" s="657"/>
      <c r="BS4" s="657"/>
      <c r="BT4" s="657"/>
      <c r="BU4" s="657"/>
      <c r="BV4" s="657"/>
      <c r="BW4" s="657"/>
      <c r="BX4" s="657"/>
      <c r="BY4" s="657"/>
      <c r="BZ4" s="657"/>
      <c r="CA4" s="657"/>
      <c r="CB4" s="657"/>
      <c r="CC4" s="658"/>
    </row>
    <row r="5" spans="2:81" ht="9.9499999999999993" customHeight="1">
      <c r="B5" s="156"/>
      <c r="C5" s="75"/>
      <c r="D5" s="75"/>
      <c r="E5" s="75"/>
      <c r="F5" s="75"/>
      <c r="G5" s="75"/>
      <c r="H5" s="75"/>
      <c r="I5" s="75"/>
      <c r="J5" s="75"/>
      <c r="K5" s="75"/>
      <c r="L5" s="75"/>
      <c r="M5" s="75"/>
      <c r="N5" s="75"/>
      <c r="O5" s="75"/>
      <c r="P5" s="75"/>
      <c r="Q5" s="157"/>
      <c r="R5" s="156"/>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157"/>
    </row>
    <row r="6" spans="2:81" ht="9.9499999999999993" customHeight="1">
      <c r="B6" s="156"/>
      <c r="C6" s="75"/>
      <c r="D6" s="75"/>
      <c r="E6" s="75"/>
      <c r="F6" s="75"/>
      <c r="G6" s="75"/>
      <c r="H6" s="75"/>
      <c r="I6" s="75"/>
      <c r="J6" s="75"/>
      <c r="K6" s="75"/>
      <c r="L6" s="75"/>
      <c r="M6" s="75"/>
      <c r="N6" s="75"/>
      <c r="O6" s="75"/>
      <c r="P6" s="75"/>
      <c r="Q6" s="157"/>
      <c r="R6" s="156"/>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157"/>
    </row>
    <row r="7" spans="2:81" ht="9.9499999999999993" customHeight="1">
      <c r="B7" s="156"/>
      <c r="C7" s="75"/>
      <c r="D7" s="75"/>
      <c r="E7" s="75"/>
      <c r="F7" s="75"/>
      <c r="G7" s="75"/>
      <c r="H7" s="75"/>
      <c r="I7" s="75"/>
      <c r="J7" s="75"/>
      <c r="K7" s="75"/>
      <c r="L7" s="75"/>
      <c r="M7" s="75"/>
      <c r="N7" s="75"/>
      <c r="O7" s="75"/>
      <c r="P7" s="75"/>
      <c r="Q7" s="157"/>
      <c r="R7" s="156"/>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157"/>
    </row>
    <row r="8" spans="2:81" ht="9.9499999999999993" customHeight="1">
      <c r="B8" s="156"/>
      <c r="C8" s="75"/>
      <c r="D8" s="75"/>
      <c r="E8" s="75"/>
      <c r="F8" s="75"/>
      <c r="G8" s="75"/>
      <c r="H8" s="75"/>
      <c r="I8" s="75"/>
      <c r="J8" s="75"/>
      <c r="K8" s="75"/>
      <c r="L8" s="75"/>
      <c r="M8" s="75"/>
      <c r="N8" s="75"/>
      <c r="O8" s="75"/>
      <c r="P8" s="75"/>
      <c r="Q8" s="157"/>
      <c r="R8" s="156"/>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157"/>
    </row>
    <row r="9" spans="2:81" ht="9.9499999999999993" customHeight="1">
      <c r="B9" s="156"/>
      <c r="C9" s="75"/>
      <c r="D9" s="75"/>
      <c r="E9" s="75"/>
      <c r="F9" s="75"/>
      <c r="G9" s="75"/>
      <c r="H9" s="75"/>
      <c r="I9" s="75"/>
      <c r="J9" s="75"/>
      <c r="K9" s="75"/>
      <c r="L9" s="75"/>
      <c r="M9" s="75"/>
      <c r="N9" s="75"/>
      <c r="O9" s="75"/>
      <c r="P9" s="75"/>
      <c r="Q9" s="157"/>
      <c r="R9" s="156"/>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157"/>
    </row>
    <row r="10" spans="2:81" ht="9.9499999999999993" customHeight="1">
      <c r="B10" s="156"/>
      <c r="C10" s="75"/>
      <c r="D10" s="75"/>
      <c r="E10" s="75"/>
      <c r="F10" s="75"/>
      <c r="G10" s="75"/>
      <c r="H10" s="75"/>
      <c r="I10" s="75"/>
      <c r="J10" s="75"/>
      <c r="K10" s="75"/>
      <c r="L10" s="75"/>
      <c r="M10" s="75"/>
      <c r="N10" s="75"/>
      <c r="O10" s="75"/>
      <c r="P10" s="75"/>
      <c r="Q10" s="157"/>
      <c r="R10" s="156"/>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157"/>
    </row>
    <row r="11" spans="2:81" ht="9.9499999999999993" customHeight="1" thickBot="1">
      <c r="B11" s="158"/>
      <c r="C11" s="160"/>
      <c r="D11" s="160"/>
      <c r="E11" s="160"/>
      <c r="F11" s="160"/>
      <c r="G11" s="160"/>
      <c r="H11" s="160"/>
      <c r="I11" s="160"/>
      <c r="J11" s="160"/>
      <c r="K11" s="160"/>
      <c r="L11" s="160"/>
      <c r="M11" s="160"/>
      <c r="N11" s="160"/>
      <c r="O11" s="160"/>
      <c r="P11" s="160"/>
      <c r="Q11" s="159"/>
      <c r="R11" s="158"/>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59"/>
    </row>
    <row r="14" spans="2:81" ht="13.5" thickBot="1"/>
    <row r="15" spans="2:81" ht="15.75">
      <c r="B15" s="656" t="s">
        <v>4</v>
      </c>
      <c r="C15" s="657"/>
      <c r="D15" s="657"/>
      <c r="E15" s="657"/>
      <c r="F15" s="657"/>
      <c r="G15" s="657"/>
      <c r="H15" s="657"/>
      <c r="I15" s="657"/>
      <c r="J15" s="657"/>
      <c r="K15" s="657"/>
      <c r="L15" s="657"/>
      <c r="M15" s="657"/>
      <c r="N15" s="657"/>
      <c r="O15" s="657"/>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8"/>
      <c r="AP15" s="656" t="s">
        <v>5</v>
      </c>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8"/>
      <c r="BN15" s="656" t="s">
        <v>6</v>
      </c>
      <c r="BO15" s="657"/>
      <c r="BP15" s="657"/>
      <c r="BQ15" s="657"/>
      <c r="BR15" s="657"/>
      <c r="BS15" s="657"/>
      <c r="BT15" s="657"/>
      <c r="BU15" s="657"/>
      <c r="BV15" s="657"/>
      <c r="BW15" s="657"/>
      <c r="BX15" s="657"/>
      <c r="BY15" s="657"/>
      <c r="BZ15" s="657"/>
      <c r="CA15" s="657"/>
      <c r="CB15" s="657"/>
      <c r="CC15" s="658"/>
    </row>
    <row r="16" spans="2:81" ht="54.75" customHeight="1">
      <c r="B16" s="663" t="s">
        <v>7</v>
      </c>
      <c r="C16" s="660"/>
      <c r="D16" s="660"/>
      <c r="E16" s="660"/>
      <c r="F16" s="660"/>
      <c r="G16" s="660"/>
      <c r="H16" s="660"/>
      <c r="I16" s="664"/>
      <c r="J16" s="659" t="s">
        <v>8</v>
      </c>
      <c r="K16" s="660"/>
      <c r="L16" s="660"/>
      <c r="M16" s="660"/>
      <c r="N16" s="660"/>
      <c r="O16" s="660"/>
      <c r="P16" s="660"/>
      <c r="Q16" s="664"/>
      <c r="R16" s="659" t="s">
        <v>9</v>
      </c>
      <c r="S16" s="660"/>
      <c r="T16" s="660"/>
      <c r="U16" s="660"/>
      <c r="V16" s="660"/>
      <c r="W16" s="660"/>
      <c r="X16" s="660"/>
      <c r="Y16" s="664"/>
      <c r="Z16" s="659" t="s">
        <v>10</v>
      </c>
      <c r="AA16" s="660"/>
      <c r="AB16" s="660"/>
      <c r="AC16" s="660"/>
      <c r="AD16" s="660"/>
      <c r="AE16" s="660"/>
      <c r="AF16" s="660"/>
      <c r="AG16" s="664"/>
      <c r="AH16" s="659" t="s">
        <v>11</v>
      </c>
      <c r="AI16" s="660"/>
      <c r="AJ16" s="660"/>
      <c r="AK16" s="660"/>
      <c r="AL16" s="660"/>
      <c r="AM16" s="660"/>
      <c r="AN16" s="660"/>
      <c r="AO16" s="661"/>
      <c r="AP16" s="663" t="s">
        <v>12</v>
      </c>
      <c r="AQ16" s="660"/>
      <c r="AR16" s="660"/>
      <c r="AS16" s="660"/>
      <c r="AT16" s="660"/>
      <c r="AU16" s="660"/>
      <c r="AV16" s="660"/>
      <c r="AW16" s="664"/>
      <c r="AX16" s="659" t="s">
        <v>13</v>
      </c>
      <c r="AY16" s="660"/>
      <c r="AZ16" s="660"/>
      <c r="BA16" s="660"/>
      <c r="BB16" s="660"/>
      <c r="BC16" s="660"/>
      <c r="BD16" s="660"/>
      <c r="BE16" s="664"/>
      <c r="BF16" s="659" t="s">
        <v>14</v>
      </c>
      <c r="BG16" s="660"/>
      <c r="BH16" s="660"/>
      <c r="BI16" s="660"/>
      <c r="BJ16" s="660"/>
      <c r="BK16" s="660"/>
      <c r="BL16" s="660"/>
      <c r="BM16" s="661"/>
      <c r="BN16" s="663" t="s">
        <v>15</v>
      </c>
      <c r="BO16" s="660"/>
      <c r="BP16" s="660"/>
      <c r="BQ16" s="660"/>
      <c r="BR16" s="660"/>
      <c r="BS16" s="660"/>
      <c r="BT16" s="660"/>
      <c r="BU16" s="664"/>
      <c r="BV16" s="659" t="s">
        <v>16</v>
      </c>
      <c r="BW16" s="660"/>
      <c r="BX16" s="660"/>
      <c r="BY16" s="660"/>
      <c r="BZ16" s="660"/>
      <c r="CA16" s="660"/>
      <c r="CB16" s="660"/>
      <c r="CC16" s="661"/>
    </row>
    <row r="17" spans="2:81" ht="8.1" customHeight="1">
      <c r="B17" s="524"/>
      <c r="C17" s="565"/>
      <c r="D17" s="565"/>
      <c r="E17" s="565"/>
      <c r="F17" s="565"/>
      <c r="G17" s="565"/>
      <c r="H17" s="565"/>
      <c r="I17" s="525"/>
      <c r="J17" s="526"/>
      <c r="K17" s="565"/>
      <c r="L17" s="565"/>
      <c r="M17" s="565"/>
      <c r="N17" s="565"/>
      <c r="O17" s="565"/>
      <c r="P17" s="565"/>
      <c r="Q17" s="525"/>
      <c r="R17" s="526"/>
      <c r="S17" s="565"/>
      <c r="T17" s="565"/>
      <c r="U17" s="565"/>
      <c r="V17" s="565"/>
      <c r="W17" s="565"/>
      <c r="X17" s="565"/>
      <c r="Y17" s="525"/>
      <c r="Z17" s="526"/>
      <c r="AA17" s="565"/>
      <c r="AB17" s="565"/>
      <c r="AC17" s="565"/>
      <c r="AD17" s="565"/>
      <c r="AE17" s="565"/>
      <c r="AF17" s="565"/>
      <c r="AG17" s="525"/>
      <c r="AH17" s="526"/>
      <c r="AI17" s="565"/>
      <c r="AJ17" s="565"/>
      <c r="AK17" s="565"/>
      <c r="AL17" s="565"/>
      <c r="AM17" s="565"/>
      <c r="AN17" s="565"/>
      <c r="AO17" s="527"/>
      <c r="AP17" s="524"/>
      <c r="AQ17" s="565"/>
      <c r="AR17" s="565"/>
      <c r="AS17" s="565"/>
      <c r="AT17" s="565"/>
      <c r="AU17" s="565"/>
      <c r="AV17" s="565"/>
      <c r="AW17" s="525"/>
      <c r="AX17" s="526"/>
      <c r="AY17" s="565"/>
      <c r="AZ17" s="565"/>
      <c r="BA17" s="565"/>
      <c r="BB17" s="565"/>
      <c r="BC17" s="565"/>
      <c r="BD17" s="565"/>
      <c r="BE17" s="525"/>
      <c r="BF17" s="526"/>
      <c r="BG17" s="565"/>
      <c r="BH17" s="565"/>
      <c r="BI17" s="565"/>
      <c r="BJ17" s="565"/>
      <c r="BK17" s="565"/>
      <c r="BL17" s="565"/>
      <c r="BM17" s="527"/>
      <c r="BN17" s="524"/>
      <c r="BO17" s="565"/>
      <c r="BP17" s="565"/>
      <c r="BQ17" s="565"/>
      <c r="BR17" s="565"/>
      <c r="BS17" s="565"/>
      <c r="BT17" s="565"/>
      <c r="BU17" s="525"/>
      <c r="BV17" s="526"/>
      <c r="BW17" s="565"/>
      <c r="BX17" s="565"/>
      <c r="BY17" s="565"/>
      <c r="BZ17" s="565"/>
      <c r="CA17" s="565"/>
      <c r="CB17" s="565"/>
      <c r="CC17" s="527"/>
    </row>
    <row r="18" spans="2:81" ht="22.5" customHeight="1">
      <c r="B18" s="384"/>
      <c r="C18" s="662"/>
      <c r="D18" s="662"/>
      <c r="E18" s="662"/>
      <c r="F18" s="662"/>
      <c r="G18" s="662"/>
      <c r="H18" s="662"/>
      <c r="I18" s="385"/>
      <c r="J18" s="386"/>
      <c r="K18" s="662"/>
      <c r="L18" s="662"/>
      <c r="M18" s="662"/>
      <c r="N18" s="662"/>
      <c r="O18" s="662"/>
      <c r="P18" s="662"/>
      <c r="Q18" s="385"/>
      <c r="R18" s="386"/>
      <c r="S18" s="662"/>
      <c r="T18" s="662"/>
      <c r="U18" s="662"/>
      <c r="V18" s="662"/>
      <c r="W18" s="662"/>
      <c r="X18" s="662"/>
      <c r="Y18" s="385"/>
      <c r="Z18" s="386"/>
      <c r="AA18" s="662"/>
      <c r="AB18" s="662"/>
      <c r="AC18" s="662"/>
      <c r="AD18" s="662"/>
      <c r="AE18" s="662"/>
      <c r="AF18" s="662"/>
      <c r="AG18" s="385"/>
      <c r="AH18" s="386"/>
      <c r="AI18" s="662"/>
      <c r="AJ18" s="662"/>
      <c r="AK18" s="662"/>
      <c r="AL18" s="662"/>
      <c r="AM18" s="662"/>
      <c r="AN18" s="662"/>
      <c r="AO18" s="387"/>
      <c r="AP18" s="384"/>
      <c r="AQ18" s="662"/>
      <c r="AR18" s="662"/>
      <c r="AS18" s="662"/>
      <c r="AT18" s="662"/>
      <c r="AU18" s="662"/>
      <c r="AV18" s="662"/>
      <c r="AW18" s="385"/>
      <c r="AX18" s="386"/>
      <c r="AY18" s="662"/>
      <c r="AZ18" s="662"/>
      <c r="BA18" s="662"/>
      <c r="BB18" s="662"/>
      <c r="BC18" s="662"/>
      <c r="BD18" s="662"/>
      <c r="BE18" s="385"/>
      <c r="BF18" s="386"/>
      <c r="BG18" s="662"/>
      <c r="BH18" s="662"/>
      <c r="BI18" s="662"/>
      <c r="BJ18" s="662"/>
      <c r="BK18" s="662"/>
      <c r="BL18" s="662"/>
      <c r="BM18" s="387"/>
      <c r="BN18" s="384"/>
      <c r="BO18" s="662"/>
      <c r="BP18" s="662"/>
      <c r="BQ18" s="662"/>
      <c r="BR18" s="662"/>
      <c r="BS18" s="662"/>
      <c r="BT18" s="662"/>
      <c r="BU18" s="385"/>
      <c r="BV18" s="386"/>
      <c r="BW18" s="662"/>
      <c r="BX18" s="662"/>
      <c r="BY18" s="662"/>
      <c r="BZ18" s="662"/>
      <c r="CA18" s="662"/>
      <c r="CB18" s="662"/>
      <c r="CC18" s="387"/>
    </row>
    <row r="19" spans="2:81" ht="8.1" customHeight="1" thickBot="1">
      <c r="B19" s="388"/>
      <c r="C19" s="389"/>
      <c r="D19" s="389"/>
      <c r="E19" s="389"/>
      <c r="F19" s="389"/>
      <c r="G19" s="389"/>
      <c r="H19" s="389"/>
      <c r="I19" s="390"/>
      <c r="J19" s="391"/>
      <c r="K19" s="389"/>
      <c r="L19" s="389"/>
      <c r="M19" s="389"/>
      <c r="N19" s="389"/>
      <c r="O19" s="389"/>
      <c r="P19" s="389"/>
      <c r="Q19" s="390"/>
      <c r="R19" s="391"/>
      <c r="S19" s="389"/>
      <c r="T19" s="389"/>
      <c r="U19" s="389"/>
      <c r="V19" s="389"/>
      <c r="W19" s="389"/>
      <c r="X19" s="389"/>
      <c r="Y19" s="390"/>
      <c r="Z19" s="391"/>
      <c r="AA19" s="389"/>
      <c r="AB19" s="389"/>
      <c r="AC19" s="389"/>
      <c r="AD19" s="389"/>
      <c r="AE19" s="389"/>
      <c r="AF19" s="389"/>
      <c r="AG19" s="390"/>
      <c r="AH19" s="391"/>
      <c r="AI19" s="389"/>
      <c r="AJ19" s="389"/>
      <c r="AK19" s="389"/>
      <c r="AL19" s="389"/>
      <c r="AM19" s="389"/>
      <c r="AN19" s="389"/>
      <c r="AO19" s="392"/>
      <c r="AP19" s="388"/>
      <c r="AQ19" s="389"/>
      <c r="AR19" s="389"/>
      <c r="AS19" s="389"/>
      <c r="AT19" s="389"/>
      <c r="AU19" s="389"/>
      <c r="AV19" s="389"/>
      <c r="AW19" s="390"/>
      <c r="AX19" s="391"/>
      <c r="AY19" s="389"/>
      <c r="AZ19" s="389"/>
      <c r="BA19" s="389"/>
      <c r="BB19" s="389"/>
      <c r="BC19" s="389"/>
      <c r="BD19" s="389"/>
      <c r="BE19" s="390"/>
      <c r="BF19" s="391"/>
      <c r="BG19" s="389"/>
      <c r="BH19" s="389"/>
      <c r="BI19" s="389"/>
      <c r="BJ19" s="389"/>
      <c r="BK19" s="389"/>
      <c r="BL19" s="389"/>
      <c r="BM19" s="392"/>
      <c r="BN19" s="388"/>
      <c r="BO19" s="389"/>
      <c r="BP19" s="389"/>
      <c r="BQ19" s="389"/>
      <c r="BR19" s="389"/>
      <c r="BS19" s="389"/>
      <c r="BT19" s="389"/>
      <c r="BU19" s="390"/>
      <c r="BV19" s="391"/>
      <c r="BW19" s="389"/>
      <c r="BX19" s="389"/>
      <c r="BY19" s="389"/>
      <c r="BZ19" s="389"/>
      <c r="CA19" s="389"/>
      <c r="CB19" s="389"/>
      <c r="CC19" s="392"/>
    </row>
    <row r="21" spans="2:81" ht="12.75" customHeight="1"/>
  </sheetData>
  <mergeCells count="25">
    <mergeCell ref="B16:I16"/>
    <mergeCell ref="C18:H18"/>
    <mergeCell ref="J16:Q16"/>
    <mergeCell ref="R16:Y16"/>
    <mergeCell ref="Z16:AG16"/>
    <mergeCell ref="K18:P18"/>
    <mergeCell ref="S18:X18"/>
    <mergeCell ref="AA18:AF18"/>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5:AO15"/>
    <mergeCell ref="B4:Q4"/>
    <mergeCell ref="AP15:BM15"/>
    <mergeCell ref="BN15:CC15"/>
    <mergeCell ref="R4:CC4"/>
  </mergeCells>
  <pageMargins left="0.5" right="0.5" top="0.75" bottom="0.75" header="0.3" footer="0.3"/>
  <pageSetup scale="9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O24"/>
  <sheetViews>
    <sheetView showGridLines="0" zoomScaleNormal="100" workbookViewId="0">
      <pane ySplit="6" topLeftCell="A8" activePane="bottomLeft" state="frozen"/>
      <selection pane="bottomLeft" activeCell="F9" sqref="F9"/>
    </sheetView>
  </sheetViews>
  <sheetFormatPr defaultColWidth="9.140625" defaultRowHeight="12.75"/>
  <cols>
    <col min="1" max="1" width="1" style="2" customWidth="1"/>
    <col min="2" max="2" width="1.85546875" style="2" customWidth="1"/>
    <col min="3" max="3" width="11.140625" style="2" customWidth="1"/>
    <col min="4" max="4" width="8.7109375" style="2" hidden="1" customWidth="1"/>
    <col min="5" max="5" width="15.85546875" style="2" customWidth="1"/>
    <col min="6" max="6" width="67.5703125" style="2" bestFit="1" customWidth="1"/>
    <col min="7" max="7" width="39" style="2" customWidth="1"/>
    <col min="8" max="8" width="30.140625" style="2" customWidth="1"/>
    <col min="9" max="9" width="19" style="2" customWidth="1"/>
    <col min="10" max="10" width="12.5703125" style="2" customWidth="1"/>
    <col min="11" max="11" width="9.85546875" style="2" customWidth="1"/>
    <col min="12" max="12" width="9.7109375" style="2" customWidth="1"/>
    <col min="13" max="13" width="10" style="2" customWidth="1"/>
    <col min="14" max="14" width="10.42578125" style="2" customWidth="1"/>
    <col min="15" max="15" width="9.5703125" style="2" customWidth="1"/>
    <col min="16" max="16" width="1" style="2" customWidth="1"/>
    <col min="17" max="16384" width="9.140625" style="2"/>
  </cols>
  <sheetData>
    <row r="1" spans="2:15" ht="5.0999999999999996" customHeight="1" thickBot="1"/>
    <row r="2" spans="2:15" ht="38.25" customHeight="1" thickBot="1">
      <c r="B2" s="684" t="s">
        <v>174</v>
      </c>
      <c r="C2" s="684"/>
      <c r="D2" s="684"/>
      <c r="E2" s="684"/>
      <c r="F2" s="684"/>
      <c r="G2" s="684"/>
      <c r="H2" s="684"/>
      <c r="I2" s="684"/>
      <c r="J2" s="684"/>
      <c r="K2" s="684"/>
      <c r="L2" s="684"/>
      <c r="M2" s="684"/>
      <c r="N2" s="684"/>
      <c r="O2" s="684"/>
    </row>
    <row r="3" spans="2:15" ht="45" customHeight="1"/>
    <row r="4" spans="2:15" ht="14.25" customHeight="1">
      <c r="E4" s="313" t="str">
        <f>IF(D24&gt;0,"Incomplete - All required information for each training must be completed.","")</f>
        <v/>
      </c>
    </row>
    <row r="5" spans="2:15" ht="7.5" customHeight="1"/>
    <row r="6" spans="2:15" ht="51">
      <c r="C6" s="345" t="s">
        <v>175</v>
      </c>
      <c r="D6" s="345" t="s">
        <v>176</v>
      </c>
      <c r="E6" s="345" t="s">
        <v>177</v>
      </c>
      <c r="F6" s="345" t="s">
        <v>178</v>
      </c>
      <c r="G6" s="345" t="s">
        <v>179</v>
      </c>
      <c r="H6" s="345" t="s">
        <v>180</v>
      </c>
      <c r="I6" s="345" t="s">
        <v>181</v>
      </c>
      <c r="J6" s="345" t="s">
        <v>182</v>
      </c>
      <c r="K6" s="345" t="s">
        <v>183</v>
      </c>
      <c r="L6" s="345" t="s">
        <v>184</v>
      </c>
      <c r="M6" s="345" t="s">
        <v>185</v>
      </c>
      <c r="N6" s="346" t="s">
        <v>186</v>
      </c>
      <c r="O6" s="471" t="s">
        <v>187</v>
      </c>
    </row>
    <row r="7" spans="2:15" s="541" customFormat="1" ht="65.25" customHeight="1">
      <c r="C7" s="542">
        <f t="shared" ref="C7:C23" si="0">ROW()-6</f>
        <v>1</v>
      </c>
      <c r="D7" s="543">
        <f>IF(AND(ISBLANK(Table2[[#This Row],[Start Date]]),ISBLANK(Table2[[#This Row],[Class]]),ISBLANK(Table2[[#This Row],[Class Description]]),ISBLANK(Table2[[#This Row],[No. of Attendees
(A)]])),0,IF(OR(ISBLANK(Table2[[#This Row],[Class]]),ISBLANK(Table2[[#This Row],[No. of Attendees
(A)]]),ISBLANK(Table2[[#This Row],[Length of Session
(B)]])),1,0))</f>
        <v>0</v>
      </c>
      <c r="E7" s="544">
        <v>45867</v>
      </c>
      <c r="F7" s="545" t="s">
        <v>188</v>
      </c>
      <c r="G7" s="546" t="s">
        <v>189</v>
      </c>
      <c r="H7" s="545" t="s">
        <v>190</v>
      </c>
      <c r="I7" s="545" t="s">
        <v>191</v>
      </c>
      <c r="J7" s="547">
        <v>850</v>
      </c>
      <c r="K7" s="547">
        <v>8</v>
      </c>
      <c r="L7" s="547">
        <v>6000</v>
      </c>
      <c r="M7" s="545" t="s">
        <v>192</v>
      </c>
      <c r="N7" s="545">
        <v>0</v>
      </c>
      <c r="O7" s="547">
        <v>0</v>
      </c>
    </row>
    <row r="8" spans="2:15" s="541" customFormat="1" ht="71.25" customHeight="1">
      <c r="C8" s="542">
        <f t="shared" si="0"/>
        <v>2</v>
      </c>
      <c r="D8" s="543">
        <f>IF(AND(ISBLANK(Table2[[#This Row],[Start Date]]),ISBLANK(Table2[[#This Row],[Class]]),ISBLANK(Table2[[#This Row],[Class Description]]),ISBLANK(Table2[[#This Row],[No. of Attendees
(A)]])),0,IF(OR(ISBLANK(Table2[[#This Row],[Class]]),ISBLANK(Table2[[#This Row],[No. of Attendees
(A)]]),ISBLANK(Table2[[#This Row],[Length of Session
(B)]])),1,0))</f>
        <v>0</v>
      </c>
      <c r="E8" s="544">
        <v>45931</v>
      </c>
      <c r="F8" s="545" t="s">
        <v>193</v>
      </c>
      <c r="G8" s="546" t="s">
        <v>194</v>
      </c>
      <c r="H8" s="545" t="s">
        <v>195</v>
      </c>
      <c r="I8" s="545" t="s">
        <v>196</v>
      </c>
      <c r="J8" s="548">
        <v>300</v>
      </c>
      <c r="K8" s="548">
        <v>8</v>
      </c>
      <c r="L8" s="548">
        <v>2400</v>
      </c>
      <c r="M8" s="545" t="s">
        <v>192</v>
      </c>
      <c r="N8" s="545">
        <v>0</v>
      </c>
      <c r="O8" s="547">
        <v>0</v>
      </c>
    </row>
    <row r="9" spans="2:15" s="541" customFormat="1" ht="87" customHeight="1">
      <c r="C9" s="542">
        <f>ROW()-6</f>
        <v>3</v>
      </c>
      <c r="D9" s="543">
        <f>IF(AND(ISBLANK(Table2[[#This Row],[Start Date]]),ISBLANK(Table2[[#This Row],[Class]]),ISBLANK(Table2[[#This Row],[Class Description]]),ISBLANK(Table2[[#This Row],[No. of Attendees
(A)]])),0,IF(OR(ISBLANK(Table2[[#This Row],[Class]]),ISBLANK(Table2[[#This Row],[No. of Attendees
(A)]]),ISBLANK(Table2[[#This Row],[Length of Session
(B)]])),1,0))</f>
        <v>0</v>
      </c>
      <c r="E9" s="544">
        <v>45764</v>
      </c>
      <c r="F9" s="545" t="s">
        <v>197</v>
      </c>
      <c r="G9" s="355" t="s">
        <v>198</v>
      </c>
      <c r="H9" s="545" t="s">
        <v>199</v>
      </c>
      <c r="I9" s="545" t="s">
        <v>200</v>
      </c>
      <c r="J9" s="548">
        <v>150</v>
      </c>
      <c r="K9" s="548">
        <v>16</v>
      </c>
      <c r="L9" s="549">
        <v>2400</v>
      </c>
      <c r="M9" s="545" t="s">
        <v>192</v>
      </c>
      <c r="N9" s="545">
        <v>0</v>
      </c>
      <c r="O9" s="547"/>
    </row>
    <row r="10" spans="2:15" s="541" customFormat="1" ht="70.5" customHeight="1">
      <c r="C10" s="542">
        <f>ROW()-6</f>
        <v>4</v>
      </c>
      <c r="D10" s="543">
        <f>IF(AND(ISBLANK(Table2[[#This Row],[Start Date]]),ISBLANK(Table2[[#This Row],[Class]]),ISBLANK(Table2[[#This Row],[Class Description]]),ISBLANK(Table2[[#This Row],[No. of Attendees
(A)]])),0,IF(OR(ISBLANK(Table2[[#This Row],[Class]]),ISBLANK(Table2[[#This Row],[No. of Attendees
(A)]]),ISBLANK(Table2[[#This Row],[Length of Session
(B)]])),1,0))</f>
        <v>0</v>
      </c>
      <c r="E10" s="544">
        <v>45960</v>
      </c>
      <c r="F10" s="545" t="s">
        <v>201</v>
      </c>
      <c r="G10" s="355" t="s">
        <v>202</v>
      </c>
      <c r="H10" s="545" t="s">
        <v>203</v>
      </c>
      <c r="I10" s="545" t="s">
        <v>200</v>
      </c>
      <c r="J10" s="548">
        <v>150</v>
      </c>
      <c r="K10" s="548">
        <v>16</v>
      </c>
      <c r="L10" s="549">
        <v>2400</v>
      </c>
      <c r="M10" s="545" t="s">
        <v>192</v>
      </c>
      <c r="N10" s="545">
        <v>0</v>
      </c>
      <c r="O10" s="547"/>
    </row>
    <row r="11" spans="2:15" s="541" customFormat="1" ht="12.75" customHeight="1">
      <c r="C11" s="542">
        <f t="shared" si="0"/>
        <v>5</v>
      </c>
      <c r="D11" s="543">
        <f>IF(AND(ISBLANK(Table2[[#This Row],[Start Date]]),ISBLANK(Table2[[#This Row],[Class]]),ISBLANK(Table2[[#This Row],[Class Description]]),ISBLANK(Table2[[#This Row],[No. of Attendees
(A)]])),0,IF(OR(ISBLANK(Table2[[#This Row],[Class]]),ISBLANK(Table2[[#This Row],[No. of Attendees
(A)]]),ISBLANK(Table2[[#This Row],[Length of Session
(B)]])),1,0))</f>
        <v>0</v>
      </c>
      <c r="E11" s="544">
        <v>45945</v>
      </c>
      <c r="F11" s="545" t="s">
        <v>204</v>
      </c>
      <c r="G11" s="355" t="s">
        <v>205</v>
      </c>
      <c r="H11" s="545" t="s">
        <v>206</v>
      </c>
      <c r="I11" s="545" t="s">
        <v>207</v>
      </c>
      <c r="J11" s="548">
        <v>30</v>
      </c>
      <c r="K11" s="548">
        <v>2</v>
      </c>
      <c r="L11" s="548">
        <v>60</v>
      </c>
      <c r="M11" s="545" t="s">
        <v>192</v>
      </c>
      <c r="N11" s="545"/>
      <c r="O11" s="547"/>
    </row>
    <row r="12" spans="2:15" s="541" customFormat="1" ht="12.75" customHeight="1">
      <c r="C12" s="542">
        <f>ROW()-6</f>
        <v>6</v>
      </c>
      <c r="D12" s="543">
        <f>IF(AND(ISBLANK(Table2[[#This Row],[Start Date]]),ISBLANK(Table2[[#This Row],[Class]]),ISBLANK(Table2[[#This Row],[Class Description]]),ISBLANK(Table2[[#This Row],[No. of Attendees
(A)]])),0,IF(OR(ISBLANK(Table2[[#This Row],[Class]]),ISBLANK(Table2[[#This Row],[No. of Attendees
(A)]]),ISBLANK(Table2[[#This Row],[Length of Session
(B)]])),1,0))</f>
        <v>0</v>
      </c>
      <c r="E12" s="544">
        <v>45940</v>
      </c>
      <c r="F12" s="545" t="s">
        <v>204</v>
      </c>
      <c r="G12" s="355" t="s">
        <v>205</v>
      </c>
      <c r="H12" s="545" t="s">
        <v>208</v>
      </c>
      <c r="I12" s="545" t="s">
        <v>207</v>
      </c>
      <c r="J12" s="548">
        <v>35</v>
      </c>
      <c r="K12" s="548">
        <v>2</v>
      </c>
      <c r="L12" s="549">
        <v>70</v>
      </c>
      <c r="M12" s="545" t="s">
        <v>192</v>
      </c>
      <c r="N12" s="545">
        <v>0</v>
      </c>
      <c r="O12" s="547">
        <v>0</v>
      </c>
    </row>
    <row r="13" spans="2:15" s="541" customFormat="1" ht="13.5" customHeight="1">
      <c r="C13" s="542">
        <f t="shared" si="0"/>
        <v>7</v>
      </c>
      <c r="D13" s="543">
        <f>IF(AND(ISBLANK(Table2[[#This Row],[Start Date]]),ISBLANK(Table2[[#This Row],[Class]]),ISBLANK(Table2[[#This Row],[Class Description]]),ISBLANK(Table2[[#This Row],[No. of Attendees
(A)]])),0,IF(OR(ISBLANK(Table2[[#This Row],[Class]]),ISBLANK(Table2[[#This Row],[No. of Attendees
(A)]]),ISBLANK(Table2[[#This Row],[Length of Session
(B)]])),1,0))</f>
        <v>0</v>
      </c>
      <c r="E13" s="544">
        <v>45946</v>
      </c>
      <c r="F13" s="545" t="s">
        <v>204</v>
      </c>
      <c r="G13" s="355" t="s">
        <v>205</v>
      </c>
      <c r="H13" s="545" t="s">
        <v>209</v>
      </c>
      <c r="I13" s="545" t="s">
        <v>207</v>
      </c>
      <c r="J13" s="548">
        <v>25</v>
      </c>
      <c r="K13" s="548">
        <v>2</v>
      </c>
      <c r="L13" s="548">
        <v>50</v>
      </c>
      <c r="M13" s="545" t="s">
        <v>192</v>
      </c>
      <c r="N13" s="545"/>
      <c r="O13" s="547"/>
    </row>
    <row r="14" spans="2:15">
      <c r="C14" s="344"/>
      <c r="D14" s="15"/>
      <c r="E14" s="353"/>
      <c r="F14" s="472"/>
      <c r="G14" s="473"/>
      <c r="H14" s="354"/>
      <c r="I14" s="354"/>
      <c r="J14" s="474"/>
      <c r="K14" s="474"/>
      <c r="L14" s="474"/>
      <c r="M14" s="472"/>
      <c r="N14" s="472"/>
      <c r="O14" s="218"/>
    </row>
    <row r="15" spans="2:15">
      <c r="C15" s="344"/>
      <c r="D15" s="15"/>
      <c r="E15" s="353"/>
      <c r="F15" s="472"/>
      <c r="G15" s="473"/>
      <c r="H15" s="354"/>
      <c r="I15" s="354"/>
      <c r="J15" s="474"/>
      <c r="K15" s="474"/>
      <c r="L15" s="474"/>
      <c r="M15" s="472"/>
      <c r="N15" s="472"/>
      <c r="O15" s="218"/>
    </row>
    <row r="16" spans="2:15">
      <c r="C16" s="344"/>
      <c r="D16" s="15"/>
      <c r="E16" s="353"/>
      <c r="F16" s="354"/>
      <c r="G16" s="355"/>
      <c r="H16" s="354"/>
      <c r="I16" s="354"/>
      <c r="J16" s="358"/>
      <c r="K16" s="358"/>
      <c r="L16" s="358"/>
      <c r="M16" s="354"/>
      <c r="N16" s="354"/>
      <c r="O16" s="218"/>
    </row>
    <row r="17" spans="3:15">
      <c r="C17" s="344"/>
      <c r="D17" s="15"/>
      <c r="E17" s="353"/>
      <c r="F17" s="354"/>
      <c r="G17" s="355"/>
      <c r="H17" s="354"/>
      <c r="I17" s="354"/>
      <c r="J17" s="358"/>
      <c r="K17" s="358"/>
      <c r="L17" s="358"/>
      <c r="M17" s="354"/>
      <c r="N17" s="354"/>
      <c r="O17" s="218"/>
    </row>
    <row r="18" spans="3:15">
      <c r="C18" s="344">
        <f t="shared" si="0"/>
        <v>12</v>
      </c>
      <c r="D18" s="15">
        <f>IF(AND(ISBLANK(Table2[[#This Row],[Start Date]]),ISBLANK(Table2[[#This Row],[Class]]),ISBLANK(Table2[[#This Row],[Class Description]]),ISBLANK(Table2[[#This Row],[No. of Attendees
(A)]])),0,IF(OR(ISBLANK(Table2[[#This Row],[Class]]),ISBLANK(Table2[[#This Row],[No. of Attendees
(A)]]),ISBLANK(Table2[[#This Row],[Length of Session
(B)]])),1,0))</f>
        <v>0</v>
      </c>
      <c r="E18" s="353"/>
      <c r="F18" s="354"/>
      <c r="G18" s="355"/>
      <c r="H18" s="354"/>
      <c r="I18" s="354"/>
      <c r="J18" s="358"/>
      <c r="K18" s="358"/>
      <c r="L18" s="358"/>
      <c r="M18" s="354"/>
      <c r="N18" s="354"/>
      <c r="O18" s="218"/>
    </row>
    <row r="19" spans="3:15">
      <c r="C19" s="344">
        <f t="shared" si="0"/>
        <v>13</v>
      </c>
      <c r="D19" s="15">
        <f>IF(AND(ISBLANK(Table2[[#This Row],[Start Date]]),ISBLANK(Table2[[#This Row],[Class]]),ISBLANK(Table2[[#This Row],[Class Description]]),ISBLANK(Table2[[#This Row],[No. of Attendees
(A)]])),0,IF(OR(ISBLANK(Table2[[#This Row],[Class]]),ISBLANK(Table2[[#This Row],[No. of Attendees
(A)]]),ISBLANK(Table2[[#This Row],[Length of Session
(B)]])),1,0))</f>
        <v>0</v>
      </c>
      <c r="E19" s="353"/>
      <c r="F19" s="354"/>
      <c r="G19" s="355"/>
      <c r="H19" s="354"/>
      <c r="I19" s="354"/>
      <c r="J19"/>
      <c r="K19"/>
      <c r="L19"/>
      <c r="M19" s="354"/>
      <c r="N19" s="354"/>
    </row>
    <row r="20" spans="3:15">
      <c r="C20" s="344">
        <f t="shared" si="0"/>
        <v>14</v>
      </c>
      <c r="D20" s="15">
        <f>IF(AND(ISBLANK(Table2[[#This Row],[Start Date]]),ISBLANK(Table2[[#This Row],[Class]]),ISBLANK(Table2[[#This Row],[Class Description]]),ISBLANK(Table2[[#This Row],[No. of Attendees
(A)]])),0,IF(OR(ISBLANK(Table2[[#This Row],[Class]]),ISBLANK(Table2[[#This Row],[No. of Attendees
(A)]]),ISBLANK(Table2[[#This Row],[Length of Session
(B)]])),1,0))</f>
        <v>0</v>
      </c>
      <c r="E20" s="353"/>
      <c r="F20" s="354"/>
      <c r="G20" s="355"/>
      <c r="H20" s="354"/>
      <c r="I20" s="354"/>
      <c r="J20"/>
      <c r="K20"/>
      <c r="L20"/>
      <c r="M20" s="354"/>
      <c r="N20" s="354"/>
    </row>
    <row r="21" spans="3:15">
      <c r="C21" s="344">
        <f t="shared" si="0"/>
        <v>15</v>
      </c>
      <c r="D21" s="15">
        <f>IF(AND(ISBLANK(Table2[[#This Row],[Start Date]]),ISBLANK(Table2[[#This Row],[Class]]),ISBLANK(Table2[[#This Row],[Class Description]]),ISBLANK(Table2[[#This Row],[No. of Attendees
(A)]])),0,IF(OR(ISBLANK(Table2[[#This Row],[Class]]),ISBLANK(Table2[[#This Row],[No. of Attendees
(A)]]),ISBLANK(Table2[[#This Row],[Length of Session
(B)]])),1,0))</f>
        <v>0</v>
      </c>
      <c r="E21" s="353"/>
      <c r="F21" s="354"/>
      <c r="G21" s="355"/>
      <c r="H21" s="354"/>
      <c r="I21" s="354"/>
      <c r="J21"/>
      <c r="K21"/>
      <c r="L21"/>
      <c r="M21" s="354"/>
      <c r="N21" s="354"/>
    </row>
    <row r="22" spans="3:15">
      <c r="C22" s="344">
        <f t="shared" si="0"/>
        <v>16</v>
      </c>
      <c r="D22" s="15">
        <f>IF(AND(ISBLANK(Table2[[#This Row],[Start Date]]),ISBLANK(Table2[[#This Row],[Class]]),ISBLANK(Table2[[#This Row],[Class Description]]),ISBLANK(Table2[[#This Row],[No. of Attendees
(A)]])),0,IF(OR(ISBLANK(Table2[[#This Row],[Class]]),ISBLANK(Table2[[#This Row],[No. of Attendees
(A)]]),ISBLANK(Table2[[#This Row],[Length of Session
(B)]])),1,0))</f>
        <v>0</v>
      </c>
      <c r="E22" s="353"/>
      <c r="F22" s="354"/>
      <c r="G22" s="355"/>
      <c r="H22" s="354"/>
      <c r="I22" s="354"/>
      <c r="J22"/>
      <c r="K22"/>
      <c r="L22"/>
      <c r="M22" s="354"/>
      <c r="N22" s="354"/>
    </row>
    <row r="23" spans="3:15">
      <c r="C23" s="344">
        <f t="shared" si="0"/>
        <v>17</v>
      </c>
      <c r="D23" s="15">
        <f>IF(AND(ISBLANK(Table2[[#This Row],[Start Date]]),ISBLANK(Table2[[#This Row],[Class]]),ISBLANK(Table2[[#This Row],[Class Description]]),ISBLANK(Table2[[#This Row],[No. of Attendees
(A)]])),0,IF(OR(ISBLANK(Table2[[#This Row],[Class]]),ISBLANK(Table2[[#This Row],[No. of Attendees
(A)]]),ISBLANK(Table2[[#This Row],[Length of Session
(B)]])),1,0))</f>
        <v>0</v>
      </c>
      <c r="E23" s="353"/>
      <c r="F23" s="354"/>
      <c r="G23" s="355"/>
      <c r="H23" s="354"/>
      <c r="I23" s="354"/>
      <c r="J23"/>
      <c r="K23"/>
      <c r="L23"/>
      <c r="M23" s="354"/>
      <c r="N23" s="354"/>
    </row>
    <row r="24" spans="3:15">
      <c r="C24" s="348" t="s">
        <v>210</v>
      </c>
      <c r="D24" s="352">
        <f>SUM(Table2[Test])</f>
        <v>0</v>
      </c>
      <c r="E24" s="348" t="s">
        <v>211</v>
      </c>
      <c r="F24" s="349">
        <f>COUNTA(Table2[Class])</f>
        <v>7</v>
      </c>
      <c r="G24" s="350"/>
      <c r="H24" s="350"/>
      <c r="I24" s="350"/>
      <c r="J24" s="351">
        <f>SUM(J7:J23)</f>
        <v>1540</v>
      </c>
      <c r="K24" s="350"/>
      <c r="L24" s="351">
        <f>SUM(L7:L23)</f>
        <v>13380</v>
      </c>
      <c r="M24" s="350"/>
      <c r="N24" s="351">
        <f>SUM(N7:N23)</f>
        <v>0</v>
      </c>
    </row>
  </sheetData>
  <sheetProtection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O55"/>
  <sheetViews>
    <sheetView showGridLines="0" zoomScaleNormal="100" workbookViewId="0">
      <pane ySplit="6" topLeftCell="A17" activePane="bottomLeft" state="frozen"/>
      <selection pane="bottomLeft" activeCell="Z22" sqref="Z22"/>
    </sheetView>
  </sheetViews>
  <sheetFormatPr defaultColWidth="9.140625" defaultRowHeight="12.75"/>
  <cols>
    <col min="1" max="1" width="1" style="2" customWidth="1"/>
    <col min="2" max="2" width="1.85546875" style="2" customWidth="1"/>
    <col min="3" max="3" width="11.140625" style="2" customWidth="1"/>
    <col min="4" max="4" width="8.7109375" style="2" hidden="1" customWidth="1"/>
    <col min="5" max="5" width="11.42578125" style="2" customWidth="1"/>
    <col min="6" max="6" width="37.7109375" style="2" bestFit="1" customWidth="1"/>
    <col min="7" max="7" width="30.85546875" style="2" customWidth="1"/>
    <col min="8" max="8" width="17.28515625" style="2" customWidth="1"/>
    <col min="9" max="9" width="19" style="2" customWidth="1"/>
    <col min="10" max="10" width="11.140625" style="2" customWidth="1"/>
    <col min="11" max="11" width="9.85546875" style="2" customWidth="1"/>
    <col min="12" max="12" width="9.7109375" style="2" customWidth="1"/>
    <col min="13" max="13" width="10" style="2" customWidth="1"/>
    <col min="14" max="14" width="10.42578125" style="2" customWidth="1"/>
    <col min="15" max="15" width="2.7109375" style="2" customWidth="1"/>
    <col min="16" max="16" width="1" style="2" customWidth="1"/>
    <col min="17" max="16384" width="9.140625" style="2"/>
  </cols>
  <sheetData>
    <row r="1" spans="2:15" ht="5.0999999999999996" customHeight="1" thickBot="1"/>
    <row r="2" spans="2:15" ht="38.25" customHeight="1" thickBot="1">
      <c r="B2" s="684" t="s">
        <v>212</v>
      </c>
      <c r="C2" s="684"/>
      <c r="D2" s="684"/>
      <c r="E2" s="684"/>
      <c r="F2" s="684"/>
      <c r="G2" s="684"/>
      <c r="H2" s="684"/>
      <c r="I2" s="684"/>
      <c r="J2" s="684"/>
      <c r="K2" s="684"/>
      <c r="L2" s="684"/>
      <c r="M2" s="684"/>
      <c r="N2" s="684"/>
      <c r="O2" s="684"/>
    </row>
    <row r="3" spans="2:15" ht="45" customHeight="1"/>
    <row r="4" spans="2:15" ht="14.25" customHeight="1">
      <c r="E4" s="313" t="str">
        <f>IF(D55&gt;0,"Incomplete - All required information for each training must be completed.","")</f>
        <v/>
      </c>
    </row>
    <row r="5" spans="2:15" ht="24" customHeight="1"/>
    <row r="6" spans="2:15" ht="48" customHeight="1">
      <c r="C6" s="345" t="s">
        <v>175</v>
      </c>
      <c r="D6" s="345" t="s">
        <v>176</v>
      </c>
      <c r="E6" s="345" t="s">
        <v>177</v>
      </c>
      <c r="F6" s="345" t="s">
        <v>178</v>
      </c>
      <c r="G6" s="345" t="s">
        <v>179</v>
      </c>
      <c r="H6" s="345" t="s">
        <v>180</v>
      </c>
      <c r="I6" s="345" t="s">
        <v>181</v>
      </c>
      <c r="J6" s="345" t="s">
        <v>182</v>
      </c>
      <c r="K6" s="345" t="s">
        <v>183</v>
      </c>
      <c r="L6" s="345" t="s">
        <v>184</v>
      </c>
      <c r="M6" s="345" t="s">
        <v>185</v>
      </c>
      <c r="N6" s="346" t="s">
        <v>186</v>
      </c>
    </row>
    <row r="7" spans="2:15" ht="45" customHeight="1">
      <c r="C7" s="344">
        <f t="shared" ref="C7:C11" si="0">ROW()-6</f>
        <v>1</v>
      </c>
      <c r="D7" s="15"/>
      <c r="E7" s="353">
        <v>45666</v>
      </c>
      <c r="F7" s="511" t="s">
        <v>213</v>
      </c>
      <c r="G7" s="511" t="s">
        <v>214</v>
      </c>
      <c r="H7" s="354" t="s">
        <v>215</v>
      </c>
      <c r="I7" s="354" t="s">
        <v>216</v>
      </c>
      <c r="J7" s="499">
        <v>2</v>
      </c>
      <c r="K7" s="499">
        <v>1</v>
      </c>
      <c r="L7" s="498">
        <v>2</v>
      </c>
      <c r="M7" s="354" t="s">
        <v>217</v>
      </c>
      <c r="N7" s="354">
        <v>2</v>
      </c>
    </row>
    <row r="8" spans="2:15" ht="33.75" customHeight="1">
      <c r="C8" s="344">
        <f t="shared" si="0"/>
        <v>2</v>
      </c>
      <c r="D8" s="15"/>
      <c r="E8" s="353">
        <v>45722</v>
      </c>
      <c r="F8" s="354" t="s">
        <v>218</v>
      </c>
      <c r="G8" s="355" t="s">
        <v>219</v>
      </c>
      <c r="H8" s="354" t="s">
        <v>215</v>
      </c>
      <c r="I8" s="354" t="s">
        <v>216</v>
      </c>
      <c r="J8" s="356">
        <v>2</v>
      </c>
      <c r="K8" s="356">
        <v>1</v>
      </c>
      <c r="L8" s="347">
        <v>2</v>
      </c>
      <c r="M8" s="354" t="s">
        <v>217</v>
      </c>
      <c r="N8" s="354">
        <v>2</v>
      </c>
    </row>
    <row r="9" spans="2:15" s="514" customFormat="1" ht="80.25" customHeight="1">
      <c r="C9" s="344">
        <f>ROW()-6</f>
        <v>3</v>
      </c>
      <c r="D9" s="515">
        <f>IF(AND(ISBLANK(Table22[[#This Row],[Start Date]]),ISBLANK(Table22[[#This Row],[Class]]),ISBLANK(Table22[[#This Row],[Class Description]]),ISBLANK(Table22[[#This Row],[No. of Attendees
(A)]])),0,IF(OR(ISBLANK(Table22[[#This Row],[Class]]),ISBLANK(Table22[[#This Row],[No. of Attendees
(A)]]),ISBLANK(Table22[[#This Row],[Length of Session
(B)]])),1,0))</f>
        <v>0</v>
      </c>
      <c r="E9" s="512">
        <v>45734</v>
      </c>
      <c r="F9" s="354" t="s">
        <v>220</v>
      </c>
      <c r="G9" s="355" t="s">
        <v>221</v>
      </c>
      <c r="H9" s="354" t="s">
        <v>215</v>
      </c>
      <c r="I9" s="354" t="s">
        <v>222</v>
      </c>
      <c r="J9" s="499">
        <v>2</v>
      </c>
      <c r="K9" s="499">
        <v>1</v>
      </c>
      <c r="L9" s="498">
        <v>2</v>
      </c>
      <c r="M9" s="354" t="s">
        <v>192</v>
      </c>
      <c r="N9" s="354">
        <v>1</v>
      </c>
    </row>
    <row r="10" spans="2:15" ht="25.5">
      <c r="C10" s="344">
        <f t="shared" si="0"/>
        <v>4</v>
      </c>
      <c r="D10" s="15"/>
      <c r="E10" s="353">
        <v>45736</v>
      </c>
      <c r="F10" s="354" t="s">
        <v>223</v>
      </c>
      <c r="G10" s="355" t="s">
        <v>224</v>
      </c>
      <c r="H10" s="354" t="s">
        <v>215</v>
      </c>
      <c r="I10" s="354" t="s">
        <v>225</v>
      </c>
      <c r="J10" s="499">
        <v>2</v>
      </c>
      <c r="K10" s="499">
        <v>1</v>
      </c>
      <c r="L10" s="498">
        <v>2</v>
      </c>
      <c r="M10" s="354" t="s">
        <v>192</v>
      </c>
      <c r="N10" s="354">
        <v>2</v>
      </c>
    </row>
    <row r="11" spans="2:15" ht="46.5" customHeight="1">
      <c r="C11" s="344">
        <f t="shared" si="0"/>
        <v>5</v>
      </c>
      <c r="D11" s="15"/>
      <c r="E11" s="353">
        <v>45740</v>
      </c>
      <c r="F11" s="354" t="s">
        <v>226</v>
      </c>
      <c r="G11" s="354" t="s">
        <v>226</v>
      </c>
      <c r="H11" s="354" t="s">
        <v>227</v>
      </c>
      <c r="I11" s="354" t="s">
        <v>228</v>
      </c>
      <c r="J11" s="499">
        <v>4</v>
      </c>
      <c r="K11" s="499">
        <v>24</v>
      </c>
      <c r="L11" s="498">
        <v>96</v>
      </c>
      <c r="M11" s="354" t="s">
        <v>192</v>
      </c>
      <c r="N11" s="354">
        <v>0</v>
      </c>
    </row>
    <row r="12" spans="2:15" ht="28.5" customHeight="1">
      <c r="C12" s="344">
        <f t="shared" ref="C12" si="1">ROW()-6</f>
        <v>6</v>
      </c>
      <c r="D12" s="15">
        <f>IF(AND(ISBLANK(Table22[[#This Row],[Start Date]]),ISBLANK(Table22[[#This Row],[Class]]),ISBLANK(Table22[[#This Row],[Class Description]]),ISBLANK(Table22[[#This Row],[No. of Attendees
(A)]])),0,IF(OR(ISBLANK(Table22[[#This Row],[Class]]),ISBLANK(Table22[[#This Row],[No. of Attendees
(A)]]),ISBLANK(Table22[[#This Row],[Length of Session
(B)]])),1,0))</f>
        <v>0</v>
      </c>
      <c r="E12" s="353">
        <v>45742</v>
      </c>
      <c r="F12" s="354" t="s">
        <v>229</v>
      </c>
      <c r="G12" s="355" t="s">
        <v>230</v>
      </c>
      <c r="H12" s="354" t="s">
        <v>215</v>
      </c>
      <c r="I12" s="354" t="s">
        <v>222</v>
      </c>
      <c r="J12" s="499">
        <v>2</v>
      </c>
      <c r="K12" s="499">
        <v>1</v>
      </c>
      <c r="L12" s="498">
        <v>2</v>
      </c>
      <c r="M12" s="354" t="s">
        <v>192</v>
      </c>
      <c r="N12" s="354">
        <v>0</v>
      </c>
    </row>
    <row r="13" spans="2:15" ht="25.5">
      <c r="C13" s="344">
        <f t="shared" ref="C13" si="2">ROW()-6</f>
        <v>7</v>
      </c>
      <c r="D13" s="15">
        <f>IF(AND(ISBLANK(Table22[[#This Row],[Start Date]]),ISBLANK(Table22[[#This Row],[Class]]),ISBLANK(Table22[[#This Row],[Class Description]]),ISBLANK(Table22[[#This Row],[No. of Attendees
(A)]])),0,IF(OR(ISBLANK(Table22[[#This Row],[Class]]),ISBLANK(Table22[[#This Row],[No. of Attendees
(A)]]),ISBLANK(Table22[[#This Row],[Length of Session
(B)]])),1,0))</f>
        <v>0</v>
      </c>
      <c r="E13" s="353">
        <v>45750</v>
      </c>
      <c r="F13" s="354" t="s">
        <v>231</v>
      </c>
      <c r="G13" s="355" t="s">
        <v>232</v>
      </c>
      <c r="H13" s="510" t="s">
        <v>215</v>
      </c>
      <c r="I13" s="354" t="s">
        <v>216</v>
      </c>
      <c r="J13" s="356">
        <v>3</v>
      </c>
      <c r="K13" s="356">
        <v>1</v>
      </c>
      <c r="L13" s="347">
        <v>3</v>
      </c>
      <c r="M13" s="354" t="s">
        <v>217</v>
      </c>
      <c r="N13" s="354">
        <v>3</v>
      </c>
    </row>
    <row r="14" spans="2:15" ht="25.5">
      <c r="C14" s="344">
        <f t="shared" ref="C14:C19" si="3">ROW()-6</f>
        <v>8</v>
      </c>
      <c r="D14" s="15">
        <f>IF(AND(ISBLANK(Table22[[#This Row],[Start Date]]),ISBLANK(Table22[[#This Row],[Class]]),ISBLANK(Table22[[#This Row],[Class Description]]),ISBLANK(Table22[[#This Row],[No. of Attendees
(A)]])),0,IF(OR(ISBLANK(Table22[[#This Row],[Class]]),ISBLANK(Table22[[#This Row],[No. of Attendees
(A)]]),ISBLANK(Table22[[#This Row],[Length of Session
(B)]])),1,0))</f>
        <v>0</v>
      </c>
      <c r="E14" s="353">
        <v>45755</v>
      </c>
      <c r="F14" s="354" t="s">
        <v>233</v>
      </c>
      <c r="G14" s="354" t="s">
        <v>233</v>
      </c>
      <c r="H14" s="354" t="s">
        <v>215</v>
      </c>
      <c r="I14" s="354" t="s">
        <v>222</v>
      </c>
      <c r="J14" s="499">
        <v>2</v>
      </c>
      <c r="K14" s="499">
        <v>2</v>
      </c>
      <c r="L14" s="498">
        <v>4</v>
      </c>
      <c r="M14" s="354" t="s">
        <v>192</v>
      </c>
      <c r="N14" s="354">
        <v>0</v>
      </c>
    </row>
    <row r="15" spans="2:15" ht="25.5">
      <c r="C15" s="344">
        <f t="shared" si="3"/>
        <v>9</v>
      </c>
      <c r="D15" s="15">
        <f>IF(AND(ISBLANK(Table22[[#This Row],[Start Date]]),ISBLANK(Table22[[#This Row],[Class]]),ISBLANK(Table22[[#This Row],[Class Description]]),ISBLANK(Table22[[#This Row],[No. of Attendees
(A)]])),0,IF(OR(ISBLANK(Table22[[#This Row],[Class]]),ISBLANK(Table22[[#This Row],[No. of Attendees
(A)]]),ISBLANK(Table22[[#This Row],[Length of Session
(B)]])),1,0))</f>
        <v>0</v>
      </c>
      <c r="E15" s="353">
        <v>45778</v>
      </c>
      <c r="F15" s="354" t="s">
        <v>234</v>
      </c>
      <c r="G15" s="511" t="s">
        <v>235</v>
      </c>
      <c r="H15" s="354" t="s">
        <v>215</v>
      </c>
      <c r="I15" s="354" t="s">
        <v>216</v>
      </c>
      <c r="J15" s="356">
        <v>2</v>
      </c>
      <c r="K15" s="356">
        <v>1</v>
      </c>
      <c r="L15" s="347">
        <v>2</v>
      </c>
      <c r="M15" s="354" t="s">
        <v>217</v>
      </c>
      <c r="N15" s="354">
        <v>2</v>
      </c>
    </row>
    <row r="16" spans="2:15" ht="25.5">
      <c r="C16" s="344">
        <f t="shared" si="3"/>
        <v>10</v>
      </c>
      <c r="D16" s="15">
        <f>IF(AND(ISBLANK(Table22[[#This Row],[Start Date]]),ISBLANK(Table22[[#This Row],[Class]]),ISBLANK(Table22[[#This Row],[Class Description]]),ISBLANK(Table22[[#This Row],[No. of Attendees
(A)]])),0,IF(OR(ISBLANK(Table22[[#This Row],[Class]]),ISBLANK(Table22[[#This Row],[No. of Attendees
(A)]]),ISBLANK(Table22[[#This Row],[Length of Session
(B)]])),1,0))</f>
        <v>0</v>
      </c>
      <c r="E16" s="353">
        <v>45791</v>
      </c>
      <c r="F16" s="354" t="s">
        <v>236</v>
      </c>
      <c r="G16" s="355" t="s">
        <v>237</v>
      </c>
      <c r="H16" s="354" t="s">
        <v>215</v>
      </c>
      <c r="I16" s="354" t="s">
        <v>216</v>
      </c>
      <c r="J16" s="499">
        <v>1</v>
      </c>
      <c r="K16" s="499">
        <v>1</v>
      </c>
      <c r="L16" s="498">
        <v>1</v>
      </c>
      <c r="M16" s="354" t="s">
        <v>217</v>
      </c>
      <c r="N16" s="354">
        <v>1</v>
      </c>
    </row>
    <row r="17" spans="3:14" ht="25.5">
      <c r="C17" s="344">
        <f t="shared" si="3"/>
        <v>11</v>
      </c>
      <c r="D17" s="15">
        <f>IF(AND(ISBLANK(Table22[[#This Row],[Start Date]]),ISBLANK(Table22[[#This Row],[Class]]),ISBLANK(Table22[[#This Row],[Class Description]]),ISBLANK(Table22[[#This Row],[No. of Attendees
(A)]])),0,IF(OR(ISBLANK(Table22[[#This Row],[Class]]),ISBLANK(Table22[[#This Row],[No. of Attendees
(A)]]),ISBLANK(Table22[[#This Row],[Length of Session
(B)]])),1,0))</f>
        <v>0</v>
      </c>
      <c r="E17" s="353">
        <v>45797</v>
      </c>
      <c r="F17" s="354" t="s">
        <v>238</v>
      </c>
      <c r="G17" s="355" t="s">
        <v>239</v>
      </c>
      <c r="H17" s="354" t="s">
        <v>215</v>
      </c>
      <c r="I17" s="354" t="s">
        <v>225</v>
      </c>
      <c r="J17" s="499">
        <v>2</v>
      </c>
      <c r="K17" s="499">
        <v>1</v>
      </c>
      <c r="L17" s="498">
        <v>2</v>
      </c>
      <c r="M17" s="354" t="s">
        <v>192</v>
      </c>
      <c r="N17" s="354">
        <v>0</v>
      </c>
    </row>
    <row r="18" spans="3:14" ht="25.5">
      <c r="C18" s="344">
        <f t="shared" si="3"/>
        <v>12</v>
      </c>
      <c r="D18" s="15">
        <f>IF(AND(ISBLANK(Table22[[#This Row],[Start Date]]),ISBLANK(Table22[[#This Row],[Class]]),ISBLANK(Table22[[#This Row],[Class Description]]),ISBLANK(Table22[[#This Row],[No. of Attendees
(A)]])),0,IF(OR(ISBLANK(Table22[[#This Row],[Class]]),ISBLANK(Table22[[#This Row],[No. of Attendees
(A)]]),ISBLANK(Table22[[#This Row],[Length of Session
(B)]])),1,0))</f>
        <v>0</v>
      </c>
      <c r="E18" s="353">
        <v>45811</v>
      </c>
      <c r="F18" s="354" t="s">
        <v>240</v>
      </c>
      <c r="G18" s="354" t="s">
        <v>240</v>
      </c>
      <c r="H18" s="354" t="s">
        <v>241</v>
      </c>
      <c r="I18" s="354" t="s">
        <v>216</v>
      </c>
      <c r="J18" s="499">
        <v>4</v>
      </c>
      <c r="K18" s="499">
        <v>12</v>
      </c>
      <c r="L18" s="498">
        <v>48</v>
      </c>
      <c r="M18" s="354" t="s">
        <v>192</v>
      </c>
      <c r="N18" s="354">
        <v>0</v>
      </c>
    </row>
    <row r="19" spans="3:14" ht="38.25">
      <c r="C19" s="344">
        <f t="shared" si="3"/>
        <v>13</v>
      </c>
      <c r="D19" s="15">
        <f>IF(AND(ISBLANK(Table22[[#This Row],[Start Date]]),ISBLANK(Table22[[#This Row],[Class]]),ISBLANK(Table22[[#This Row],[Class Description]]),ISBLANK(Table22[[#This Row],[No. of Attendees
(A)]])),0,IF(OR(ISBLANK(Table22[[#This Row],[Class]]),ISBLANK(Table22[[#This Row],[No. of Attendees
(A)]]),ISBLANK(Table22[[#This Row],[Length of Session
(B)]])),1,0))</f>
        <v>0</v>
      </c>
      <c r="E19" s="353">
        <v>45848</v>
      </c>
      <c r="F19" s="510" t="s">
        <v>242</v>
      </c>
      <c r="G19" s="551" t="s">
        <v>243</v>
      </c>
      <c r="H19" s="354" t="s">
        <v>215</v>
      </c>
      <c r="I19" s="354" t="s">
        <v>216</v>
      </c>
      <c r="J19" s="356">
        <v>3</v>
      </c>
      <c r="K19" s="356">
        <v>1</v>
      </c>
      <c r="L19" s="347">
        <v>3</v>
      </c>
      <c r="M19" s="354" t="s">
        <v>217</v>
      </c>
      <c r="N19" s="354">
        <v>3</v>
      </c>
    </row>
    <row r="20" spans="3:14" ht="25.5">
      <c r="C20" s="344">
        <f t="shared" ref="C20:C54" si="4">ROW()-6</f>
        <v>14</v>
      </c>
      <c r="D20" s="15">
        <f>IF(AND(ISBLANK(Table22[[#This Row],[Start Date]]),ISBLANK(Table22[[#This Row],[Class]]),ISBLANK(Table22[[#This Row],[Class Description]]),ISBLANK(Table22[[#This Row],[No. of Attendees
(A)]])),0,IF(OR(ISBLANK(Table22[[#This Row],[Class]]),ISBLANK(Table22[[#This Row],[No. of Attendees
(A)]]),ISBLANK(Table22[[#This Row],[Length of Session
(B)]])),1,0))</f>
        <v>0</v>
      </c>
      <c r="E20" s="353">
        <v>45855</v>
      </c>
      <c r="F20" s="354" t="s">
        <v>244</v>
      </c>
      <c r="G20" s="355" t="s">
        <v>245</v>
      </c>
      <c r="H20" s="354" t="s">
        <v>215</v>
      </c>
      <c r="I20" s="354" t="s">
        <v>246</v>
      </c>
      <c r="J20" s="499">
        <v>4</v>
      </c>
      <c r="K20" s="499">
        <v>1</v>
      </c>
      <c r="L20" s="498">
        <v>4</v>
      </c>
      <c r="M20" s="354" t="s">
        <v>192</v>
      </c>
      <c r="N20" s="354">
        <v>0</v>
      </c>
    </row>
    <row r="21" spans="3:14">
      <c r="C21" s="344">
        <f t="shared" si="4"/>
        <v>15</v>
      </c>
      <c r="D21" s="15">
        <f>IF(AND(ISBLANK(Table22[[#This Row],[Start Date]]),ISBLANK(Table22[[#This Row],[Class]]),ISBLANK(Table22[[#This Row],[Class Description]]),ISBLANK(Table22[[#This Row],[No. of Attendees
(A)]])),0,IF(OR(ISBLANK(Table22[[#This Row],[Class]]),ISBLANK(Table22[[#This Row],[No. of Attendees
(A)]]),ISBLANK(Table22[[#This Row],[Length of Session
(B)]])),1,0))</f>
        <v>0</v>
      </c>
      <c r="E21" s="353">
        <v>45875</v>
      </c>
      <c r="F21" s="354" t="s">
        <v>247</v>
      </c>
      <c r="G21" s="355" t="s">
        <v>248</v>
      </c>
      <c r="H21" s="354" t="s">
        <v>249</v>
      </c>
      <c r="I21" s="354" t="s">
        <v>250</v>
      </c>
      <c r="J21" s="356">
        <v>5</v>
      </c>
      <c r="K21" s="356">
        <v>5</v>
      </c>
      <c r="L21" s="347">
        <v>25</v>
      </c>
      <c r="M21" s="354" t="s">
        <v>192</v>
      </c>
      <c r="N21" s="354">
        <v>0</v>
      </c>
    </row>
    <row r="22" spans="3:14" ht="25.5">
      <c r="C22" s="344">
        <f t="shared" si="4"/>
        <v>16</v>
      </c>
      <c r="D22" s="15">
        <f>IF(AND(ISBLANK(Table22[[#This Row],[Start Date]]),ISBLANK(Table22[[#This Row],[Class]]),ISBLANK(Table22[[#This Row],[Class Description]]),ISBLANK(Table22[[#This Row],[No. of Attendees
(A)]])),0,IF(OR(ISBLANK(Table22[[#This Row],[Class]]),ISBLANK(Table22[[#This Row],[No. of Attendees
(A)]]),ISBLANK(Table22[[#This Row],[Length of Session
(B)]])),1,0))</f>
        <v>0</v>
      </c>
      <c r="E22" s="353">
        <v>45876</v>
      </c>
      <c r="F22" s="550" t="s">
        <v>251</v>
      </c>
      <c r="G22" s="552" t="s">
        <v>252</v>
      </c>
      <c r="H22" s="354" t="s">
        <v>215</v>
      </c>
      <c r="I22" s="354" t="s">
        <v>216</v>
      </c>
      <c r="J22" s="356">
        <v>2</v>
      </c>
      <c r="K22" s="356">
        <v>1</v>
      </c>
      <c r="L22" s="347">
        <v>2</v>
      </c>
      <c r="M22" s="513" t="s">
        <v>217</v>
      </c>
      <c r="N22" s="354">
        <v>2</v>
      </c>
    </row>
    <row r="23" spans="3:14" ht="45">
      <c r="C23" s="344">
        <f t="shared" si="4"/>
        <v>17</v>
      </c>
      <c r="D23" s="15">
        <f>IF(AND(ISBLANK(Table22[[#This Row],[Start Date]]),ISBLANK(Table22[[#This Row],[Class]]),ISBLANK(Table22[[#This Row],[Class Description]]),ISBLANK(Table22[[#This Row],[No. of Attendees
(A)]])),0,IF(OR(ISBLANK(Table22[[#This Row],[Class]]),ISBLANK(Table22[[#This Row],[No. of Attendees
(A)]]),ISBLANK(Table22[[#This Row],[Length of Session
(B)]])),1,0))</f>
        <v>0</v>
      </c>
      <c r="E23" s="353">
        <v>45932</v>
      </c>
      <c r="F23" s="354" t="s">
        <v>253</v>
      </c>
      <c r="G23" s="553" t="s">
        <v>254</v>
      </c>
      <c r="H23" s="354" t="s">
        <v>215</v>
      </c>
      <c r="I23" s="354" t="s">
        <v>216</v>
      </c>
      <c r="J23" s="356">
        <v>2</v>
      </c>
      <c r="K23" s="356">
        <v>1</v>
      </c>
      <c r="L23" s="347">
        <v>2</v>
      </c>
      <c r="M23" s="354" t="s">
        <v>217</v>
      </c>
      <c r="N23" s="354">
        <v>2</v>
      </c>
    </row>
    <row r="24" spans="3:14" ht="25.5">
      <c r="C24" s="344">
        <f t="shared" si="4"/>
        <v>18</v>
      </c>
      <c r="D24" s="15">
        <f>IF(AND(ISBLANK(Table22[[#This Row],[Start Date]]),ISBLANK(Table22[[#This Row],[Class]]),ISBLANK(Table22[[#This Row],[Class Description]]),ISBLANK(Table22[[#This Row],[No. of Attendees
(A)]])),0,IF(OR(ISBLANK(Table22[[#This Row],[Class]]),ISBLANK(Table22[[#This Row],[No. of Attendees
(A)]]),ISBLANK(Table22[[#This Row],[Length of Session
(B)]])),1,0))</f>
        <v>0</v>
      </c>
      <c r="E24" s="353">
        <v>45967</v>
      </c>
      <c r="F24" s="354" t="s">
        <v>255</v>
      </c>
      <c r="G24" s="355" t="s">
        <v>256</v>
      </c>
      <c r="H24" s="354" t="s">
        <v>215</v>
      </c>
      <c r="I24" s="354" t="s">
        <v>216</v>
      </c>
      <c r="J24" s="356">
        <v>2</v>
      </c>
      <c r="K24" s="356">
        <v>1</v>
      </c>
      <c r="L24" s="347">
        <v>2</v>
      </c>
      <c r="M24" s="354" t="s">
        <v>217</v>
      </c>
      <c r="N24" s="354">
        <v>2</v>
      </c>
    </row>
    <row r="25" spans="3:14">
      <c r="C25" s="344">
        <f t="shared" si="4"/>
        <v>19</v>
      </c>
      <c r="D25" s="15">
        <f>IF(AND(ISBLANK(Table22[[#This Row],[Start Date]]),ISBLANK(Table22[[#This Row],[Class]]),ISBLANK(Table22[[#This Row],[Class Description]]),ISBLANK(Table22[[#This Row],[No. of Attendees
(A)]])),0,IF(OR(ISBLANK(Table22[[#This Row],[Class]]),ISBLANK(Table22[[#This Row],[No. of Attendees
(A)]]),ISBLANK(Table22[[#This Row],[Length of Session
(B)]])),1,0))</f>
        <v>0</v>
      </c>
      <c r="E25" s="353"/>
      <c r="F25" s="354"/>
      <c r="G25" s="355"/>
      <c r="H25" s="354"/>
      <c r="I25" s="354"/>
      <c r="J25" s="356"/>
      <c r="K25" s="356"/>
      <c r="L25" s="347"/>
      <c r="M25" s="354"/>
      <c r="N25" s="354"/>
    </row>
    <row r="26" spans="3:14">
      <c r="C26" s="344">
        <f t="shared" si="4"/>
        <v>20</v>
      </c>
      <c r="D26" s="15">
        <f>IF(AND(ISBLANK(Table22[[#This Row],[Start Date]]),ISBLANK(Table22[[#This Row],[Class]]),ISBLANK(Table22[[#This Row],[Class Description]]),ISBLANK(Table22[[#This Row],[No. of Attendees
(A)]])),0,IF(OR(ISBLANK(Table22[[#This Row],[Class]]),ISBLANK(Table22[[#This Row],[No. of Attendees
(A)]]),ISBLANK(Table22[[#This Row],[Length of Session
(B)]])),1,0))</f>
        <v>0</v>
      </c>
      <c r="E26" s="353"/>
      <c r="F26" s="354"/>
      <c r="G26" s="355"/>
      <c r="H26" s="354"/>
      <c r="I26" s="354"/>
      <c r="J26" s="356"/>
      <c r="K26" s="356"/>
      <c r="L26" s="347"/>
      <c r="M26" s="354"/>
      <c r="N26" s="354"/>
    </row>
    <row r="27" spans="3:14">
      <c r="C27" s="344">
        <f t="shared" si="4"/>
        <v>21</v>
      </c>
      <c r="D27" s="15">
        <f>IF(AND(ISBLANK(Table22[[#This Row],[Start Date]]),ISBLANK(Table22[[#This Row],[Class]]),ISBLANK(Table22[[#This Row],[Class Description]]),ISBLANK(Table22[[#This Row],[No. of Attendees
(A)]])),0,IF(OR(ISBLANK(Table22[[#This Row],[Class]]),ISBLANK(Table22[[#This Row],[No. of Attendees
(A)]]),ISBLANK(Table22[[#This Row],[Length of Session
(B)]])),1,0))</f>
        <v>0</v>
      </c>
      <c r="E27" s="353"/>
      <c r="F27" s="354"/>
      <c r="G27" s="355"/>
      <c r="H27" s="354"/>
      <c r="I27" s="354"/>
      <c r="J27" s="356"/>
      <c r="K27" s="356"/>
      <c r="L27" s="347"/>
      <c r="M27" s="354"/>
      <c r="N27" s="354"/>
    </row>
    <row r="28" spans="3:14">
      <c r="C28" s="344">
        <f t="shared" si="4"/>
        <v>22</v>
      </c>
      <c r="D28" s="15">
        <f>IF(AND(ISBLANK(Table22[[#This Row],[Start Date]]),ISBLANK(Table22[[#This Row],[Class]]),ISBLANK(Table22[[#This Row],[Class Description]]),ISBLANK(Table22[[#This Row],[No. of Attendees
(A)]])),0,IF(OR(ISBLANK(Table22[[#This Row],[Class]]),ISBLANK(Table22[[#This Row],[No. of Attendees
(A)]]),ISBLANK(Table22[[#This Row],[Length of Session
(B)]])),1,0))</f>
        <v>0</v>
      </c>
      <c r="E28" s="353"/>
      <c r="F28" s="354"/>
      <c r="G28" s="355"/>
      <c r="H28" s="354"/>
      <c r="I28" s="354"/>
      <c r="J28" s="356"/>
      <c r="K28" s="356"/>
      <c r="L28" s="347"/>
      <c r="M28" s="354"/>
      <c r="N28" s="354"/>
    </row>
    <row r="29" spans="3:14">
      <c r="C29" s="344">
        <f t="shared" si="4"/>
        <v>23</v>
      </c>
      <c r="D29" s="15">
        <f>IF(AND(ISBLANK(Table22[[#This Row],[Start Date]]),ISBLANK(Table22[[#This Row],[Class]]),ISBLANK(Table22[[#This Row],[Class Description]]),ISBLANK(Table22[[#This Row],[No. of Attendees
(A)]])),0,IF(OR(ISBLANK(Table22[[#This Row],[Class]]),ISBLANK(Table22[[#This Row],[No. of Attendees
(A)]]),ISBLANK(Table22[[#This Row],[Length of Session
(B)]])),1,0))</f>
        <v>0</v>
      </c>
      <c r="E29" s="353"/>
      <c r="F29" s="354"/>
      <c r="G29" s="355"/>
      <c r="H29" s="354"/>
      <c r="I29" s="354"/>
      <c r="J29" s="356"/>
      <c r="K29" s="356"/>
      <c r="L29" s="347"/>
      <c r="M29" s="354"/>
      <c r="N29" s="354"/>
    </row>
    <row r="30" spans="3:14">
      <c r="C30" s="344">
        <f t="shared" si="4"/>
        <v>24</v>
      </c>
      <c r="D30" s="15">
        <f>IF(AND(ISBLANK(Table22[[#This Row],[Start Date]]),ISBLANK(Table22[[#This Row],[Class]]),ISBLANK(Table22[[#This Row],[Class Description]]),ISBLANK(Table22[[#This Row],[No. of Attendees
(A)]])),0,IF(OR(ISBLANK(Table22[[#This Row],[Class]]),ISBLANK(Table22[[#This Row],[No. of Attendees
(A)]]),ISBLANK(Table22[[#This Row],[Length of Session
(B)]])),1,0))</f>
        <v>0</v>
      </c>
      <c r="E30" s="353"/>
      <c r="F30" s="354"/>
      <c r="G30" s="355"/>
      <c r="H30" s="354"/>
      <c r="I30" s="354"/>
      <c r="J30" s="356"/>
      <c r="K30" s="356"/>
      <c r="L30" s="347"/>
      <c r="M30" s="354"/>
      <c r="N30" s="354"/>
    </row>
    <row r="31" spans="3:14">
      <c r="C31" s="344">
        <f t="shared" si="4"/>
        <v>25</v>
      </c>
      <c r="D31" s="15">
        <f>IF(AND(ISBLANK(Table22[[#This Row],[Start Date]]),ISBLANK(Table22[[#This Row],[Class]]),ISBLANK(Table22[[#This Row],[Class Description]]),ISBLANK(Table22[[#This Row],[No. of Attendees
(A)]])),0,IF(OR(ISBLANK(Table22[[#This Row],[Class]]),ISBLANK(Table22[[#This Row],[No. of Attendees
(A)]]),ISBLANK(Table22[[#This Row],[Length of Session
(B)]])),1,0))</f>
        <v>0</v>
      </c>
      <c r="E31" s="353"/>
      <c r="F31" s="354"/>
      <c r="G31" s="355"/>
      <c r="H31" s="354"/>
      <c r="I31" s="354"/>
      <c r="J31" s="356"/>
      <c r="K31" s="356"/>
      <c r="L31" s="347"/>
      <c r="M31" s="354"/>
      <c r="N31" s="354"/>
    </row>
    <row r="32" spans="3:14">
      <c r="C32" s="344">
        <f t="shared" si="4"/>
        <v>26</v>
      </c>
      <c r="D32" s="15">
        <f>IF(AND(ISBLANK(Table22[[#This Row],[Start Date]]),ISBLANK(Table22[[#This Row],[Class]]),ISBLANK(Table22[[#This Row],[Class Description]]),ISBLANK(Table22[[#This Row],[No. of Attendees
(A)]])),0,IF(OR(ISBLANK(Table22[[#This Row],[Class]]),ISBLANK(Table22[[#This Row],[No. of Attendees
(A)]]),ISBLANK(Table22[[#This Row],[Length of Session
(B)]])),1,0))</f>
        <v>0</v>
      </c>
      <c r="E32" s="353"/>
      <c r="F32" s="354"/>
      <c r="G32" s="355"/>
      <c r="H32" s="354"/>
      <c r="I32" s="354"/>
      <c r="J32" s="356"/>
      <c r="K32" s="356"/>
      <c r="L32" s="347"/>
      <c r="M32" s="354"/>
      <c r="N32" s="354"/>
    </row>
    <row r="33" spans="3:14">
      <c r="C33" s="344">
        <f t="shared" si="4"/>
        <v>27</v>
      </c>
      <c r="D33" s="15">
        <f>IF(AND(ISBLANK(Table22[[#This Row],[Start Date]]),ISBLANK(Table22[[#This Row],[Class]]),ISBLANK(Table22[[#This Row],[Class Description]]),ISBLANK(Table22[[#This Row],[No. of Attendees
(A)]])),0,IF(OR(ISBLANK(Table22[[#This Row],[Class]]),ISBLANK(Table22[[#This Row],[No. of Attendees
(A)]]),ISBLANK(Table22[[#This Row],[Length of Session
(B)]])),1,0))</f>
        <v>0</v>
      </c>
      <c r="E33" s="353"/>
      <c r="F33" s="354"/>
      <c r="G33" s="355"/>
      <c r="H33" s="354"/>
      <c r="I33" s="354"/>
      <c r="J33" s="356"/>
      <c r="K33" s="356"/>
      <c r="L33" s="347"/>
      <c r="M33" s="354"/>
      <c r="N33" s="354"/>
    </row>
    <row r="34" spans="3:14">
      <c r="C34" s="344">
        <f t="shared" si="4"/>
        <v>28</v>
      </c>
      <c r="D34" s="15">
        <f>IF(AND(ISBLANK(Table22[[#This Row],[Start Date]]),ISBLANK(Table22[[#This Row],[Class]]),ISBLANK(Table22[[#This Row],[Class Description]]),ISBLANK(Table22[[#This Row],[No. of Attendees
(A)]])),0,IF(OR(ISBLANK(Table22[[#This Row],[Class]]),ISBLANK(Table22[[#This Row],[No. of Attendees
(A)]]),ISBLANK(Table22[[#This Row],[Length of Session
(B)]])),1,0))</f>
        <v>0</v>
      </c>
      <c r="E34" s="353"/>
      <c r="F34" s="354"/>
      <c r="G34" s="355"/>
      <c r="H34" s="354"/>
      <c r="I34" s="354"/>
      <c r="J34" s="356"/>
      <c r="K34" s="356"/>
      <c r="L34" s="347"/>
      <c r="M34" s="354"/>
      <c r="N34" s="354"/>
    </row>
    <row r="35" spans="3:14">
      <c r="C35" s="344">
        <f t="shared" si="4"/>
        <v>29</v>
      </c>
      <c r="D35" s="15">
        <f>IF(AND(ISBLANK(Table22[[#This Row],[Start Date]]),ISBLANK(Table22[[#This Row],[Class]]),ISBLANK(Table22[[#This Row],[Class Description]]),ISBLANK(Table22[[#This Row],[No. of Attendees
(A)]])),0,IF(OR(ISBLANK(Table22[[#This Row],[Class]]),ISBLANK(Table22[[#This Row],[No. of Attendees
(A)]]),ISBLANK(Table22[[#This Row],[Length of Session
(B)]])),1,0))</f>
        <v>0</v>
      </c>
      <c r="E35" s="353"/>
      <c r="F35" s="354"/>
      <c r="G35" s="355"/>
      <c r="H35" s="354"/>
      <c r="I35" s="354"/>
      <c r="J35" s="356"/>
      <c r="K35" s="356"/>
      <c r="L35" s="347"/>
      <c r="M35" s="354"/>
      <c r="N35" s="354"/>
    </row>
    <row r="36" spans="3:14">
      <c r="C36" s="344">
        <f t="shared" si="4"/>
        <v>30</v>
      </c>
      <c r="D36" s="15">
        <f>IF(AND(ISBLANK(Table22[[#This Row],[Start Date]]),ISBLANK(Table22[[#This Row],[Class]]),ISBLANK(Table22[[#This Row],[Class Description]]),ISBLANK(Table22[[#This Row],[No. of Attendees
(A)]])),0,IF(OR(ISBLANK(Table22[[#This Row],[Class]]),ISBLANK(Table22[[#This Row],[No. of Attendees
(A)]]),ISBLANK(Table22[[#This Row],[Length of Session
(B)]])),1,0))</f>
        <v>0</v>
      </c>
      <c r="E36" s="353"/>
      <c r="F36" s="354"/>
      <c r="G36" s="355"/>
      <c r="H36" s="354"/>
      <c r="I36" s="354"/>
      <c r="J36" s="356"/>
      <c r="K36" s="356"/>
      <c r="L36" s="347"/>
      <c r="M36" s="354"/>
      <c r="N36" s="354"/>
    </row>
    <row r="37" spans="3:14">
      <c r="C37" s="344">
        <f t="shared" si="4"/>
        <v>31</v>
      </c>
      <c r="D37" s="15">
        <f>IF(AND(ISBLANK(Table22[[#This Row],[Start Date]]),ISBLANK(Table22[[#This Row],[Class]]),ISBLANK(Table22[[#This Row],[Class Description]]),ISBLANK(Table22[[#This Row],[No. of Attendees
(A)]])),0,IF(OR(ISBLANK(Table22[[#This Row],[Class]]),ISBLANK(Table22[[#This Row],[No. of Attendees
(A)]]),ISBLANK(Table22[[#This Row],[Length of Session
(B)]])),1,0))</f>
        <v>0</v>
      </c>
      <c r="E37" s="353"/>
      <c r="F37" s="354"/>
      <c r="G37" s="355"/>
      <c r="H37" s="354"/>
      <c r="I37" s="354"/>
      <c r="J37" s="356"/>
      <c r="K37" s="356"/>
      <c r="L37" s="347"/>
      <c r="M37" s="354"/>
      <c r="N37" s="354"/>
    </row>
    <row r="38" spans="3:14">
      <c r="C38" s="344">
        <f t="shared" si="4"/>
        <v>32</v>
      </c>
      <c r="D38" s="15">
        <f>IF(AND(ISBLANK(Table22[[#This Row],[Start Date]]),ISBLANK(Table22[[#This Row],[Class]]),ISBLANK(Table22[[#This Row],[Class Description]]),ISBLANK(Table22[[#This Row],[No. of Attendees
(A)]])),0,IF(OR(ISBLANK(Table22[[#This Row],[Class]]),ISBLANK(Table22[[#This Row],[No. of Attendees
(A)]]),ISBLANK(Table22[[#This Row],[Length of Session
(B)]])),1,0))</f>
        <v>0</v>
      </c>
      <c r="E38" s="353"/>
      <c r="F38" s="354"/>
      <c r="G38" s="355"/>
      <c r="H38" s="354"/>
      <c r="I38" s="354"/>
      <c r="J38" s="356"/>
      <c r="K38" s="356"/>
      <c r="L38" s="347"/>
      <c r="M38" s="354"/>
      <c r="N38" s="354"/>
    </row>
    <row r="39" spans="3:14">
      <c r="C39" s="344">
        <f t="shared" si="4"/>
        <v>33</v>
      </c>
      <c r="D39" s="15">
        <f>IF(AND(ISBLANK(Table22[[#This Row],[Start Date]]),ISBLANK(Table22[[#This Row],[Class]]),ISBLANK(Table22[[#This Row],[Class Description]]),ISBLANK(Table22[[#This Row],[No. of Attendees
(A)]])),0,IF(OR(ISBLANK(Table22[[#This Row],[Class]]),ISBLANK(Table22[[#This Row],[No. of Attendees
(A)]]),ISBLANK(Table22[[#This Row],[Length of Session
(B)]])),1,0))</f>
        <v>0</v>
      </c>
      <c r="E39" s="353"/>
      <c r="F39" s="354"/>
      <c r="G39" s="355"/>
      <c r="H39" s="354"/>
      <c r="I39" s="354"/>
      <c r="J39" s="356"/>
      <c r="K39" s="356"/>
      <c r="L39" s="347"/>
      <c r="M39" s="354"/>
      <c r="N39" s="354"/>
    </row>
    <row r="40" spans="3:14">
      <c r="C40" s="344">
        <f t="shared" si="4"/>
        <v>34</v>
      </c>
      <c r="D40" s="15">
        <f>IF(AND(ISBLANK(Table22[[#This Row],[Start Date]]),ISBLANK(Table22[[#This Row],[Class]]),ISBLANK(Table22[[#This Row],[Class Description]]),ISBLANK(Table22[[#This Row],[No. of Attendees
(A)]])),0,IF(OR(ISBLANK(Table22[[#This Row],[Class]]),ISBLANK(Table22[[#This Row],[No. of Attendees
(A)]]),ISBLANK(Table22[[#This Row],[Length of Session
(B)]])),1,0))</f>
        <v>0</v>
      </c>
      <c r="E40" s="353"/>
      <c r="F40" s="354"/>
      <c r="G40" s="355"/>
      <c r="H40" s="354"/>
      <c r="I40" s="354"/>
      <c r="J40" s="356"/>
      <c r="K40" s="356"/>
      <c r="L40" s="347"/>
      <c r="M40" s="354"/>
      <c r="N40" s="354"/>
    </row>
    <row r="41" spans="3:14">
      <c r="C41" s="344">
        <f t="shared" si="4"/>
        <v>35</v>
      </c>
      <c r="D41" s="15">
        <f>IF(AND(ISBLANK(Table22[[#This Row],[Start Date]]),ISBLANK(Table22[[#This Row],[Class]]),ISBLANK(Table22[[#This Row],[Class Description]]),ISBLANK(Table22[[#This Row],[No. of Attendees
(A)]])),0,IF(OR(ISBLANK(Table22[[#This Row],[Class]]),ISBLANK(Table22[[#This Row],[No. of Attendees
(A)]]),ISBLANK(Table22[[#This Row],[Length of Session
(B)]])),1,0))</f>
        <v>0</v>
      </c>
      <c r="E41" s="353"/>
      <c r="F41" s="354"/>
      <c r="G41" s="355"/>
      <c r="H41" s="354"/>
      <c r="I41" s="354"/>
      <c r="J41" s="356"/>
      <c r="K41" s="356"/>
      <c r="L41" s="347"/>
      <c r="M41" s="354"/>
      <c r="N41" s="354"/>
    </row>
    <row r="42" spans="3:14">
      <c r="C42" s="344">
        <f t="shared" si="4"/>
        <v>36</v>
      </c>
      <c r="D42" s="15">
        <f>IF(AND(ISBLANK(Table22[[#This Row],[Start Date]]),ISBLANK(Table22[[#This Row],[Class]]),ISBLANK(Table22[[#This Row],[Class Description]]),ISBLANK(Table22[[#This Row],[No. of Attendees
(A)]])),0,IF(OR(ISBLANK(Table22[[#This Row],[Class]]),ISBLANK(Table22[[#This Row],[No. of Attendees
(A)]]),ISBLANK(Table22[[#This Row],[Length of Session
(B)]])),1,0))</f>
        <v>0</v>
      </c>
      <c r="E42" s="353"/>
      <c r="F42" s="354"/>
      <c r="G42" s="355"/>
      <c r="H42" s="354"/>
      <c r="I42" s="354"/>
      <c r="J42" s="356"/>
      <c r="K42" s="356"/>
      <c r="L42" s="347"/>
      <c r="M42" s="354"/>
      <c r="N42" s="354"/>
    </row>
    <row r="43" spans="3:14">
      <c r="C43" s="344">
        <f t="shared" si="4"/>
        <v>37</v>
      </c>
      <c r="D43" s="15">
        <f>IF(AND(ISBLANK(Table22[[#This Row],[Start Date]]),ISBLANK(Table22[[#This Row],[Class]]),ISBLANK(Table22[[#This Row],[Class Description]]),ISBLANK(Table22[[#This Row],[No. of Attendees
(A)]])),0,IF(OR(ISBLANK(Table22[[#This Row],[Class]]),ISBLANK(Table22[[#This Row],[No. of Attendees
(A)]]),ISBLANK(Table22[[#This Row],[Length of Session
(B)]])),1,0))</f>
        <v>0</v>
      </c>
      <c r="E43" s="353"/>
      <c r="F43" s="354"/>
      <c r="G43" s="355"/>
      <c r="H43" s="354"/>
      <c r="I43" s="354"/>
      <c r="J43" s="356"/>
      <c r="K43" s="356"/>
      <c r="L43" s="347"/>
      <c r="M43" s="354"/>
      <c r="N43" s="354"/>
    </row>
    <row r="44" spans="3:14">
      <c r="C44" s="344">
        <f t="shared" si="4"/>
        <v>38</v>
      </c>
      <c r="D44" s="15">
        <f>IF(AND(ISBLANK(Table22[[#This Row],[Start Date]]),ISBLANK(Table22[[#This Row],[Class]]),ISBLANK(Table22[[#This Row],[Class Description]]),ISBLANK(Table22[[#This Row],[No. of Attendees
(A)]])),0,IF(OR(ISBLANK(Table22[[#This Row],[Class]]),ISBLANK(Table22[[#This Row],[No. of Attendees
(A)]]),ISBLANK(Table22[[#This Row],[Length of Session
(B)]])),1,0))</f>
        <v>0</v>
      </c>
      <c r="E44" s="353"/>
      <c r="F44" s="354"/>
      <c r="G44" s="355"/>
      <c r="H44" s="354"/>
      <c r="I44" s="354"/>
      <c r="J44" s="356"/>
      <c r="K44" s="356"/>
      <c r="L44" s="347"/>
      <c r="M44" s="354"/>
      <c r="N44" s="354"/>
    </row>
    <row r="45" spans="3:14">
      <c r="C45" s="344">
        <f t="shared" si="4"/>
        <v>39</v>
      </c>
      <c r="D45" s="15">
        <f>IF(AND(ISBLANK(Table22[[#This Row],[Start Date]]),ISBLANK(Table22[[#This Row],[Class]]),ISBLANK(Table22[[#This Row],[Class Description]]),ISBLANK(Table22[[#This Row],[No. of Attendees
(A)]])),0,IF(OR(ISBLANK(Table22[[#This Row],[Class]]),ISBLANK(Table22[[#This Row],[No. of Attendees
(A)]]),ISBLANK(Table22[[#This Row],[Length of Session
(B)]])),1,0))</f>
        <v>0</v>
      </c>
      <c r="E45" s="353"/>
      <c r="F45" s="354"/>
      <c r="G45" s="355"/>
      <c r="H45" s="354"/>
      <c r="I45" s="354"/>
      <c r="J45" s="356"/>
      <c r="K45" s="356"/>
      <c r="L45" s="347"/>
      <c r="M45" s="354"/>
      <c r="N45" s="354"/>
    </row>
    <row r="46" spans="3:14">
      <c r="C46" s="344">
        <f t="shared" si="4"/>
        <v>40</v>
      </c>
      <c r="D46" s="15">
        <f>IF(AND(ISBLANK(Table22[[#This Row],[Start Date]]),ISBLANK(Table22[[#This Row],[Class]]),ISBLANK(Table22[[#This Row],[Class Description]]),ISBLANK(Table22[[#This Row],[No. of Attendees
(A)]])),0,IF(OR(ISBLANK(Table22[[#This Row],[Class]]),ISBLANK(Table22[[#This Row],[No. of Attendees
(A)]]),ISBLANK(Table22[[#This Row],[Length of Session
(B)]])),1,0))</f>
        <v>0</v>
      </c>
      <c r="E46" s="353"/>
      <c r="F46" s="354"/>
      <c r="G46" s="355"/>
      <c r="H46" s="354"/>
      <c r="I46" s="354"/>
      <c r="J46" s="356"/>
      <c r="K46" s="356"/>
      <c r="L46" s="347"/>
      <c r="M46" s="354"/>
      <c r="N46" s="354"/>
    </row>
    <row r="47" spans="3:14">
      <c r="C47" s="344">
        <f t="shared" si="4"/>
        <v>41</v>
      </c>
      <c r="D47" s="15">
        <f>IF(AND(ISBLANK(Table22[[#This Row],[Start Date]]),ISBLANK(Table22[[#This Row],[Class]]),ISBLANK(Table22[[#This Row],[Class Description]]),ISBLANK(Table22[[#This Row],[No. of Attendees
(A)]])),0,IF(OR(ISBLANK(Table22[[#This Row],[Class]]),ISBLANK(Table22[[#This Row],[No. of Attendees
(A)]]),ISBLANK(Table22[[#This Row],[Length of Session
(B)]])),1,0))</f>
        <v>0</v>
      </c>
      <c r="E47" s="353"/>
      <c r="F47" s="354"/>
      <c r="G47" s="355"/>
      <c r="H47" s="354"/>
      <c r="I47" s="354"/>
      <c r="J47" s="356"/>
      <c r="K47" s="356"/>
      <c r="L47" s="347"/>
      <c r="M47" s="354"/>
      <c r="N47" s="354"/>
    </row>
    <row r="48" spans="3:14">
      <c r="C48" s="344">
        <f t="shared" si="4"/>
        <v>42</v>
      </c>
      <c r="D48" s="15">
        <f>IF(AND(ISBLANK(Table22[[#This Row],[Start Date]]),ISBLANK(Table22[[#This Row],[Class]]),ISBLANK(Table22[[#This Row],[Class Description]]),ISBLANK(Table22[[#This Row],[No. of Attendees
(A)]])),0,IF(OR(ISBLANK(Table22[[#This Row],[Class]]),ISBLANK(Table22[[#This Row],[No. of Attendees
(A)]]),ISBLANK(Table22[[#This Row],[Length of Session
(B)]])),1,0))</f>
        <v>0</v>
      </c>
      <c r="E48" s="353"/>
      <c r="F48" s="354"/>
      <c r="G48" s="355"/>
      <c r="H48" s="354"/>
      <c r="I48" s="354"/>
      <c r="J48" s="356"/>
      <c r="K48" s="356"/>
      <c r="L48" s="347"/>
      <c r="M48" s="354"/>
      <c r="N48" s="354"/>
    </row>
    <row r="49" spans="3:14">
      <c r="C49" s="344">
        <f t="shared" si="4"/>
        <v>43</v>
      </c>
      <c r="D49" s="15">
        <f>IF(AND(ISBLANK(Table22[[#This Row],[Start Date]]),ISBLANK(Table22[[#This Row],[Class]]),ISBLANK(Table22[[#This Row],[Class Description]]),ISBLANK(Table22[[#This Row],[No. of Attendees
(A)]])),0,IF(OR(ISBLANK(Table22[[#This Row],[Class]]),ISBLANK(Table22[[#This Row],[No. of Attendees
(A)]]),ISBLANK(Table22[[#This Row],[Length of Session
(B)]])),1,0))</f>
        <v>0</v>
      </c>
      <c r="E49" s="353"/>
      <c r="F49" s="354"/>
      <c r="G49" s="355"/>
      <c r="H49" s="354"/>
      <c r="I49" s="354"/>
      <c r="J49" s="356"/>
      <c r="K49" s="356"/>
      <c r="L49" s="347"/>
      <c r="M49" s="354"/>
      <c r="N49" s="354"/>
    </row>
    <row r="50" spans="3:14">
      <c r="C50" s="344">
        <f t="shared" si="4"/>
        <v>44</v>
      </c>
      <c r="D50" s="15">
        <f>IF(AND(ISBLANK(Table22[[#This Row],[Start Date]]),ISBLANK(Table22[[#This Row],[Class]]),ISBLANK(Table22[[#This Row],[Class Description]]),ISBLANK(Table22[[#This Row],[No. of Attendees
(A)]])),0,IF(OR(ISBLANK(Table22[[#This Row],[Class]]),ISBLANK(Table22[[#This Row],[No. of Attendees
(A)]]),ISBLANK(Table22[[#This Row],[Length of Session
(B)]])),1,0))</f>
        <v>0</v>
      </c>
      <c r="E50" s="353"/>
      <c r="F50" s="354"/>
      <c r="G50" s="355"/>
      <c r="H50" s="354"/>
      <c r="I50" s="354"/>
      <c r="J50" s="356"/>
      <c r="K50" s="356"/>
      <c r="L50" s="347"/>
      <c r="M50" s="354"/>
      <c r="N50" s="354"/>
    </row>
    <row r="51" spans="3:14">
      <c r="C51" s="344">
        <f t="shared" si="4"/>
        <v>45</v>
      </c>
      <c r="D51" s="15">
        <f>IF(AND(ISBLANK(Table22[[#This Row],[Start Date]]),ISBLANK(Table22[[#This Row],[Class]]),ISBLANK(Table22[[#This Row],[Class Description]]),ISBLANK(Table22[[#This Row],[No. of Attendees
(A)]])),0,IF(OR(ISBLANK(Table22[[#This Row],[Class]]),ISBLANK(Table22[[#This Row],[No. of Attendees
(A)]]),ISBLANK(Table22[[#This Row],[Length of Session
(B)]])),1,0))</f>
        <v>0</v>
      </c>
      <c r="E51" s="353"/>
      <c r="F51" s="354"/>
      <c r="G51" s="355"/>
      <c r="H51" s="354"/>
      <c r="I51" s="354"/>
      <c r="J51" s="356"/>
      <c r="K51" s="356"/>
      <c r="L51" s="347"/>
      <c r="M51" s="354"/>
      <c r="N51" s="354"/>
    </row>
    <row r="52" spans="3:14">
      <c r="C52" s="344">
        <f t="shared" si="4"/>
        <v>46</v>
      </c>
      <c r="D52" s="15">
        <f>IF(AND(ISBLANK(Table22[[#This Row],[Start Date]]),ISBLANK(Table22[[#This Row],[Class]]),ISBLANK(Table22[[#This Row],[Class Description]]),ISBLANK(Table22[[#This Row],[No. of Attendees
(A)]])),0,IF(OR(ISBLANK(Table22[[#This Row],[Class]]),ISBLANK(Table22[[#This Row],[No. of Attendees
(A)]]),ISBLANK(Table22[[#This Row],[Length of Session
(B)]])),1,0))</f>
        <v>0</v>
      </c>
      <c r="E52" s="353"/>
      <c r="F52" s="354"/>
      <c r="G52" s="355"/>
      <c r="H52" s="354"/>
      <c r="I52" s="354"/>
      <c r="J52" s="356"/>
      <c r="K52" s="356"/>
      <c r="L52" s="347"/>
      <c r="M52" s="354"/>
      <c r="N52" s="354"/>
    </row>
    <row r="53" spans="3:14">
      <c r="C53" s="344">
        <f t="shared" si="4"/>
        <v>47</v>
      </c>
      <c r="D53" s="15">
        <f>IF(AND(ISBLANK(Table22[[#This Row],[Start Date]]),ISBLANK(Table22[[#This Row],[Class]]),ISBLANK(Table22[[#This Row],[Class Description]]),ISBLANK(Table22[[#This Row],[No. of Attendees
(A)]])),0,IF(OR(ISBLANK(Table22[[#This Row],[Class]]),ISBLANK(Table22[[#This Row],[No. of Attendees
(A)]]),ISBLANK(Table22[[#This Row],[Length of Session
(B)]])),1,0))</f>
        <v>0</v>
      </c>
      <c r="E53" s="353"/>
      <c r="F53" s="354"/>
      <c r="G53" s="355"/>
      <c r="H53" s="354"/>
      <c r="I53" s="354"/>
      <c r="J53" s="356"/>
      <c r="K53" s="356"/>
      <c r="L53" s="347"/>
      <c r="M53" s="354"/>
      <c r="N53" s="354"/>
    </row>
    <row r="54" spans="3:14">
      <c r="C54" s="344">
        <f t="shared" si="4"/>
        <v>48</v>
      </c>
      <c r="D54" s="15">
        <f>IF(AND(ISBLANK(Table22[[#This Row],[Start Date]]),ISBLANK(Table22[[#This Row],[Class]]),ISBLANK(Table22[[#This Row],[Class Description]]),ISBLANK(Table22[[#This Row],[No. of Attendees
(A)]])),0,IF(OR(ISBLANK(Table22[[#This Row],[Class]]),ISBLANK(Table22[[#This Row],[No. of Attendees
(A)]]),ISBLANK(Table22[[#This Row],[Length of Session
(B)]])),1,0))</f>
        <v>0</v>
      </c>
      <c r="E54" s="353"/>
      <c r="F54" s="354"/>
      <c r="G54" s="355"/>
      <c r="H54" s="354"/>
      <c r="I54" s="354"/>
      <c r="J54" s="356"/>
      <c r="K54" s="356"/>
      <c r="L54" s="347"/>
      <c r="M54" s="354"/>
      <c r="N54" s="354"/>
    </row>
    <row r="55" spans="3:14">
      <c r="C55" s="348" t="s">
        <v>210</v>
      </c>
      <c r="D55" s="352">
        <f>SUM(Table22[Test])</f>
        <v>0</v>
      </c>
      <c r="E55" s="348" t="s">
        <v>211</v>
      </c>
      <c r="F55" s="349">
        <f>COUNTA(Table22[Class])</f>
        <v>18</v>
      </c>
      <c r="G55" s="350"/>
      <c r="H55" s="350"/>
      <c r="I55" s="350"/>
      <c r="J55" s="351">
        <f>SUM(J7:J54)</f>
        <v>46</v>
      </c>
      <c r="K55" s="350"/>
      <c r="L55" s="351">
        <f>SUM(L7:L12)</f>
        <v>106</v>
      </c>
      <c r="M55" s="350"/>
      <c r="N55" s="351">
        <f>SUM(N7:N54)</f>
        <v>22</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cols>
    <col min="1" max="1" width="1" style="2" customWidth="1"/>
    <col min="2" max="2" width="4.42578125" style="2" customWidth="1"/>
    <col min="3" max="9" width="10.7109375" style="2" customWidth="1"/>
    <col min="10" max="10" width="9.140625" style="2" customWidth="1"/>
    <col min="11" max="11" width="10.7109375" style="2" customWidth="1"/>
    <col min="12" max="12" width="9.140625" style="2" customWidth="1"/>
    <col min="13" max="13" width="10.7109375" style="2" customWidth="1"/>
    <col min="14" max="14" width="9.140625" style="2" customWidth="1"/>
    <col min="15" max="15" width="4.7109375" style="2" customWidth="1"/>
    <col min="16" max="16" width="1" style="2" customWidth="1"/>
    <col min="17" max="17" width="16" style="2" customWidth="1"/>
    <col min="18" max="16384" width="9.140625" style="2"/>
  </cols>
  <sheetData>
    <row r="1" spans="2:15" ht="28.5" customHeight="1"/>
    <row r="2" spans="2:15" ht="64.5" customHeight="1">
      <c r="B2" s="569"/>
      <c r="C2" s="570"/>
      <c r="D2" s="570"/>
      <c r="E2" s="570"/>
      <c r="F2" s="570"/>
      <c r="G2" s="570"/>
      <c r="H2" s="570"/>
      <c r="I2" s="570"/>
      <c r="J2" s="570"/>
      <c r="K2" s="570"/>
      <c r="L2" s="570"/>
      <c r="M2" s="570"/>
      <c r="N2" s="570"/>
      <c r="O2" s="571"/>
    </row>
    <row r="3" spans="2:15" ht="7.5" customHeight="1">
      <c r="B3" s="530"/>
      <c r="C3" s="572"/>
      <c r="D3" s="572"/>
      <c r="E3" s="572"/>
      <c r="F3" s="572"/>
      <c r="G3" s="572"/>
      <c r="H3" s="572"/>
      <c r="I3" s="572"/>
      <c r="J3" s="572"/>
      <c r="K3" s="572"/>
      <c r="L3" s="572"/>
      <c r="M3" s="572"/>
      <c r="N3" s="572"/>
      <c r="O3" s="531"/>
    </row>
    <row r="4" spans="2:15" ht="15" customHeight="1">
      <c r="B4" s="3"/>
      <c r="C4" s="282"/>
      <c r="D4" s="268"/>
      <c r="E4" s="268"/>
      <c r="F4" s="268"/>
      <c r="G4" s="268"/>
      <c r="H4" s="268"/>
      <c r="I4" s="268"/>
      <c r="J4" s="268"/>
      <c r="K4" s="268"/>
      <c r="L4" s="268"/>
      <c r="M4" s="268"/>
      <c r="N4" s="268"/>
      <c r="O4" s="4"/>
    </row>
    <row r="5" spans="2:15" ht="15" customHeight="1">
      <c r="B5" s="3"/>
      <c r="C5" s="283"/>
      <c r="D5" s="284"/>
      <c r="E5" s="268"/>
      <c r="F5" s="283"/>
      <c r="G5" s="283"/>
      <c r="I5" s="284"/>
      <c r="J5" s="268"/>
      <c r="K5" s="284"/>
      <c r="L5" s="268"/>
      <c r="M5" s="284"/>
      <c r="N5" s="268"/>
      <c r="O5" s="4"/>
    </row>
    <row r="6" spans="2:15" ht="50.25" customHeight="1">
      <c r="B6" s="3"/>
      <c r="D6" s="285"/>
      <c r="E6" s="285"/>
      <c r="F6" s="285"/>
      <c r="G6" s="285"/>
      <c r="H6" s="285"/>
      <c r="I6" s="285"/>
      <c r="J6" s="286"/>
      <c r="K6" s="285"/>
      <c r="L6" s="286"/>
      <c r="M6" s="285"/>
      <c r="N6" s="286"/>
      <c r="O6" s="4"/>
    </row>
    <row r="7" spans="2:15" ht="11.25" customHeight="1">
      <c r="B7" s="3"/>
      <c r="H7" s="287"/>
      <c r="I7" s="287"/>
      <c r="J7" s="287"/>
      <c r="K7" s="287"/>
      <c r="L7" s="287"/>
      <c r="M7" s="287"/>
      <c r="N7" s="287"/>
      <c r="O7" s="4"/>
    </row>
    <row r="8" spans="2:15" ht="15" customHeight="1">
      <c r="B8" s="3"/>
      <c r="C8" s="218"/>
      <c r="D8" s="288"/>
      <c r="E8" s="289"/>
      <c r="F8" s="288"/>
      <c r="G8" s="288"/>
      <c r="H8" s="231"/>
      <c r="I8" s="231"/>
      <c r="J8" s="290"/>
      <c r="K8" s="291"/>
      <c r="L8" s="290"/>
      <c r="M8" s="231"/>
      <c r="N8" s="290"/>
      <c r="O8" s="4"/>
    </row>
    <row r="9" spans="2:15" ht="15" customHeight="1">
      <c r="B9" s="3"/>
      <c r="C9" s="218"/>
      <c r="D9" s="288"/>
      <c r="E9" s="289"/>
      <c r="F9" s="288"/>
      <c r="G9" s="288"/>
      <c r="H9" s="231"/>
      <c r="I9" s="231"/>
      <c r="J9" s="290"/>
      <c r="K9" s="291"/>
      <c r="L9" s="290"/>
      <c r="M9" s="231"/>
      <c r="N9" s="290"/>
      <c r="O9" s="4"/>
    </row>
    <row r="10" spans="2:15" ht="15" customHeight="1">
      <c r="B10" s="3"/>
      <c r="C10" s="218"/>
      <c r="D10" s="288"/>
      <c r="E10" s="687" t="s">
        <v>257</v>
      </c>
      <c r="F10" s="687"/>
      <c r="G10" s="687"/>
      <c r="H10" s="687"/>
      <c r="I10" s="687"/>
      <c r="J10" s="687"/>
      <c r="K10" s="291"/>
      <c r="L10" s="290"/>
      <c r="M10" s="231"/>
      <c r="N10" s="290"/>
      <c r="O10" s="4"/>
    </row>
    <row r="11" spans="2:15" ht="15" customHeight="1">
      <c r="B11" s="3"/>
      <c r="C11" s="218"/>
      <c r="D11" s="288"/>
      <c r="E11" s="289"/>
      <c r="F11" s="288"/>
      <c r="G11" s="288"/>
      <c r="H11" s="231"/>
      <c r="I11" s="231"/>
      <c r="J11" s="290"/>
      <c r="K11" s="291"/>
      <c r="L11" s="290"/>
      <c r="M11" s="231"/>
      <c r="N11" s="290"/>
      <c r="O11" s="4"/>
    </row>
    <row r="12" spans="2:15" ht="15" customHeight="1">
      <c r="B12" s="3"/>
      <c r="C12" s="218"/>
      <c r="D12" s="288"/>
      <c r="E12" s="289"/>
      <c r="F12" s="288"/>
      <c r="G12" s="288"/>
      <c r="H12" s="231"/>
      <c r="I12" s="231"/>
      <c r="J12" s="290"/>
      <c r="K12" s="291"/>
      <c r="L12" s="290"/>
      <c r="M12" s="231"/>
      <c r="N12" s="290"/>
      <c r="O12" s="4"/>
    </row>
    <row r="13" spans="2:15" ht="15" customHeight="1">
      <c r="B13" s="3"/>
      <c r="O13" s="4"/>
    </row>
    <row r="14" spans="2:15" ht="15" customHeight="1">
      <c r="B14" s="3"/>
      <c r="O14" s="4"/>
    </row>
    <row r="15" spans="2:15" ht="15" customHeight="1">
      <c r="B15" s="3"/>
      <c r="D15" s="686"/>
      <c r="E15" s="686"/>
      <c r="F15" s="686"/>
      <c r="G15" s="686"/>
      <c r="H15" s="686"/>
      <c r="I15" s="686"/>
      <c r="J15" s="686"/>
      <c r="K15" s="686"/>
      <c r="L15" s="686"/>
      <c r="M15" s="686"/>
      <c r="O15" s="4"/>
    </row>
    <row r="16" spans="2:15" ht="15" customHeight="1">
      <c r="B16" s="3"/>
      <c r="D16" s="555"/>
      <c r="E16" s="685"/>
      <c r="F16" s="685"/>
      <c r="G16" s="685"/>
      <c r="H16" s="685"/>
      <c r="I16" s="685"/>
      <c r="J16" s="685"/>
      <c r="K16" s="685"/>
      <c r="L16" s="685"/>
      <c r="M16" s="685"/>
      <c r="O16" s="4"/>
    </row>
    <row r="17" spans="2:15" ht="15" customHeight="1">
      <c r="B17" s="3"/>
      <c r="D17" s="555"/>
      <c r="O17" s="4"/>
    </row>
    <row r="18" spans="2:15" ht="15" customHeight="1">
      <c r="B18" s="3"/>
      <c r="D18" s="555"/>
      <c r="O18" s="4"/>
    </row>
    <row r="19" spans="2:15" ht="15" customHeight="1">
      <c r="B19" s="3"/>
      <c r="D19" s="555"/>
      <c r="O19" s="4"/>
    </row>
    <row r="20" spans="2:15" ht="15" customHeight="1">
      <c r="B20" s="3"/>
      <c r="D20" s="555"/>
      <c r="O20" s="4"/>
    </row>
    <row r="21" spans="2:15" ht="15" customHeight="1">
      <c r="B21" s="3"/>
      <c r="D21" s="555"/>
      <c r="O21" s="4"/>
    </row>
    <row r="22" spans="2:15" ht="15" customHeight="1">
      <c r="B22" s="3"/>
      <c r="D22" s="555"/>
      <c r="O22" s="4"/>
    </row>
    <row r="23" spans="2:15" ht="15" customHeight="1">
      <c r="B23" s="3"/>
      <c r="D23" s="555"/>
      <c r="O23" s="4"/>
    </row>
    <row r="24" spans="2:15" ht="15" customHeight="1">
      <c r="B24" s="3"/>
      <c r="D24" s="555"/>
      <c r="O24" s="4"/>
    </row>
    <row r="25" spans="2:15" ht="15" customHeight="1">
      <c r="B25" s="5"/>
      <c r="C25" s="6"/>
      <c r="D25" s="6"/>
      <c r="E25" s="6"/>
      <c r="F25" s="6"/>
      <c r="G25" s="6"/>
      <c r="H25" s="6"/>
      <c r="I25" s="6"/>
      <c r="J25" s="6"/>
      <c r="K25" s="6"/>
      <c r="L25" s="6"/>
      <c r="M25" s="6"/>
      <c r="N25" s="6"/>
      <c r="O25" s="7"/>
    </row>
    <row r="26" spans="2:15" ht="15" customHeight="1"/>
    <row r="27" spans="2:15" ht="15" customHeight="1"/>
    <row r="28" spans="2:15" ht="15" customHeight="1"/>
    <row r="29" spans="2:15" ht="15" customHeight="1"/>
    <row r="30" spans="2:15" ht="15" customHeight="1"/>
    <row r="31" spans="2:15" ht="15" customHeight="1"/>
    <row r="32" spans="2: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K179"/>
  <sheetViews>
    <sheetView showGridLines="0" showRowColHeaders="0" zoomScale="110" zoomScaleNormal="110" workbookViewId="0">
      <pane ySplit="4" topLeftCell="A5" activePane="bottomLeft" state="frozen"/>
      <selection pane="bottomLeft" activeCell="F13" sqref="F13"/>
    </sheetView>
  </sheetViews>
  <sheetFormatPr defaultColWidth="9.140625" defaultRowHeight="12.75"/>
  <cols>
    <col min="1" max="1" width="1" style="2" customWidth="1"/>
    <col min="2" max="2" width="3.7109375" style="2" customWidth="1"/>
    <col min="3" max="3" width="36.42578125" style="2" customWidth="1"/>
    <col min="4" max="4" width="14.140625" style="2" bestFit="1" customWidth="1"/>
    <col min="5" max="5" width="13.5703125" style="2" bestFit="1" customWidth="1"/>
    <col min="6" max="6" width="15.5703125" style="2" bestFit="1" customWidth="1"/>
    <col min="7" max="7" width="13.5703125" style="2" bestFit="1" customWidth="1"/>
    <col min="8" max="8" width="12" style="2" bestFit="1" customWidth="1"/>
    <col min="9" max="9" width="14.5703125" style="2" bestFit="1" customWidth="1"/>
    <col min="10" max="10" width="13.85546875" style="2" customWidth="1"/>
    <col min="11" max="11" width="2.7109375" style="2" customWidth="1"/>
    <col min="12" max="12" width="1" style="2" customWidth="1"/>
    <col min="13" max="13" width="16" style="2" customWidth="1"/>
    <col min="14" max="16384" width="9.140625" style="2"/>
  </cols>
  <sheetData>
    <row r="1" spans="1:11" ht="28.5" customHeight="1"/>
    <row r="2" spans="1:11" ht="64.5" customHeight="1">
      <c r="B2" s="569"/>
      <c r="C2" s="570"/>
      <c r="D2" s="570"/>
      <c r="E2" s="570"/>
      <c r="F2" s="570"/>
      <c r="G2" s="570"/>
      <c r="H2" s="570"/>
      <c r="I2" s="570"/>
      <c r="J2" s="570"/>
      <c r="K2" s="571"/>
    </row>
    <row r="3" spans="1:11" ht="7.5" customHeight="1">
      <c r="B3" s="530"/>
      <c r="C3" s="572"/>
      <c r="D3" s="572"/>
      <c r="E3" s="572"/>
      <c r="F3" s="572"/>
      <c r="G3" s="572"/>
      <c r="H3" s="572"/>
      <c r="I3" s="572"/>
      <c r="J3" s="572"/>
      <c r="K3" s="531"/>
    </row>
    <row r="4" spans="1:11" ht="26.25">
      <c r="B4" s="3"/>
      <c r="C4" s="8" t="s">
        <v>85</v>
      </c>
      <c r="D4" s="243" t="str">
        <f>Cost!B4</f>
        <v>Planning / Design</v>
      </c>
      <c r="E4" s="243" t="str">
        <f>Cost!C4</f>
        <v>Marketing &amp; Delivery</v>
      </c>
      <c r="F4" s="243" t="str">
        <f>Cost!B14</f>
        <v>Incentives / Direct Install Costs</v>
      </c>
      <c r="G4" s="243" t="str">
        <f>Cost!C19</f>
        <v>EM&amp;V</v>
      </c>
      <c r="H4" s="243" t="str">
        <f>Cost!B25</f>
        <v>Administration</v>
      </c>
      <c r="I4" s="244" t="s">
        <v>145</v>
      </c>
      <c r="J4" s="244"/>
      <c r="K4" s="4"/>
    </row>
    <row r="5" spans="1:11" ht="15" customHeight="1">
      <c r="A5" s="2" t="s">
        <v>258</v>
      </c>
      <c r="B5" s="247">
        <v>1</v>
      </c>
      <c r="C5" s="9" t="str">
        <f>'Program Descriptions'!C5</f>
        <v>Residential Solutions Program</v>
      </c>
      <c r="D5" s="518">
        <f>SUM(D6:D8)</f>
        <v>1136040.2</v>
      </c>
      <c r="E5" s="518">
        <f>SUM(E6:E8)</f>
        <v>196990.2</v>
      </c>
      <c r="F5" s="518">
        <f>SUM(F6:F8)</f>
        <v>2608918.3199999998</v>
      </c>
      <c r="G5" s="518">
        <f>SUM(G6:G8)</f>
        <v>438478.21</v>
      </c>
      <c r="H5" s="518">
        <f>SUM(H6:H8)</f>
        <v>187993.19</v>
      </c>
      <c r="I5" s="516">
        <f>SUM(D5:H5)</f>
        <v>4568420.12</v>
      </c>
      <c r="J5" s="10"/>
      <c r="K5" s="4"/>
    </row>
    <row r="6" spans="1:11" ht="15" customHeight="1">
      <c r="B6" s="3"/>
      <c r="C6" s="52" t="s">
        <v>259</v>
      </c>
      <c r="D6" s="590"/>
      <c r="E6" s="590">
        <v>196990.2</v>
      </c>
      <c r="F6" s="590"/>
      <c r="G6" s="590"/>
      <c r="H6" s="590">
        <f>18982.47+169010.72</f>
        <v>187993.19</v>
      </c>
      <c r="I6" s="517">
        <f>SUM(D6:H6)</f>
        <v>384983.39</v>
      </c>
      <c r="J6" s="51"/>
      <c r="K6" s="4"/>
    </row>
    <row r="7" spans="1:11" ht="15" customHeight="1">
      <c r="B7" s="3"/>
      <c r="C7" s="52" t="s">
        <v>260</v>
      </c>
      <c r="D7" s="590"/>
      <c r="E7" s="590"/>
      <c r="F7" s="590"/>
      <c r="G7" s="590"/>
      <c r="H7" s="590"/>
      <c r="I7" s="517">
        <f t="shared" ref="I7:I36" si="0">SUM(D7:H7)</f>
        <v>0</v>
      </c>
      <c r="J7" s="51"/>
      <c r="K7" s="4"/>
    </row>
    <row r="8" spans="1:11" ht="15" customHeight="1">
      <c r="B8" s="3"/>
      <c r="C8" s="52" t="s">
        <v>261</v>
      </c>
      <c r="D8" s="590">
        <v>1136040.2</v>
      </c>
      <c r="E8" s="590"/>
      <c r="F8" s="590">
        <v>2608918.3199999998</v>
      </c>
      <c r="G8" s="590">
        <v>438478.21</v>
      </c>
      <c r="H8" s="590"/>
      <c r="I8" s="517">
        <f>SUM(D8:H8)</f>
        <v>4183436.7299999995</v>
      </c>
      <c r="J8" s="51"/>
      <c r="K8" s="4"/>
    </row>
    <row r="9" spans="1:11" ht="15" customHeight="1">
      <c r="B9" s="247">
        <f>B5+1</f>
        <v>2</v>
      </c>
      <c r="C9" s="9" t="str">
        <f>'Program Descriptions'!C6</f>
        <v>Access to Afford Energy &amp; Conservation</v>
      </c>
      <c r="D9" s="518">
        <f>SUM(D10:D12)</f>
        <v>492888.91</v>
      </c>
      <c r="E9" s="518">
        <f>SUM(E10:E12)</f>
        <v>12781.23</v>
      </c>
      <c r="F9" s="518">
        <f>SUM(F10:F12)</f>
        <v>785198.56</v>
      </c>
      <c r="G9" s="518">
        <f>SUM(G10:G12)</f>
        <v>111180.63</v>
      </c>
      <c r="H9" s="518">
        <f>SUM(H10:H12)</f>
        <v>49836.09</v>
      </c>
      <c r="I9" s="516">
        <f t="shared" si="0"/>
        <v>1451885.4200000002</v>
      </c>
      <c r="J9" s="10"/>
      <c r="K9" s="4"/>
    </row>
    <row r="10" spans="1:11" ht="15" customHeight="1">
      <c r="B10" s="3"/>
      <c r="C10" s="52" t="s">
        <v>259</v>
      </c>
      <c r="D10" s="590"/>
      <c r="E10" s="590">
        <v>12781.23</v>
      </c>
      <c r="F10" s="590"/>
      <c r="G10" s="590"/>
      <c r="H10" s="590">
        <f>7955.09+41881</f>
        <v>49836.09</v>
      </c>
      <c r="I10" s="517">
        <f>SUM(D10:H10)</f>
        <v>62617.319999999992</v>
      </c>
      <c r="J10" s="51"/>
      <c r="K10" s="4"/>
    </row>
    <row r="11" spans="1:11" ht="15" customHeight="1">
      <c r="B11" s="3"/>
      <c r="C11" s="52" t="s">
        <v>260</v>
      </c>
      <c r="D11" s="591"/>
      <c r="E11" s="591"/>
      <c r="F11" s="591"/>
      <c r="G11" s="591"/>
      <c r="H11" s="591"/>
      <c r="I11" s="517">
        <f>SUM(D11:H11)</f>
        <v>0</v>
      </c>
      <c r="J11" s="51"/>
      <c r="K11" s="4"/>
    </row>
    <row r="12" spans="1:11" ht="15" customHeight="1">
      <c r="B12" s="3"/>
      <c r="C12" s="52" t="s">
        <v>261</v>
      </c>
      <c r="D12" s="590">
        <v>492888.91</v>
      </c>
      <c r="E12" s="591"/>
      <c r="F12" s="590">
        <v>785198.56</v>
      </c>
      <c r="G12" s="590">
        <v>111180.63</v>
      </c>
      <c r="H12" s="591"/>
      <c r="I12" s="517">
        <f>SUM(D12:H12)</f>
        <v>1389268.1</v>
      </c>
      <c r="J12" s="51"/>
      <c r="K12" s="4"/>
    </row>
    <row r="13" spans="1:11" ht="15" customHeight="1">
      <c r="B13" s="247">
        <f>B9+1</f>
        <v>3</v>
      </c>
      <c r="C13" s="9" t="str">
        <f>'Program Descriptions'!C7</f>
        <v>Commercial Solutions</v>
      </c>
      <c r="D13" s="248">
        <f>SUM(D14:D16)</f>
        <v>1157790.56</v>
      </c>
      <c r="E13" s="248">
        <f>SUM(E14:E16)</f>
        <v>119906.38</v>
      </c>
      <c r="F13" s="248">
        <f>SUM(F14:F16)</f>
        <v>1747632.4</v>
      </c>
      <c r="G13" s="248">
        <f>SUM(G14:G16)</f>
        <v>1112507.43</v>
      </c>
      <c r="H13" s="248">
        <f>SUM(H14:H16)</f>
        <v>197393.75</v>
      </c>
      <c r="I13" s="516">
        <f t="shared" si="0"/>
        <v>4335230.5199999996</v>
      </c>
      <c r="J13" s="10"/>
      <c r="K13" s="4"/>
    </row>
    <row r="14" spans="1:11" ht="15" customHeight="1">
      <c r="B14" s="3"/>
      <c r="C14" s="52" t="s">
        <v>259</v>
      </c>
      <c r="D14" s="590"/>
      <c r="E14" s="590">
        <v>119906.38</v>
      </c>
      <c r="F14" s="590">
        <v>1747632.4</v>
      </c>
      <c r="G14" s="590">
        <v>1112507.43</v>
      </c>
      <c r="H14" s="592">
        <f>169592.86+27800.89</f>
        <v>197393.75</v>
      </c>
      <c r="I14" s="517">
        <f t="shared" si="0"/>
        <v>3177439.96</v>
      </c>
      <c r="J14" s="51"/>
      <c r="K14" s="4"/>
    </row>
    <row r="15" spans="1:11" ht="15" customHeight="1">
      <c r="B15" s="3"/>
      <c r="C15" s="52" t="s">
        <v>260</v>
      </c>
      <c r="D15" s="590"/>
      <c r="E15" s="590"/>
      <c r="F15" s="590"/>
      <c r="G15" s="590"/>
      <c r="H15" s="590"/>
      <c r="I15" s="517">
        <f t="shared" si="0"/>
        <v>0</v>
      </c>
      <c r="J15" s="51"/>
      <c r="K15" s="4"/>
    </row>
    <row r="16" spans="1:11" ht="15" customHeight="1">
      <c r="B16" s="3"/>
      <c r="C16" s="52" t="s">
        <v>261</v>
      </c>
      <c r="D16" s="590">
        <v>1157790.56</v>
      </c>
      <c r="E16" s="590"/>
      <c r="F16" s="590"/>
      <c r="G16" s="590"/>
      <c r="H16" s="590"/>
      <c r="I16" s="517">
        <f t="shared" si="0"/>
        <v>1157790.56</v>
      </c>
      <c r="J16" s="51"/>
      <c r="K16" s="4"/>
    </row>
    <row r="17" spans="2:11" ht="15" hidden="1" customHeight="1">
      <c r="B17" s="247">
        <f>B13+1</f>
        <v>4</v>
      </c>
      <c r="C17" s="9" t="str">
        <f>'Program Descriptions'!C8</f>
        <v>Empty</v>
      </c>
      <c r="D17" s="248">
        <f>SUM(D18:D20)</f>
        <v>0</v>
      </c>
      <c r="E17" s="248">
        <f>SUM(E18:E20)</f>
        <v>0</v>
      </c>
      <c r="F17" s="248">
        <f>SUM(F18:F20)</f>
        <v>0</v>
      </c>
      <c r="G17" s="248">
        <f>SUM(G18:G20)</f>
        <v>0</v>
      </c>
      <c r="H17" s="248">
        <f>SUM(H18:H20)</f>
        <v>0</v>
      </c>
      <c r="I17" s="516">
        <f t="shared" si="0"/>
        <v>0</v>
      </c>
      <c r="J17" s="10"/>
      <c r="K17" s="4"/>
    </row>
    <row r="18" spans="2:11" ht="15" hidden="1" customHeight="1">
      <c r="B18" s="3"/>
      <c r="C18" s="52" t="s">
        <v>259</v>
      </c>
      <c r="D18" s="579"/>
      <c r="E18" s="579"/>
      <c r="F18" s="579"/>
      <c r="G18" s="579"/>
      <c r="H18" s="579"/>
      <c r="I18" s="51">
        <f t="shared" si="0"/>
        <v>0</v>
      </c>
      <c r="J18" s="51"/>
      <c r="K18" s="4"/>
    </row>
    <row r="19" spans="2:11" ht="15" hidden="1" customHeight="1">
      <c r="B19" s="3"/>
      <c r="C19" s="52" t="s">
        <v>260</v>
      </c>
      <c r="D19" s="579"/>
      <c r="E19" s="579"/>
      <c r="F19" s="579"/>
      <c r="G19" s="579"/>
      <c r="H19" s="579"/>
      <c r="I19" s="51">
        <f t="shared" si="0"/>
        <v>0</v>
      </c>
      <c r="J19" s="51"/>
      <c r="K19" s="4"/>
    </row>
    <row r="20" spans="2:11" ht="15" hidden="1" customHeight="1">
      <c r="B20" s="3"/>
      <c r="C20" s="52" t="s">
        <v>261</v>
      </c>
      <c r="D20" s="579"/>
      <c r="E20" s="579"/>
      <c r="F20" s="579"/>
      <c r="G20" s="579"/>
      <c r="H20" s="579"/>
      <c r="I20" s="51">
        <f t="shared" si="0"/>
        <v>0</v>
      </c>
      <c r="J20" s="51"/>
      <c r="K20" s="4"/>
    </row>
    <row r="21" spans="2:11" ht="15" hidden="1" customHeight="1">
      <c r="B21" s="247">
        <f>B17+1</f>
        <v>5</v>
      </c>
      <c r="C21" s="9" t="str">
        <f>'Program Descriptions'!C9</f>
        <v>Empty</v>
      </c>
      <c r="D21" s="248">
        <f>SUM(D22:D24)</f>
        <v>0</v>
      </c>
      <c r="E21" s="248">
        <f>SUM(E22:E24)</f>
        <v>0</v>
      </c>
      <c r="F21" s="248">
        <f>SUM(F22:F24)</f>
        <v>0</v>
      </c>
      <c r="G21" s="248">
        <f>SUM(G22:G24)</f>
        <v>0</v>
      </c>
      <c r="H21" s="248">
        <f>SUM(H22:H24)</f>
        <v>0</v>
      </c>
      <c r="I21" s="10">
        <f t="shared" si="0"/>
        <v>0</v>
      </c>
      <c r="J21" s="10"/>
      <c r="K21" s="4"/>
    </row>
    <row r="22" spans="2:11" ht="15" hidden="1" customHeight="1">
      <c r="B22" s="3"/>
      <c r="C22" s="52" t="s">
        <v>259</v>
      </c>
      <c r="D22" s="579"/>
      <c r="E22" s="579"/>
      <c r="F22" s="579"/>
      <c r="G22" s="579"/>
      <c r="H22" s="579"/>
      <c r="I22" s="51">
        <f t="shared" si="0"/>
        <v>0</v>
      </c>
      <c r="J22" s="51"/>
      <c r="K22" s="4"/>
    </row>
    <row r="23" spans="2:11" ht="15" hidden="1" customHeight="1">
      <c r="B23" s="3"/>
      <c r="C23" s="52" t="s">
        <v>260</v>
      </c>
      <c r="D23" s="579"/>
      <c r="E23" s="579"/>
      <c r="F23" s="579"/>
      <c r="G23" s="579"/>
      <c r="H23" s="579"/>
      <c r="I23" s="51">
        <f t="shared" si="0"/>
        <v>0</v>
      </c>
      <c r="J23" s="51"/>
      <c r="K23" s="4"/>
    </row>
    <row r="24" spans="2:11" ht="15" hidden="1" customHeight="1">
      <c r="B24" s="3"/>
      <c r="C24" s="52" t="s">
        <v>261</v>
      </c>
      <c r="D24" s="579"/>
      <c r="E24" s="579"/>
      <c r="F24" s="579"/>
      <c r="G24" s="579"/>
      <c r="H24" s="579"/>
      <c r="I24" s="51">
        <f t="shared" si="0"/>
        <v>0</v>
      </c>
      <c r="J24" s="51"/>
      <c r="K24" s="4"/>
    </row>
    <row r="25" spans="2:11" ht="15" hidden="1" customHeight="1">
      <c r="B25" s="247">
        <f>B21+1</f>
        <v>6</v>
      </c>
      <c r="C25" s="9" t="str">
        <f>'Program Descriptions'!C10</f>
        <v>Empty</v>
      </c>
      <c r="D25" s="248">
        <f>SUM(D26:D28)</f>
        <v>0</v>
      </c>
      <c r="E25" s="248">
        <f>SUM(E26:E28)</f>
        <v>0</v>
      </c>
      <c r="F25" s="248">
        <f>SUM(F26:F28)</f>
        <v>0</v>
      </c>
      <c r="G25" s="248">
        <f>SUM(G26:G28)</f>
        <v>0</v>
      </c>
      <c r="H25" s="248">
        <f>SUM(H26:H28)</f>
        <v>0</v>
      </c>
      <c r="I25" s="10">
        <f t="shared" si="0"/>
        <v>0</v>
      </c>
      <c r="J25" s="10"/>
      <c r="K25" s="4"/>
    </row>
    <row r="26" spans="2:11" ht="15" hidden="1" customHeight="1">
      <c r="B26" s="3"/>
      <c r="C26" s="52" t="s">
        <v>259</v>
      </c>
      <c r="D26" s="579"/>
      <c r="E26" s="579"/>
      <c r="F26" s="579"/>
      <c r="G26" s="579"/>
      <c r="H26" s="579"/>
      <c r="I26" s="51">
        <f t="shared" si="0"/>
        <v>0</v>
      </c>
      <c r="J26" s="51"/>
      <c r="K26" s="4"/>
    </row>
    <row r="27" spans="2:11" ht="15" hidden="1" customHeight="1">
      <c r="B27" s="3"/>
      <c r="C27" s="52" t="s">
        <v>260</v>
      </c>
      <c r="D27" s="579"/>
      <c r="E27" s="579"/>
      <c r="F27" s="579"/>
      <c r="G27" s="579"/>
      <c r="H27" s="579"/>
      <c r="I27" s="51">
        <f t="shared" si="0"/>
        <v>0</v>
      </c>
      <c r="J27" s="51"/>
      <c r="K27" s="4"/>
    </row>
    <row r="28" spans="2:11" ht="15" hidden="1" customHeight="1">
      <c r="B28" s="3"/>
      <c r="C28" s="52" t="s">
        <v>261</v>
      </c>
      <c r="D28" s="579"/>
      <c r="E28" s="579"/>
      <c r="F28" s="579"/>
      <c r="G28" s="579"/>
      <c r="H28" s="579"/>
      <c r="I28" s="51">
        <f t="shared" si="0"/>
        <v>0</v>
      </c>
      <c r="J28" s="51"/>
      <c r="K28" s="4"/>
    </row>
    <row r="29" spans="2:11" ht="15" hidden="1" customHeight="1">
      <c r="B29" s="247">
        <f>B25+1</f>
        <v>7</v>
      </c>
      <c r="C29" s="9" t="str">
        <f>'Program Descriptions'!C11</f>
        <v>Empty</v>
      </c>
      <c r="D29" s="248">
        <f>SUM(D30:D32)</f>
        <v>0</v>
      </c>
      <c r="E29" s="248">
        <f>SUM(E30:E32)</f>
        <v>0</v>
      </c>
      <c r="F29" s="248">
        <f>SUM(F30:F32)</f>
        <v>0</v>
      </c>
      <c r="G29" s="248">
        <f>SUM(G30:G32)</f>
        <v>0</v>
      </c>
      <c r="H29" s="248">
        <f>SUM(H30:H32)</f>
        <v>0</v>
      </c>
      <c r="I29" s="10">
        <f t="shared" si="0"/>
        <v>0</v>
      </c>
      <c r="J29" s="10"/>
      <c r="K29" s="4"/>
    </row>
    <row r="30" spans="2:11" ht="15" hidden="1" customHeight="1">
      <c r="B30" s="3"/>
      <c r="C30" s="52" t="s">
        <v>259</v>
      </c>
      <c r="D30" s="579"/>
      <c r="E30" s="579"/>
      <c r="F30" s="579"/>
      <c r="G30" s="579"/>
      <c r="H30" s="579"/>
      <c r="I30" s="51">
        <f t="shared" si="0"/>
        <v>0</v>
      </c>
      <c r="J30" s="51"/>
      <c r="K30" s="4"/>
    </row>
    <row r="31" spans="2:11" ht="15" hidden="1" customHeight="1">
      <c r="B31" s="3"/>
      <c r="C31" s="52" t="s">
        <v>260</v>
      </c>
      <c r="D31" s="579"/>
      <c r="E31" s="579"/>
      <c r="F31" s="579"/>
      <c r="G31" s="579"/>
      <c r="H31" s="579"/>
      <c r="I31" s="51">
        <f t="shared" si="0"/>
        <v>0</v>
      </c>
      <c r="J31" s="51"/>
      <c r="K31" s="4"/>
    </row>
    <row r="32" spans="2:11" ht="15" hidden="1" customHeight="1">
      <c r="B32" s="3"/>
      <c r="C32" s="52" t="s">
        <v>261</v>
      </c>
      <c r="D32" s="579"/>
      <c r="E32" s="579"/>
      <c r="F32" s="579"/>
      <c r="G32" s="579"/>
      <c r="H32" s="579"/>
      <c r="I32" s="51">
        <f t="shared" si="0"/>
        <v>0</v>
      </c>
      <c r="J32" s="51"/>
      <c r="K32" s="4"/>
    </row>
    <row r="33" spans="2:11" ht="15" hidden="1" customHeight="1">
      <c r="B33" s="247">
        <f>B29+1</f>
        <v>8</v>
      </c>
      <c r="C33" s="9" t="str">
        <f>'Program Descriptions'!C12</f>
        <v>Empty</v>
      </c>
      <c r="D33" s="248">
        <f>SUM(D34:D36)</f>
        <v>0</v>
      </c>
      <c r="E33" s="248">
        <f>SUM(E34:E36)</f>
        <v>0</v>
      </c>
      <c r="F33" s="248">
        <f>SUM(F34:F36)</f>
        <v>0</v>
      </c>
      <c r="G33" s="248">
        <f>SUM(G34:G36)</f>
        <v>0</v>
      </c>
      <c r="H33" s="248">
        <f>SUM(H34:H36)</f>
        <v>0</v>
      </c>
      <c r="I33" s="10">
        <f t="shared" si="0"/>
        <v>0</v>
      </c>
      <c r="J33" s="10"/>
      <c r="K33" s="4"/>
    </row>
    <row r="34" spans="2:11" ht="15" hidden="1" customHeight="1">
      <c r="B34" s="3"/>
      <c r="C34" s="52" t="s">
        <v>259</v>
      </c>
      <c r="D34" s="579"/>
      <c r="E34" s="579"/>
      <c r="F34" s="579"/>
      <c r="G34" s="579"/>
      <c r="H34" s="579"/>
      <c r="I34" s="51">
        <f t="shared" si="0"/>
        <v>0</v>
      </c>
      <c r="J34" s="51"/>
      <c r="K34" s="4"/>
    </row>
    <row r="35" spans="2:11" ht="15" hidden="1" customHeight="1">
      <c r="B35" s="3"/>
      <c r="C35" s="52" t="s">
        <v>260</v>
      </c>
      <c r="D35" s="579"/>
      <c r="E35" s="579"/>
      <c r="F35" s="579"/>
      <c r="G35" s="579"/>
      <c r="H35" s="579"/>
      <c r="I35" s="51">
        <f t="shared" si="0"/>
        <v>0</v>
      </c>
      <c r="J35" s="51"/>
      <c r="K35" s="4"/>
    </row>
    <row r="36" spans="2:11" ht="15" hidden="1" customHeight="1">
      <c r="B36" s="3"/>
      <c r="C36" s="52" t="s">
        <v>261</v>
      </c>
      <c r="D36" s="579"/>
      <c r="E36" s="579"/>
      <c r="F36" s="579"/>
      <c r="G36" s="579"/>
      <c r="H36" s="579"/>
      <c r="I36" s="51">
        <f t="shared" si="0"/>
        <v>0</v>
      </c>
      <c r="J36" s="51"/>
      <c r="K36" s="4"/>
    </row>
    <row r="37" spans="2:11" ht="15" hidden="1" customHeight="1">
      <c r="B37" s="247">
        <f>B33+1</f>
        <v>9</v>
      </c>
      <c r="C37" s="9" t="str">
        <f>'Program Descriptions'!C13</f>
        <v>Empty</v>
      </c>
      <c r="D37" s="248">
        <f>SUM(D38:D40)</f>
        <v>0</v>
      </c>
      <c r="E37" s="248">
        <f>SUM(E38:E40)</f>
        <v>0</v>
      </c>
      <c r="F37" s="248">
        <f>SUM(F38:F40)</f>
        <v>0</v>
      </c>
      <c r="G37" s="248">
        <f>SUM(G38:G40)</f>
        <v>0</v>
      </c>
      <c r="H37" s="248">
        <f>SUM(H38:H40)</f>
        <v>0</v>
      </c>
      <c r="I37" s="10">
        <f t="shared" ref="I37:I68" si="1">SUM(D37:H37)</f>
        <v>0</v>
      </c>
      <c r="J37" s="10"/>
      <c r="K37" s="4"/>
    </row>
    <row r="38" spans="2:11" ht="15" hidden="1" customHeight="1">
      <c r="B38" s="3"/>
      <c r="C38" s="52" t="s">
        <v>259</v>
      </c>
      <c r="D38" s="579"/>
      <c r="E38" s="579"/>
      <c r="F38" s="579"/>
      <c r="G38" s="579"/>
      <c r="H38" s="579"/>
      <c r="I38" s="51">
        <f t="shared" si="1"/>
        <v>0</v>
      </c>
      <c r="J38" s="51"/>
      <c r="K38" s="4"/>
    </row>
    <row r="39" spans="2:11" ht="15" hidden="1" customHeight="1">
      <c r="B39" s="3"/>
      <c r="C39" s="52" t="s">
        <v>260</v>
      </c>
      <c r="D39" s="579"/>
      <c r="E39" s="579"/>
      <c r="F39" s="579"/>
      <c r="G39" s="579"/>
      <c r="H39" s="579"/>
      <c r="I39" s="51">
        <f t="shared" si="1"/>
        <v>0</v>
      </c>
      <c r="J39" s="51"/>
      <c r="K39" s="4"/>
    </row>
    <row r="40" spans="2:11" ht="15" hidden="1" customHeight="1">
      <c r="B40" s="3"/>
      <c r="C40" s="52" t="s">
        <v>261</v>
      </c>
      <c r="D40" s="579"/>
      <c r="E40" s="579"/>
      <c r="F40" s="579"/>
      <c r="G40" s="579"/>
      <c r="H40" s="579"/>
      <c r="I40" s="51">
        <f t="shared" si="1"/>
        <v>0</v>
      </c>
      <c r="J40" s="51"/>
      <c r="K40" s="4"/>
    </row>
    <row r="41" spans="2:11" ht="15" hidden="1" customHeight="1">
      <c r="B41" s="247">
        <f>B37+1</f>
        <v>10</v>
      </c>
      <c r="C41" s="9" t="str">
        <f>'Program Descriptions'!C14</f>
        <v>Empty</v>
      </c>
      <c r="D41" s="248">
        <f>SUM(D42:D44)</f>
        <v>0</v>
      </c>
      <c r="E41" s="248">
        <f>SUM(E42:E44)</f>
        <v>0</v>
      </c>
      <c r="F41" s="248">
        <f>SUM(F42:F44)</f>
        <v>0</v>
      </c>
      <c r="G41" s="248">
        <f>SUM(G42:G44)</f>
        <v>0</v>
      </c>
      <c r="H41" s="248">
        <f>SUM(H42:H44)</f>
        <v>0</v>
      </c>
      <c r="I41" s="10">
        <f t="shared" si="1"/>
        <v>0</v>
      </c>
      <c r="J41" s="10"/>
      <c r="K41" s="4"/>
    </row>
    <row r="42" spans="2:11" ht="15" hidden="1" customHeight="1">
      <c r="B42" s="3"/>
      <c r="C42" s="52" t="s">
        <v>259</v>
      </c>
      <c r="D42" s="579"/>
      <c r="E42" s="579"/>
      <c r="F42" s="579"/>
      <c r="G42" s="579"/>
      <c r="H42" s="579"/>
      <c r="I42" s="51">
        <f t="shared" si="1"/>
        <v>0</v>
      </c>
      <c r="J42" s="51"/>
      <c r="K42" s="4"/>
    </row>
    <row r="43" spans="2:11" ht="15" hidden="1" customHeight="1">
      <c r="B43" s="3"/>
      <c r="C43" s="52" t="s">
        <v>260</v>
      </c>
      <c r="D43" s="579"/>
      <c r="E43" s="579"/>
      <c r="F43" s="579"/>
      <c r="G43" s="579"/>
      <c r="H43" s="579"/>
      <c r="I43" s="51">
        <f t="shared" si="1"/>
        <v>0</v>
      </c>
      <c r="J43" s="51"/>
      <c r="K43" s="4"/>
    </row>
    <row r="44" spans="2:11" ht="15" hidden="1" customHeight="1">
      <c r="B44" s="3"/>
      <c r="C44" s="52" t="s">
        <v>261</v>
      </c>
      <c r="D44" s="579"/>
      <c r="E44" s="579"/>
      <c r="F44" s="579"/>
      <c r="G44" s="579"/>
      <c r="H44" s="579"/>
      <c r="I44" s="51">
        <f t="shared" si="1"/>
        <v>0</v>
      </c>
      <c r="J44" s="51"/>
      <c r="K44" s="4"/>
    </row>
    <row r="45" spans="2:11" ht="15" hidden="1" customHeight="1">
      <c r="B45" s="247">
        <f>B41+1</f>
        <v>11</v>
      </c>
      <c r="C45" s="9" t="str">
        <f>'Program Descriptions'!C15</f>
        <v>Empty</v>
      </c>
      <c r="D45" s="248">
        <f>SUM(D46:D48)</f>
        <v>0</v>
      </c>
      <c r="E45" s="248">
        <f>SUM(E46:E48)</f>
        <v>0</v>
      </c>
      <c r="F45" s="248">
        <f>SUM(F46:F48)</f>
        <v>0</v>
      </c>
      <c r="G45" s="248">
        <f>SUM(G46:G48)</f>
        <v>0</v>
      </c>
      <c r="H45" s="248">
        <f>SUM(H46:H48)</f>
        <v>0</v>
      </c>
      <c r="I45" s="10">
        <f t="shared" si="1"/>
        <v>0</v>
      </c>
      <c r="J45" s="10"/>
      <c r="K45" s="4"/>
    </row>
    <row r="46" spans="2:11" ht="15" hidden="1" customHeight="1">
      <c r="B46" s="3"/>
      <c r="C46" s="52" t="s">
        <v>259</v>
      </c>
      <c r="D46" s="579"/>
      <c r="E46" s="579"/>
      <c r="F46" s="579"/>
      <c r="G46" s="579"/>
      <c r="H46" s="579"/>
      <c r="I46" s="51">
        <f t="shared" si="1"/>
        <v>0</v>
      </c>
      <c r="J46" s="51"/>
      <c r="K46" s="4"/>
    </row>
    <row r="47" spans="2:11" ht="15" hidden="1" customHeight="1">
      <c r="B47" s="3"/>
      <c r="C47" s="52" t="s">
        <v>260</v>
      </c>
      <c r="D47" s="579"/>
      <c r="E47" s="579"/>
      <c r="F47" s="579"/>
      <c r="G47" s="579"/>
      <c r="H47" s="579"/>
      <c r="I47" s="51">
        <f t="shared" si="1"/>
        <v>0</v>
      </c>
      <c r="J47" s="51"/>
      <c r="K47" s="4"/>
    </row>
    <row r="48" spans="2:11" ht="15" hidden="1" customHeight="1">
      <c r="B48" s="3"/>
      <c r="C48" s="52" t="s">
        <v>261</v>
      </c>
      <c r="D48" s="579"/>
      <c r="E48" s="579"/>
      <c r="F48" s="579"/>
      <c r="G48" s="579"/>
      <c r="H48" s="579"/>
      <c r="I48" s="51">
        <f t="shared" si="1"/>
        <v>0</v>
      </c>
      <c r="J48" s="51"/>
      <c r="K48" s="4"/>
    </row>
    <row r="49" spans="2:11" ht="15" hidden="1" customHeight="1">
      <c r="B49" s="247">
        <f>B45+1</f>
        <v>12</v>
      </c>
      <c r="C49" s="9" t="str">
        <f>'Program Descriptions'!C16</f>
        <v>Empty</v>
      </c>
      <c r="D49" s="248">
        <f>SUM(D50:D52)</f>
        <v>0</v>
      </c>
      <c r="E49" s="248">
        <f>SUM(E50:E52)</f>
        <v>0</v>
      </c>
      <c r="F49" s="248">
        <f>SUM(F50:F52)</f>
        <v>0</v>
      </c>
      <c r="G49" s="248">
        <f>SUM(G50:G52)</f>
        <v>0</v>
      </c>
      <c r="H49" s="248">
        <f>SUM(H50:H52)</f>
        <v>0</v>
      </c>
      <c r="I49" s="10">
        <f t="shared" si="1"/>
        <v>0</v>
      </c>
      <c r="J49" s="10"/>
      <c r="K49" s="4"/>
    </row>
    <row r="50" spans="2:11" ht="15" hidden="1" customHeight="1">
      <c r="B50" s="3"/>
      <c r="C50" s="52" t="s">
        <v>259</v>
      </c>
      <c r="D50" s="579"/>
      <c r="E50" s="579"/>
      <c r="F50" s="579"/>
      <c r="G50" s="579"/>
      <c r="H50" s="579"/>
      <c r="I50" s="51">
        <f t="shared" si="1"/>
        <v>0</v>
      </c>
      <c r="J50" s="51"/>
      <c r="K50" s="4"/>
    </row>
    <row r="51" spans="2:11" ht="15" hidden="1" customHeight="1">
      <c r="B51" s="3"/>
      <c r="C51" s="52" t="s">
        <v>260</v>
      </c>
      <c r="D51" s="579"/>
      <c r="E51" s="579"/>
      <c r="F51" s="579"/>
      <c r="G51" s="579"/>
      <c r="H51" s="579"/>
      <c r="I51" s="51">
        <f t="shared" si="1"/>
        <v>0</v>
      </c>
      <c r="J51" s="51"/>
      <c r="K51" s="4"/>
    </row>
    <row r="52" spans="2:11" ht="15" hidden="1" customHeight="1">
      <c r="B52" s="3"/>
      <c r="C52" s="52" t="s">
        <v>261</v>
      </c>
      <c r="D52" s="579"/>
      <c r="E52" s="579"/>
      <c r="F52" s="579"/>
      <c r="G52" s="579"/>
      <c r="H52" s="579"/>
      <c r="I52" s="51">
        <f t="shared" si="1"/>
        <v>0</v>
      </c>
      <c r="J52" s="51"/>
      <c r="K52" s="4"/>
    </row>
    <row r="53" spans="2:11" ht="15" hidden="1" customHeight="1">
      <c r="B53" s="247">
        <f>B49+1</f>
        <v>13</v>
      </c>
      <c r="C53" s="9" t="str">
        <f>'Program Descriptions'!C17</f>
        <v>Empty</v>
      </c>
      <c r="D53" s="248">
        <f>SUM(D54:D56)</f>
        <v>0</v>
      </c>
      <c r="E53" s="248">
        <f>SUM(E54:E56)</f>
        <v>0</v>
      </c>
      <c r="F53" s="248">
        <f>SUM(F54:F56)</f>
        <v>0</v>
      </c>
      <c r="G53" s="248">
        <f>SUM(G54:G56)</f>
        <v>0</v>
      </c>
      <c r="H53" s="248">
        <f>SUM(H54:H56)</f>
        <v>0</v>
      </c>
      <c r="I53" s="10">
        <f t="shared" si="1"/>
        <v>0</v>
      </c>
      <c r="J53" s="10"/>
      <c r="K53" s="4"/>
    </row>
    <row r="54" spans="2:11" ht="15" hidden="1" customHeight="1">
      <c r="B54" s="3"/>
      <c r="C54" s="52" t="s">
        <v>259</v>
      </c>
      <c r="D54" s="579"/>
      <c r="E54" s="579"/>
      <c r="F54" s="579"/>
      <c r="G54" s="579"/>
      <c r="H54" s="579"/>
      <c r="I54" s="51">
        <f t="shared" si="1"/>
        <v>0</v>
      </c>
      <c r="J54" s="51"/>
      <c r="K54" s="4"/>
    </row>
    <row r="55" spans="2:11" ht="15" hidden="1" customHeight="1">
      <c r="B55" s="3"/>
      <c r="C55" s="52" t="s">
        <v>260</v>
      </c>
      <c r="D55" s="579"/>
      <c r="E55" s="579"/>
      <c r="F55" s="579"/>
      <c r="G55" s="579"/>
      <c r="H55" s="579"/>
      <c r="I55" s="51">
        <f t="shared" si="1"/>
        <v>0</v>
      </c>
      <c r="J55" s="51"/>
      <c r="K55" s="4"/>
    </row>
    <row r="56" spans="2:11" ht="15" hidden="1" customHeight="1">
      <c r="B56" s="3"/>
      <c r="C56" s="52" t="s">
        <v>261</v>
      </c>
      <c r="D56" s="579"/>
      <c r="E56" s="579"/>
      <c r="F56" s="579"/>
      <c r="G56" s="579"/>
      <c r="H56" s="579"/>
      <c r="I56" s="51">
        <f t="shared" si="1"/>
        <v>0</v>
      </c>
      <c r="J56" s="51"/>
      <c r="K56" s="4"/>
    </row>
    <row r="57" spans="2:11" ht="15" hidden="1" customHeight="1">
      <c r="B57" s="247">
        <f>B53+1</f>
        <v>14</v>
      </c>
      <c r="C57" s="9" t="str">
        <f>'Program Descriptions'!C18</f>
        <v>Empty</v>
      </c>
      <c r="D57" s="248">
        <f>SUM(D58:D60)</f>
        <v>0</v>
      </c>
      <c r="E57" s="248">
        <f>SUM(E58:E60)</f>
        <v>0</v>
      </c>
      <c r="F57" s="248">
        <f>SUM(F58:F60)</f>
        <v>0</v>
      </c>
      <c r="G57" s="248">
        <f>SUM(G58:G60)</f>
        <v>0</v>
      </c>
      <c r="H57" s="248">
        <f>SUM(H58:H60)</f>
        <v>0</v>
      </c>
      <c r="I57" s="10">
        <f t="shared" si="1"/>
        <v>0</v>
      </c>
      <c r="J57" s="10"/>
      <c r="K57" s="4"/>
    </row>
    <row r="58" spans="2:11" ht="15" hidden="1" customHeight="1">
      <c r="B58" s="3"/>
      <c r="C58" s="52" t="s">
        <v>259</v>
      </c>
      <c r="D58" s="579"/>
      <c r="E58" s="579"/>
      <c r="F58" s="579"/>
      <c r="G58" s="579"/>
      <c r="H58" s="579"/>
      <c r="I58" s="51">
        <f t="shared" si="1"/>
        <v>0</v>
      </c>
      <c r="J58" s="51"/>
      <c r="K58" s="4"/>
    </row>
    <row r="59" spans="2:11" ht="15" hidden="1" customHeight="1">
      <c r="B59" s="3"/>
      <c r="C59" s="52" t="s">
        <v>260</v>
      </c>
      <c r="D59" s="579"/>
      <c r="E59" s="579"/>
      <c r="F59" s="579"/>
      <c r="G59" s="579"/>
      <c r="H59" s="579"/>
      <c r="I59" s="51">
        <f t="shared" si="1"/>
        <v>0</v>
      </c>
      <c r="J59" s="51"/>
      <c r="K59" s="4"/>
    </row>
    <row r="60" spans="2:11" ht="15" hidden="1" customHeight="1">
      <c r="B60" s="3"/>
      <c r="C60" s="52" t="s">
        <v>261</v>
      </c>
      <c r="D60" s="579"/>
      <c r="E60" s="579"/>
      <c r="F60" s="579"/>
      <c r="G60" s="579"/>
      <c r="H60" s="579"/>
      <c r="I60" s="51">
        <f t="shared" si="1"/>
        <v>0</v>
      </c>
      <c r="J60" s="51"/>
      <c r="K60" s="4"/>
    </row>
    <row r="61" spans="2:11" ht="15" hidden="1" customHeight="1">
      <c r="B61" s="247">
        <f>B57+1</f>
        <v>15</v>
      </c>
      <c r="C61" s="9" t="str">
        <f>'Program Descriptions'!C19</f>
        <v>Empty</v>
      </c>
      <c r="D61" s="248">
        <f>SUM(D62:D64)</f>
        <v>0</v>
      </c>
      <c r="E61" s="248">
        <f>SUM(E62:E64)</f>
        <v>0</v>
      </c>
      <c r="F61" s="248">
        <f>SUM(F62:F64)</f>
        <v>0</v>
      </c>
      <c r="G61" s="248">
        <f>SUM(G62:G64)</f>
        <v>0</v>
      </c>
      <c r="H61" s="248">
        <f>SUM(H62:H64)</f>
        <v>0</v>
      </c>
      <c r="I61" s="10">
        <f t="shared" si="1"/>
        <v>0</v>
      </c>
      <c r="J61" s="10"/>
      <c r="K61" s="4"/>
    </row>
    <row r="62" spans="2:11" ht="15" hidden="1" customHeight="1">
      <c r="B62" s="3"/>
      <c r="C62" s="52" t="s">
        <v>259</v>
      </c>
      <c r="D62" s="579"/>
      <c r="E62" s="579"/>
      <c r="F62" s="579"/>
      <c r="G62" s="579"/>
      <c r="H62" s="579"/>
      <c r="I62" s="51">
        <f t="shared" si="1"/>
        <v>0</v>
      </c>
      <c r="J62" s="51"/>
      <c r="K62" s="4"/>
    </row>
    <row r="63" spans="2:11" ht="15" hidden="1" customHeight="1">
      <c r="B63" s="3"/>
      <c r="C63" s="52" t="s">
        <v>260</v>
      </c>
      <c r="D63" s="579"/>
      <c r="E63" s="579"/>
      <c r="F63" s="579"/>
      <c r="G63" s="579"/>
      <c r="H63" s="579"/>
      <c r="I63" s="51">
        <f t="shared" si="1"/>
        <v>0</v>
      </c>
      <c r="J63" s="51"/>
      <c r="K63" s="4"/>
    </row>
    <row r="64" spans="2:11" ht="15" hidden="1" customHeight="1">
      <c r="B64" s="3"/>
      <c r="C64" s="52" t="s">
        <v>261</v>
      </c>
      <c r="D64" s="579"/>
      <c r="E64" s="579"/>
      <c r="F64" s="579"/>
      <c r="G64" s="579"/>
      <c r="H64" s="579"/>
      <c r="I64" s="51">
        <f t="shared" si="1"/>
        <v>0</v>
      </c>
      <c r="J64" s="51"/>
      <c r="K64" s="4"/>
    </row>
    <row r="65" spans="2:11" ht="15" hidden="1" customHeight="1">
      <c r="B65" s="247">
        <f>B61+1</f>
        <v>16</v>
      </c>
      <c r="C65" s="9" t="str">
        <f>'Program Descriptions'!C20</f>
        <v>Empty</v>
      </c>
      <c r="D65" s="248">
        <f>SUM(D66:D68)</f>
        <v>0</v>
      </c>
      <c r="E65" s="248">
        <f>SUM(E66:E68)</f>
        <v>0</v>
      </c>
      <c r="F65" s="248">
        <f>SUM(F66:F68)</f>
        <v>0</v>
      </c>
      <c r="G65" s="248">
        <f>SUM(G66:G68)</f>
        <v>0</v>
      </c>
      <c r="H65" s="248">
        <f>SUM(H66:H68)</f>
        <v>0</v>
      </c>
      <c r="I65" s="10">
        <f t="shared" si="1"/>
        <v>0</v>
      </c>
      <c r="J65" s="10"/>
      <c r="K65" s="4"/>
    </row>
    <row r="66" spans="2:11" ht="15" hidden="1" customHeight="1">
      <c r="B66" s="3"/>
      <c r="C66" s="52" t="s">
        <v>259</v>
      </c>
      <c r="D66" s="579"/>
      <c r="E66" s="579"/>
      <c r="F66" s="579"/>
      <c r="G66" s="579"/>
      <c r="H66" s="579"/>
      <c r="I66" s="51">
        <f t="shared" si="1"/>
        <v>0</v>
      </c>
      <c r="J66" s="51"/>
      <c r="K66" s="4"/>
    </row>
    <row r="67" spans="2:11" ht="15" hidden="1" customHeight="1">
      <c r="B67" s="3"/>
      <c r="C67" s="52" t="s">
        <v>260</v>
      </c>
      <c r="D67" s="579"/>
      <c r="E67" s="579"/>
      <c r="F67" s="579"/>
      <c r="G67" s="579"/>
      <c r="H67" s="579"/>
      <c r="I67" s="51">
        <f t="shared" si="1"/>
        <v>0</v>
      </c>
      <c r="J67" s="51"/>
      <c r="K67" s="4"/>
    </row>
    <row r="68" spans="2:11" ht="15" hidden="1" customHeight="1">
      <c r="B68" s="3"/>
      <c r="C68" s="52" t="s">
        <v>261</v>
      </c>
      <c r="D68" s="579"/>
      <c r="E68" s="579"/>
      <c r="F68" s="579"/>
      <c r="G68" s="579"/>
      <c r="H68" s="579"/>
      <c r="I68" s="51">
        <f t="shared" si="1"/>
        <v>0</v>
      </c>
      <c r="J68" s="51"/>
      <c r="K68" s="4"/>
    </row>
    <row r="69" spans="2:11" ht="15" hidden="1" customHeight="1">
      <c r="B69" s="247">
        <f>B65+1</f>
        <v>17</v>
      </c>
      <c r="C69" s="9" t="str">
        <f>'Program Descriptions'!C21</f>
        <v>Empty</v>
      </c>
      <c r="D69" s="248">
        <f>SUM(D70:D72)</f>
        <v>0</v>
      </c>
      <c r="E69" s="248">
        <f>SUM(E70:E72)</f>
        <v>0</v>
      </c>
      <c r="F69" s="248">
        <f>SUM(F70:F72)</f>
        <v>0</v>
      </c>
      <c r="G69" s="248">
        <f>SUM(G70:G72)</f>
        <v>0</v>
      </c>
      <c r="H69" s="248">
        <f>SUM(H70:H72)</f>
        <v>0</v>
      </c>
      <c r="I69" s="10">
        <f t="shared" ref="I69:I84" si="2">SUM(D69:H69)</f>
        <v>0</v>
      </c>
      <c r="J69" s="10"/>
      <c r="K69" s="4"/>
    </row>
    <row r="70" spans="2:11" ht="15" hidden="1" customHeight="1">
      <c r="B70" s="3"/>
      <c r="C70" s="52" t="s">
        <v>259</v>
      </c>
      <c r="D70" s="579"/>
      <c r="E70" s="579"/>
      <c r="F70" s="579"/>
      <c r="G70" s="579"/>
      <c r="H70" s="579"/>
      <c r="I70" s="51">
        <f t="shared" si="2"/>
        <v>0</v>
      </c>
      <c r="J70" s="51"/>
      <c r="K70" s="4"/>
    </row>
    <row r="71" spans="2:11" ht="15" hidden="1" customHeight="1">
      <c r="B71" s="3"/>
      <c r="C71" s="52" t="s">
        <v>260</v>
      </c>
      <c r="D71" s="579"/>
      <c r="E71" s="579"/>
      <c r="F71" s="579"/>
      <c r="G71" s="579"/>
      <c r="H71" s="579"/>
      <c r="I71" s="51">
        <f t="shared" si="2"/>
        <v>0</v>
      </c>
      <c r="J71" s="51"/>
      <c r="K71" s="4"/>
    </row>
    <row r="72" spans="2:11" ht="15" hidden="1" customHeight="1">
      <c r="B72" s="3"/>
      <c r="C72" s="52" t="s">
        <v>261</v>
      </c>
      <c r="D72" s="579"/>
      <c r="E72" s="579"/>
      <c r="F72" s="579"/>
      <c r="G72" s="579"/>
      <c r="H72" s="579"/>
      <c r="I72" s="51">
        <f t="shared" si="2"/>
        <v>0</v>
      </c>
      <c r="J72" s="51"/>
      <c r="K72" s="4"/>
    </row>
    <row r="73" spans="2:11" ht="15" hidden="1" customHeight="1">
      <c r="B73" s="247">
        <f>B69+1</f>
        <v>18</v>
      </c>
      <c r="C73" s="9" t="str">
        <f>'Program Descriptions'!C22</f>
        <v>Empty</v>
      </c>
      <c r="D73" s="248">
        <f>SUM(D74:D76)</f>
        <v>0</v>
      </c>
      <c r="E73" s="248">
        <f>SUM(E74:E76)</f>
        <v>0</v>
      </c>
      <c r="F73" s="248">
        <f>SUM(F74:F76)</f>
        <v>0</v>
      </c>
      <c r="G73" s="248">
        <f>SUM(G74:G76)</f>
        <v>0</v>
      </c>
      <c r="H73" s="248">
        <f>SUM(H74:H76)</f>
        <v>0</v>
      </c>
      <c r="I73" s="10">
        <f t="shared" si="2"/>
        <v>0</v>
      </c>
      <c r="J73" s="10"/>
      <c r="K73" s="4"/>
    </row>
    <row r="74" spans="2:11" ht="15" hidden="1" customHeight="1">
      <c r="B74" s="3"/>
      <c r="C74" s="52" t="s">
        <v>259</v>
      </c>
      <c r="D74" s="579"/>
      <c r="E74" s="579"/>
      <c r="F74" s="579"/>
      <c r="G74" s="579"/>
      <c r="H74" s="579"/>
      <c r="I74" s="51">
        <f t="shared" si="2"/>
        <v>0</v>
      </c>
      <c r="J74" s="51"/>
      <c r="K74" s="4"/>
    </row>
    <row r="75" spans="2:11" ht="15" hidden="1" customHeight="1">
      <c r="B75" s="3"/>
      <c r="C75" s="52" t="s">
        <v>260</v>
      </c>
      <c r="D75" s="579"/>
      <c r="E75" s="579"/>
      <c r="F75" s="579"/>
      <c r="G75" s="579"/>
      <c r="H75" s="579"/>
      <c r="I75" s="51">
        <f t="shared" si="2"/>
        <v>0</v>
      </c>
      <c r="J75" s="51"/>
      <c r="K75" s="4"/>
    </row>
    <row r="76" spans="2:11" ht="15" hidden="1" customHeight="1">
      <c r="B76" s="3"/>
      <c r="C76" s="52" t="s">
        <v>261</v>
      </c>
      <c r="D76" s="579"/>
      <c r="E76" s="579"/>
      <c r="F76" s="579"/>
      <c r="G76" s="579"/>
      <c r="H76" s="579"/>
      <c r="I76" s="51">
        <f t="shared" si="2"/>
        <v>0</v>
      </c>
      <c r="J76" s="51"/>
      <c r="K76" s="4"/>
    </row>
    <row r="77" spans="2:11" ht="15" hidden="1" customHeight="1">
      <c r="B77" s="247">
        <f>B73+1</f>
        <v>19</v>
      </c>
      <c r="C77" s="9" t="str">
        <f>'Program Descriptions'!C23</f>
        <v>Empty</v>
      </c>
      <c r="D77" s="248">
        <f>SUM(D78:D80)</f>
        <v>0</v>
      </c>
      <c r="E77" s="248">
        <f>SUM(E78:E80)</f>
        <v>0</v>
      </c>
      <c r="F77" s="248">
        <f>SUM(F78:F80)</f>
        <v>0</v>
      </c>
      <c r="G77" s="248">
        <f>SUM(G78:G80)</f>
        <v>0</v>
      </c>
      <c r="H77" s="248">
        <f>SUM(H78:H80)</f>
        <v>0</v>
      </c>
      <c r="I77" s="10">
        <f t="shared" si="2"/>
        <v>0</v>
      </c>
      <c r="J77" s="10"/>
      <c r="K77" s="4"/>
    </row>
    <row r="78" spans="2:11" ht="15" hidden="1" customHeight="1">
      <c r="B78" s="3"/>
      <c r="C78" s="52" t="s">
        <v>259</v>
      </c>
      <c r="D78" s="579"/>
      <c r="E78" s="579"/>
      <c r="F78" s="579"/>
      <c r="G78" s="579"/>
      <c r="H78" s="579"/>
      <c r="I78" s="51">
        <f t="shared" si="2"/>
        <v>0</v>
      </c>
      <c r="J78" s="51"/>
      <c r="K78" s="4"/>
    </row>
    <row r="79" spans="2:11" ht="15" hidden="1" customHeight="1">
      <c r="B79" s="3"/>
      <c r="C79" s="52" t="s">
        <v>260</v>
      </c>
      <c r="D79" s="579"/>
      <c r="E79" s="579"/>
      <c r="F79" s="579"/>
      <c r="G79" s="579"/>
      <c r="H79" s="579"/>
      <c r="I79" s="51">
        <f t="shared" si="2"/>
        <v>0</v>
      </c>
      <c r="J79" s="51"/>
      <c r="K79" s="4"/>
    </row>
    <row r="80" spans="2:11" ht="15" hidden="1" customHeight="1">
      <c r="B80" s="3"/>
      <c r="C80" s="52" t="s">
        <v>261</v>
      </c>
      <c r="D80" s="579"/>
      <c r="E80" s="579"/>
      <c r="F80" s="579"/>
      <c r="G80" s="579"/>
      <c r="H80" s="579"/>
      <c r="I80" s="51">
        <f t="shared" si="2"/>
        <v>0</v>
      </c>
      <c r="J80" s="51"/>
      <c r="K80" s="4"/>
    </row>
    <row r="81" spans="2:11" ht="15" hidden="1" customHeight="1">
      <c r="B81" s="247">
        <f>B77+1</f>
        <v>20</v>
      </c>
      <c r="C81" s="9" t="str">
        <f>'Program Descriptions'!C24</f>
        <v>Empty</v>
      </c>
      <c r="D81" s="248">
        <f>SUM(D82:D84)</f>
        <v>0</v>
      </c>
      <c r="E81" s="248">
        <f>SUM(E82:E84)</f>
        <v>0</v>
      </c>
      <c r="F81" s="248">
        <f>SUM(F82:F84)</f>
        <v>0</v>
      </c>
      <c r="G81" s="248">
        <f>SUM(G82:G84)</f>
        <v>0</v>
      </c>
      <c r="H81" s="248">
        <f>SUM(H82:H84)</f>
        <v>0</v>
      </c>
      <c r="I81" s="10">
        <f t="shared" si="2"/>
        <v>0</v>
      </c>
      <c r="J81" s="10"/>
      <c r="K81" s="4"/>
    </row>
    <row r="82" spans="2:11" ht="15" hidden="1" customHeight="1">
      <c r="B82" s="3"/>
      <c r="C82" s="52" t="s">
        <v>259</v>
      </c>
      <c r="D82" s="579"/>
      <c r="E82" s="579"/>
      <c r="F82" s="579"/>
      <c r="G82" s="579"/>
      <c r="H82" s="579"/>
      <c r="I82" s="51">
        <f t="shared" si="2"/>
        <v>0</v>
      </c>
      <c r="J82" s="51"/>
      <c r="K82" s="4"/>
    </row>
    <row r="83" spans="2:11" ht="15" hidden="1" customHeight="1">
      <c r="B83" s="3"/>
      <c r="C83" s="52" t="s">
        <v>260</v>
      </c>
      <c r="D83" s="579"/>
      <c r="E83" s="579"/>
      <c r="F83" s="579"/>
      <c r="G83" s="579"/>
      <c r="H83" s="579"/>
      <c r="I83" s="51">
        <f t="shared" si="2"/>
        <v>0</v>
      </c>
      <c r="J83" s="51"/>
      <c r="K83" s="4"/>
    </row>
    <row r="84" spans="2:11" ht="15" hidden="1" customHeight="1">
      <c r="B84" s="3"/>
      <c r="C84" s="52" t="s">
        <v>261</v>
      </c>
      <c r="D84" s="579"/>
      <c r="E84" s="579"/>
      <c r="F84" s="579"/>
      <c r="G84" s="579"/>
      <c r="H84" s="579"/>
      <c r="I84" s="51">
        <f t="shared" si="2"/>
        <v>0</v>
      </c>
      <c r="J84" s="51"/>
      <c r="K84" s="4"/>
    </row>
    <row r="85" spans="2:11" ht="15" hidden="1" customHeight="1">
      <c r="B85" s="3"/>
      <c r="K85" s="4"/>
    </row>
    <row r="86" spans="2:11" ht="15" customHeight="1">
      <c r="B86" s="3"/>
      <c r="K86" s="4"/>
    </row>
    <row r="87" spans="2:11" ht="41.25" customHeight="1">
      <c r="B87" s="3"/>
      <c r="C87" s="8" t="s">
        <v>262</v>
      </c>
      <c r="D87" s="243" t="str">
        <f>D4</f>
        <v>Planning / Design</v>
      </c>
      <c r="E87" s="243" t="str">
        <f>E4</f>
        <v>Marketing &amp; Delivery</v>
      </c>
      <c r="F87" s="243" t="str">
        <f>F4</f>
        <v>Incentives / Direct Install Costs</v>
      </c>
      <c r="G87" s="243" t="str">
        <f>G4</f>
        <v>EM&amp;V</v>
      </c>
      <c r="H87" s="243" t="str">
        <f>H4</f>
        <v>Administration</v>
      </c>
      <c r="I87" s="243" t="str">
        <f>Cost!C25</f>
        <v>Regulatory</v>
      </c>
      <c r="J87" s="243" t="s">
        <v>145</v>
      </c>
      <c r="K87" s="4"/>
    </row>
    <row r="88" spans="2:11" ht="15" customHeight="1">
      <c r="B88" s="3"/>
      <c r="C88" s="52" t="s">
        <v>259</v>
      </c>
      <c r="D88" s="593">
        <f t="array" ref="D88">SUM(IF(MOD(ROW(D6:D$84)-ROW(D6),4)=0,D6:D$84,0))</f>
        <v>0</v>
      </c>
      <c r="E88" s="593">
        <f t="array" ref="E88">SUM(IF(MOD(ROW(E6:E$84)-ROW(E6),4)=0,E6:E$84,0))</f>
        <v>329677.81000000006</v>
      </c>
      <c r="F88" s="593">
        <f t="array" ref="F88">SUM(IF(MOD(ROW(F6:F$84)-ROW(F6),4)=0,F6:F$84,0))</f>
        <v>1747632.4</v>
      </c>
      <c r="G88" s="593">
        <f t="array" ref="G88">SUM(IF(MOD(ROW(G6:G$84)-ROW(G6),4)=0,G6:G$84,0))</f>
        <v>1112507.43</v>
      </c>
      <c r="H88" s="593">
        <f t="array" ref="H88">SUM(IF(MOD(ROW(H6:H$84)-ROW(H6),4)=0,H6:H$84,0))</f>
        <v>435223.03</v>
      </c>
      <c r="I88" s="580">
        <v>15003.2</v>
      </c>
      <c r="J88" s="10">
        <f>SUM(D88:I88)</f>
        <v>3640043.87</v>
      </c>
      <c r="K88" s="4"/>
    </row>
    <row r="89" spans="2:11" ht="15" customHeight="1">
      <c r="B89" s="3"/>
      <c r="C89" s="52" t="s">
        <v>260</v>
      </c>
      <c r="D89" s="593">
        <f t="array" ref="D89">SUM(IF(MOD(ROW(D7:D$84)-ROW(D7),4)=0,D7:D$84,0))</f>
        <v>0</v>
      </c>
      <c r="E89" s="593">
        <f t="array" ref="E89">SUM(IF(MOD(ROW(E7:E$84)-ROW(E7),4)=0,E7:E$84,0))</f>
        <v>0</v>
      </c>
      <c r="F89" s="593">
        <f t="array" ref="F89">SUM(IF(MOD(ROW(F7:F$84)-ROW(F7),4)=0,F7:F$84,0))</f>
        <v>0</v>
      </c>
      <c r="G89" s="593">
        <f t="array" ref="G89">SUM(IF(MOD(ROW(G7:G$84)-ROW(G7),4)=0,G7:G$84,0))</f>
        <v>0</v>
      </c>
      <c r="H89" s="593">
        <f t="array" ref="H89">SUM(IF(MOD(ROW(H7:H$84)-ROW(H7),4)=0,H7:H$84,0))</f>
        <v>0</v>
      </c>
      <c r="I89" s="580">
        <v>0</v>
      </c>
      <c r="J89" s="10">
        <f>SUM(D89:I89)</f>
        <v>0</v>
      </c>
      <c r="K89" s="4"/>
    </row>
    <row r="90" spans="2:11" ht="15" customHeight="1" thickBot="1">
      <c r="B90" s="3"/>
      <c r="C90" s="52" t="s">
        <v>261</v>
      </c>
      <c r="D90" s="535">
        <f t="array" ref="D90">SUM(IF(MOD(ROW(D8:D$84)-ROW(D8),4)=0,D8:D$84,0))</f>
        <v>2786719.67</v>
      </c>
      <c r="E90" s="535">
        <f t="array" ref="E90">SUM(IF(MOD(ROW(E8:E$84)-ROW(E8),4)=0,E8:E$84,0))</f>
        <v>0</v>
      </c>
      <c r="F90" s="535">
        <f t="array" ref="F90">SUM(IF(MOD(ROW(F8:F$84)-ROW(F8),4)=0,F8:F$84,0))</f>
        <v>3394116.88</v>
      </c>
      <c r="G90" s="535">
        <f t="array" ref="G90">SUM(IF(MOD(ROW(G8:G$84)-ROW(G8),4)=0,G8:G$84,0))</f>
        <v>549658.84000000008</v>
      </c>
      <c r="H90" s="535">
        <f t="array" ref="H90">SUM(IF(MOD(ROW(H8:H$84)-ROW(H8),4)=0,H8:H$84,0))</f>
        <v>0</v>
      </c>
      <c r="I90" s="532"/>
      <c r="J90" s="10">
        <f>SUM(D90:I90)</f>
        <v>6730495.3899999997</v>
      </c>
      <c r="K90" s="4"/>
    </row>
    <row r="91" spans="2:11" ht="15" customHeight="1">
      <c r="B91" s="3"/>
      <c r="C91" s="245" t="s">
        <v>146</v>
      </c>
      <c r="D91" s="533">
        <f>SUM(D88:D90)</f>
        <v>2786719.67</v>
      </c>
      <c r="E91" s="533">
        <f t="shared" ref="E91:I91" si="3">SUM(E88:E90)</f>
        <v>329677.81000000006</v>
      </c>
      <c r="F91" s="533">
        <f t="shared" si="3"/>
        <v>5141749.2799999993</v>
      </c>
      <c r="G91" s="533">
        <f t="shared" si="3"/>
        <v>1662166.27</v>
      </c>
      <c r="H91" s="533">
        <f t="shared" si="3"/>
        <v>435223.03</v>
      </c>
      <c r="I91" s="533">
        <f t="shared" si="3"/>
        <v>15003.2</v>
      </c>
      <c r="J91" s="533">
        <f>SUM(J88:J90)</f>
        <v>10370539.26</v>
      </c>
      <c r="K91" s="4"/>
    </row>
    <row r="92" spans="2:11" ht="15" customHeight="1">
      <c r="B92" s="5"/>
      <c r="C92" s="6"/>
      <c r="D92" s="6"/>
      <c r="E92" s="6"/>
      <c r="F92" s="6"/>
      <c r="G92" s="6"/>
      <c r="H92" s="6"/>
      <c r="I92" s="6"/>
      <c r="J92" s="6"/>
      <c r="K92" s="7"/>
    </row>
    <row r="93" spans="2:11" ht="15" customHeight="1"/>
    <row r="94" spans="2:11" ht="15" customHeight="1"/>
    <row r="95" spans="2:11" ht="15" customHeight="1"/>
    <row r="96" spans="2: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sheetData>
  <sheetProtection formatRows="0"/>
  <conditionalFormatting sqref="D16">
    <cfRule type="expression" dxfId="85" priority="1">
      <formula>$B15&gt;Programs</formula>
    </cfRule>
  </conditionalFormatting>
  <conditionalFormatting sqref="D6:H6">
    <cfRule type="expression" dxfId="84" priority="10">
      <formula>$B5&gt;Programs</formula>
    </cfRule>
  </conditionalFormatting>
  <conditionalFormatting sqref="D7:H7">
    <cfRule type="expression" dxfId="83" priority="9">
      <formula>$B5&gt;Programs</formula>
    </cfRule>
  </conditionalFormatting>
  <conditionalFormatting sqref="D8:H8">
    <cfRule type="expression" dxfId="82" priority="8">
      <formula>$B5&gt;Programs</formula>
    </cfRule>
  </conditionalFormatting>
  <conditionalFormatting sqref="D10:H10">
    <cfRule type="expression" dxfId="81" priority="7">
      <formula>$B9&gt;Programs</formula>
    </cfRule>
  </conditionalFormatting>
  <conditionalFormatting sqref="D11:H11">
    <cfRule type="expression" dxfId="80" priority="6">
      <formula>$B9&gt;Programs</formula>
    </cfRule>
  </conditionalFormatting>
  <conditionalFormatting sqref="D12:H12">
    <cfRule type="expression" dxfId="79" priority="5">
      <formula>$B9&gt;Programs</formula>
    </cfRule>
  </conditionalFormatting>
  <conditionalFormatting sqref="D14:H14">
    <cfRule type="expression" dxfId="78" priority="4">
      <formula>$B13&gt;Programs</formula>
    </cfRule>
  </conditionalFormatting>
  <conditionalFormatting sqref="D15:H15">
    <cfRule type="expression" dxfId="77" priority="3">
      <formula>$B13&gt;Programs</formula>
    </cfRule>
  </conditionalFormatting>
  <conditionalFormatting sqref="D18:H18">
    <cfRule type="expression" dxfId="76" priority="58">
      <formula>$B17&gt;Programs</formula>
    </cfRule>
  </conditionalFormatting>
  <conditionalFormatting sqref="D19:H19">
    <cfRule type="expression" dxfId="75" priority="57">
      <formula>$B17&gt;Programs</formula>
    </cfRule>
  </conditionalFormatting>
  <conditionalFormatting sqref="D20:H20">
    <cfRule type="expression" dxfId="74" priority="56">
      <formula>$B17&gt;Programs</formula>
    </cfRule>
  </conditionalFormatting>
  <conditionalFormatting sqref="D22:H22">
    <cfRule type="expression" dxfId="73" priority="67">
      <formula>$B21&gt;Programs</formula>
    </cfRule>
  </conditionalFormatting>
  <conditionalFormatting sqref="D23:H23">
    <cfRule type="expression" dxfId="72" priority="66">
      <formula>$B21&gt;Programs</formula>
    </cfRule>
  </conditionalFormatting>
  <conditionalFormatting sqref="D24:H24">
    <cfRule type="expression" dxfId="71" priority="65">
      <formula>$B21&gt;Programs</formula>
    </cfRule>
  </conditionalFormatting>
  <conditionalFormatting sqref="D26:H26">
    <cfRule type="expression" dxfId="70" priority="55">
      <formula>$B25&gt;Programs</formula>
    </cfRule>
  </conditionalFormatting>
  <conditionalFormatting sqref="D27:H27">
    <cfRule type="expression" dxfId="69" priority="54">
      <formula>$B25&gt;Programs</formula>
    </cfRule>
  </conditionalFormatting>
  <conditionalFormatting sqref="D28:H28">
    <cfRule type="expression" dxfId="68" priority="53">
      <formula>$B25&gt;Programs</formula>
    </cfRule>
  </conditionalFormatting>
  <conditionalFormatting sqref="D30:H30">
    <cfRule type="expression" dxfId="67" priority="52">
      <formula>$B29&gt;Programs</formula>
    </cfRule>
  </conditionalFormatting>
  <conditionalFormatting sqref="D31:H31">
    <cfRule type="expression" dxfId="66" priority="51">
      <formula>$B29&gt;Programs</formula>
    </cfRule>
  </conditionalFormatting>
  <conditionalFormatting sqref="D32:H32">
    <cfRule type="expression" dxfId="65" priority="50">
      <formula>$B29&gt;Programs</formula>
    </cfRule>
  </conditionalFormatting>
  <conditionalFormatting sqref="D34:H34">
    <cfRule type="expression" dxfId="64" priority="49">
      <formula>$B33&gt;Programs</formula>
    </cfRule>
  </conditionalFormatting>
  <conditionalFormatting sqref="D35:H35">
    <cfRule type="expression" dxfId="63" priority="48">
      <formula>$B33&gt;Programs</formula>
    </cfRule>
  </conditionalFormatting>
  <conditionalFormatting sqref="D36:H36">
    <cfRule type="expression" dxfId="62" priority="47">
      <formula>$B33&gt;Programs</formula>
    </cfRule>
  </conditionalFormatting>
  <conditionalFormatting sqref="D38:H38">
    <cfRule type="expression" dxfId="61" priority="46">
      <formula>$B37&gt;Programs</formula>
    </cfRule>
  </conditionalFormatting>
  <conditionalFormatting sqref="D39:H39">
    <cfRule type="expression" dxfId="60" priority="45">
      <formula>$B37&gt;Programs</formula>
    </cfRule>
  </conditionalFormatting>
  <conditionalFormatting sqref="D40:H40">
    <cfRule type="expression" dxfId="59" priority="44">
      <formula>$B37&gt;Programs</formula>
    </cfRule>
  </conditionalFormatting>
  <conditionalFormatting sqref="D42:H42">
    <cfRule type="expression" dxfId="58" priority="43">
      <formula>$B41&gt;Programs</formula>
    </cfRule>
  </conditionalFormatting>
  <conditionalFormatting sqref="D43:H43">
    <cfRule type="expression" dxfId="57" priority="42">
      <formula>$B41&gt;Programs</formula>
    </cfRule>
  </conditionalFormatting>
  <conditionalFormatting sqref="D44:H44">
    <cfRule type="expression" dxfId="56" priority="41">
      <formula>$B41&gt;Programs</formula>
    </cfRule>
  </conditionalFormatting>
  <conditionalFormatting sqref="D46:H46">
    <cfRule type="expression" dxfId="55" priority="40">
      <formula>$B45&gt;Programs</formula>
    </cfRule>
  </conditionalFormatting>
  <conditionalFormatting sqref="D47:H47">
    <cfRule type="expression" dxfId="54" priority="39">
      <formula>$B45&gt;Programs</formula>
    </cfRule>
  </conditionalFormatting>
  <conditionalFormatting sqref="D48:H48">
    <cfRule type="expression" dxfId="53" priority="38">
      <formula>$B45&gt;Programs</formula>
    </cfRule>
  </conditionalFormatting>
  <conditionalFormatting sqref="D50:H50">
    <cfRule type="expression" dxfId="52" priority="37">
      <formula>$B49&gt;Programs</formula>
    </cfRule>
  </conditionalFormatting>
  <conditionalFormatting sqref="D51:H51">
    <cfRule type="expression" dxfId="51" priority="36">
      <formula>$B49&gt;Programs</formula>
    </cfRule>
  </conditionalFormatting>
  <conditionalFormatting sqref="D52:H52">
    <cfRule type="expression" dxfId="50" priority="35">
      <formula>$B49&gt;Programs</formula>
    </cfRule>
  </conditionalFormatting>
  <conditionalFormatting sqref="D54:H54">
    <cfRule type="expression" dxfId="49" priority="34">
      <formula>$B53&gt;Programs</formula>
    </cfRule>
  </conditionalFormatting>
  <conditionalFormatting sqref="D55:H55">
    <cfRule type="expression" dxfId="48" priority="33">
      <formula>$B53&gt;Programs</formula>
    </cfRule>
  </conditionalFormatting>
  <conditionalFormatting sqref="D56:H56">
    <cfRule type="expression" dxfId="47" priority="32">
      <formula>$B53&gt;Programs</formula>
    </cfRule>
  </conditionalFormatting>
  <conditionalFormatting sqref="D58:H58">
    <cfRule type="expression" dxfId="46" priority="31">
      <formula>$B57&gt;Programs</formula>
    </cfRule>
  </conditionalFormatting>
  <conditionalFormatting sqref="D59:H59">
    <cfRule type="expression" dxfId="45" priority="30">
      <formula>$B57&gt;Programs</formula>
    </cfRule>
  </conditionalFormatting>
  <conditionalFormatting sqref="D60:H60">
    <cfRule type="expression" dxfId="44" priority="29">
      <formula>$B57&gt;Programs</formula>
    </cfRule>
  </conditionalFormatting>
  <conditionalFormatting sqref="D62:H62">
    <cfRule type="expression" dxfId="43" priority="28">
      <formula>$B61&gt;Programs</formula>
    </cfRule>
  </conditionalFormatting>
  <conditionalFormatting sqref="D63:H63">
    <cfRule type="expression" dxfId="42" priority="27">
      <formula>$B61&gt;Programs</formula>
    </cfRule>
  </conditionalFormatting>
  <conditionalFormatting sqref="D64:H64">
    <cfRule type="expression" dxfId="41" priority="26">
      <formula>$B61&gt;Programs</formula>
    </cfRule>
  </conditionalFormatting>
  <conditionalFormatting sqref="D66:H66">
    <cfRule type="expression" dxfId="40" priority="25">
      <formula>$B65&gt;Programs</formula>
    </cfRule>
  </conditionalFormatting>
  <conditionalFormatting sqref="D67:H67">
    <cfRule type="expression" dxfId="39" priority="24">
      <formula>$B65&gt;Programs</formula>
    </cfRule>
  </conditionalFormatting>
  <conditionalFormatting sqref="D68:H68">
    <cfRule type="expression" dxfId="38" priority="23">
      <formula>$B65&gt;Programs</formula>
    </cfRule>
  </conditionalFormatting>
  <conditionalFormatting sqref="D70:H70">
    <cfRule type="expression" dxfId="37" priority="22">
      <formula>$B69&gt;Programs</formula>
    </cfRule>
  </conditionalFormatting>
  <conditionalFormatting sqref="D71:H71">
    <cfRule type="expression" dxfId="36" priority="21">
      <formula>$B69&gt;Programs</formula>
    </cfRule>
  </conditionalFormatting>
  <conditionalFormatting sqref="D72:H72">
    <cfRule type="expression" dxfId="35" priority="20">
      <formula>$B69&gt;Programs</formula>
    </cfRule>
  </conditionalFormatting>
  <conditionalFormatting sqref="D74:H74">
    <cfRule type="expression" dxfId="34" priority="19">
      <formula>$B73&gt;Programs</formula>
    </cfRule>
  </conditionalFormatting>
  <conditionalFormatting sqref="D75:H75">
    <cfRule type="expression" dxfId="33" priority="18">
      <formula>$B73&gt;Programs</formula>
    </cfRule>
  </conditionalFormatting>
  <conditionalFormatting sqref="D76:H76">
    <cfRule type="expression" dxfId="32" priority="17">
      <formula>$B73&gt;Programs</formula>
    </cfRule>
  </conditionalFormatting>
  <conditionalFormatting sqref="D78:H78">
    <cfRule type="expression" dxfId="31" priority="16">
      <formula>$B77&gt;Programs</formula>
    </cfRule>
  </conditionalFormatting>
  <conditionalFormatting sqref="D79:H79">
    <cfRule type="expression" dxfId="30" priority="15">
      <formula>$B77&gt;Programs</formula>
    </cfRule>
  </conditionalFormatting>
  <conditionalFormatting sqref="D80:H80">
    <cfRule type="expression" dxfId="29" priority="14">
      <formula>$B77&gt;Programs</formula>
    </cfRule>
  </conditionalFormatting>
  <conditionalFormatting sqref="D82:H82">
    <cfRule type="expression" dxfId="28" priority="13">
      <formula>$B81&gt;Programs</formula>
    </cfRule>
  </conditionalFormatting>
  <conditionalFormatting sqref="D83:H83">
    <cfRule type="expression" dxfId="27" priority="12">
      <formula>$B81&gt;Programs</formula>
    </cfRule>
  </conditionalFormatting>
  <conditionalFormatting sqref="D84:H84">
    <cfRule type="expression" dxfId="26" priority="11">
      <formula>$B81&gt;Programs</formula>
    </cfRule>
  </conditionalFormatting>
  <conditionalFormatting sqref="E16:H16">
    <cfRule type="expression" dxfId="25" priority="2">
      <formula>$B13&gt;Programs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L15"/>
  <sheetViews>
    <sheetView showGridLines="0" showRowColHeaders="0" zoomScale="130" zoomScaleNormal="130" workbookViewId="0">
      <selection activeCell="E7" sqref="E7"/>
    </sheetView>
  </sheetViews>
  <sheetFormatPr defaultColWidth="9.140625" defaultRowHeight="12.75"/>
  <cols>
    <col min="1" max="1" width="1" style="2" customWidth="1"/>
    <col min="2" max="2" width="1.85546875" style="2" customWidth="1"/>
    <col min="3" max="3" width="3.42578125" style="2" customWidth="1"/>
    <col min="4" max="4" width="37" style="2" customWidth="1"/>
    <col min="5" max="7" width="12.7109375" style="2" customWidth="1"/>
    <col min="8" max="8" width="49.7109375" style="2" customWidth="1"/>
    <col min="9" max="9" width="3" style="2" customWidth="1"/>
    <col min="10" max="10" width="1" style="2" customWidth="1"/>
    <col min="11" max="11" width="9.140625" style="2"/>
    <col min="12" max="12" width="0" style="2" hidden="1" customWidth="1"/>
    <col min="13" max="16384" width="9.140625" style="2"/>
  </cols>
  <sheetData>
    <row r="1" spans="2:12" ht="5.0999999999999996" customHeight="1" thickBot="1"/>
    <row r="2" spans="2:12" ht="38.25" customHeight="1" thickBot="1">
      <c r="B2" s="684" t="s">
        <v>263</v>
      </c>
      <c r="C2" s="684"/>
      <c r="D2" s="684"/>
      <c r="E2" s="684"/>
      <c r="F2" s="684"/>
      <c r="G2" s="684"/>
      <c r="H2" s="684"/>
      <c r="I2" s="684"/>
    </row>
    <row r="3" spans="2:12" ht="36" customHeight="1">
      <c r="B3" s="530"/>
      <c r="C3" s="572"/>
      <c r="D3" s="572"/>
      <c r="E3" s="572"/>
      <c r="F3" s="572"/>
      <c r="G3" s="572"/>
      <c r="H3" s="572"/>
      <c r="I3" s="531"/>
    </row>
    <row r="4" spans="2:12" ht="11.25" customHeight="1">
      <c r="B4" s="3"/>
      <c r="D4" s="313" t="str">
        <f>IF(L11&gt;0,"Incomplete - Explanation for difference must be provided.","")</f>
        <v/>
      </c>
      <c r="I4" s="4"/>
    </row>
    <row r="5" spans="2:12">
      <c r="B5" s="3"/>
      <c r="D5" s="29" t="s">
        <v>264</v>
      </c>
      <c r="E5" s="31">
        <f>'Actual Expenses'!J91</f>
        <v>10370539.26</v>
      </c>
      <c r="G5" s="27"/>
      <c r="H5" s="27"/>
      <c r="I5" s="4"/>
    </row>
    <row r="6" spans="2:12">
      <c r="B6" s="3"/>
      <c r="D6" s="29" t="s">
        <v>265</v>
      </c>
      <c r="E6" s="586">
        <f>'Actual Expenses'!J91</f>
        <v>10370539.26</v>
      </c>
      <c r="F6" s="27"/>
      <c r="G6" s="27"/>
      <c r="H6" s="27"/>
      <c r="I6" s="4"/>
      <c r="L6" s="2">
        <f>IF(E7&lt;&gt;0,1,0)</f>
        <v>0</v>
      </c>
    </row>
    <row r="7" spans="2:12">
      <c r="B7" s="3"/>
      <c r="D7" s="29" t="s">
        <v>151</v>
      </c>
      <c r="E7" s="232">
        <f>E5-E6</f>
        <v>0</v>
      </c>
      <c r="F7" s="27"/>
      <c r="G7" s="27"/>
      <c r="H7" s="27"/>
      <c r="I7" s="4"/>
    </row>
    <row r="8" spans="2:12">
      <c r="B8" s="3"/>
      <c r="D8" s="9"/>
      <c r="E8" s="27"/>
      <c r="F8" s="27"/>
      <c r="G8" s="27"/>
      <c r="H8" s="27"/>
      <c r="I8" s="4"/>
    </row>
    <row r="9" spans="2:12">
      <c r="B9" s="3"/>
      <c r="D9" s="9" t="s">
        <v>266</v>
      </c>
      <c r="I9" s="4"/>
    </row>
    <row r="10" spans="2:12">
      <c r="B10" s="3"/>
      <c r="D10" s="688"/>
      <c r="E10" s="689"/>
      <c r="F10" s="689"/>
      <c r="G10" s="689"/>
      <c r="H10" s="690"/>
      <c r="I10" s="4"/>
    </row>
    <row r="11" spans="2:12">
      <c r="B11" s="3"/>
      <c r="D11" s="691"/>
      <c r="E11" s="692"/>
      <c r="F11" s="692"/>
      <c r="G11" s="692"/>
      <c r="H11" s="693"/>
      <c r="I11" s="4"/>
      <c r="L11" s="2">
        <f>IF(L6=1,IF(ISBLANK(D10),1,0),0)</f>
        <v>0</v>
      </c>
    </row>
    <row r="12" spans="2:12">
      <c r="B12" s="3"/>
      <c r="D12" s="691"/>
      <c r="E12" s="692"/>
      <c r="F12" s="692"/>
      <c r="G12" s="692"/>
      <c r="H12" s="693"/>
      <c r="I12" s="4"/>
    </row>
    <row r="13" spans="2:12">
      <c r="B13" s="3"/>
      <c r="D13" s="691"/>
      <c r="E13" s="692"/>
      <c r="F13" s="692"/>
      <c r="G13" s="692"/>
      <c r="H13" s="693"/>
      <c r="I13" s="4"/>
    </row>
    <row r="14" spans="2:12">
      <c r="B14" s="3"/>
      <c r="D14" s="694"/>
      <c r="E14" s="695"/>
      <c r="F14" s="695"/>
      <c r="G14" s="695"/>
      <c r="H14" s="696"/>
      <c r="I14" s="4"/>
    </row>
    <row r="15" spans="2:12">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N114"/>
  <sheetViews>
    <sheetView showGridLines="0" showRowColHeaders="0" zoomScaleNormal="100" workbookViewId="0">
      <pane ySplit="5" topLeftCell="A6" activePane="bottomLeft" state="frozen"/>
      <selection pane="bottomLeft" activeCell="G8" sqref="G8"/>
    </sheetView>
  </sheetViews>
  <sheetFormatPr defaultColWidth="9.140625" defaultRowHeight="12.75"/>
  <cols>
    <col min="1" max="1" width="1" style="2" customWidth="1"/>
    <col min="2" max="2" width="3.7109375" style="2" customWidth="1"/>
    <col min="3" max="3" width="36.140625" style="2" customWidth="1"/>
    <col min="4" max="5" width="14.140625" style="2" customWidth="1"/>
    <col min="6" max="6" width="9.140625" style="2" customWidth="1"/>
    <col min="7" max="7" width="14.140625" style="2" customWidth="1"/>
    <col min="8" max="10" width="9.140625" style="2"/>
    <col min="11" max="11" width="14.28515625" style="2" customWidth="1"/>
    <col min="12" max="12" width="1" style="2" customWidth="1"/>
    <col min="13" max="13" width="16" style="2" customWidth="1"/>
    <col min="14" max="14" width="0" style="2" hidden="1" customWidth="1"/>
    <col min="15" max="16384" width="9.140625" style="2"/>
  </cols>
  <sheetData>
    <row r="1" spans="2:14" ht="28.5" customHeight="1"/>
    <row r="2" spans="2:14" ht="64.5" customHeight="1">
      <c r="B2" s="569"/>
      <c r="C2" s="570"/>
      <c r="D2" s="570"/>
      <c r="E2" s="570"/>
      <c r="F2" s="570"/>
      <c r="G2" s="570"/>
      <c r="H2" s="570"/>
      <c r="I2" s="570"/>
      <c r="J2" s="570"/>
      <c r="K2" s="571"/>
    </row>
    <row r="3" spans="2:14" ht="13.5" customHeight="1">
      <c r="B3" s="530"/>
      <c r="C3" s="313" t="str">
        <f>IF(N26&gt;0,"Incomplete - All yellow shaded cells must be completed.","")</f>
        <v/>
      </c>
      <c r="D3" s="572"/>
      <c r="E3" s="572"/>
      <c r="F3" s="572"/>
      <c r="G3" s="572"/>
      <c r="H3" s="572"/>
      <c r="I3" s="572"/>
      <c r="J3" s="572"/>
      <c r="K3" s="531"/>
    </row>
    <row r="4" spans="2:14" ht="25.5">
      <c r="B4" s="3"/>
      <c r="D4" s="243" t="s">
        <v>161</v>
      </c>
      <c r="E4" s="243" t="s">
        <v>162</v>
      </c>
      <c r="K4" s="4"/>
    </row>
    <row r="5" spans="2:14" ht="15" customHeight="1">
      <c r="B5" s="3"/>
      <c r="C5" s="8" t="s">
        <v>85</v>
      </c>
      <c r="D5" s="243" t="str">
        <f>"("&amp;Demand_1&amp;")"</f>
        <v>(Therms)</v>
      </c>
      <c r="E5" s="243" t="str">
        <f>"("&amp;Energy_1&amp;")"</f>
        <v>(Therms)</v>
      </c>
      <c r="G5" s="243" t="s">
        <v>163</v>
      </c>
      <c r="H5" s="9" t="s">
        <v>164</v>
      </c>
      <c r="K5" s="4"/>
    </row>
    <row r="6" spans="2:14" ht="15" customHeight="1">
      <c r="B6" s="241">
        <v>1</v>
      </c>
      <c r="C6" s="242" t="str">
        <f>'Program Descriptions'!C5</f>
        <v>Residential Solutions Program</v>
      </c>
      <c r="D6" s="253"/>
      <c r="E6" s="253">
        <v>1101642</v>
      </c>
      <c r="G6" s="253">
        <v>93318</v>
      </c>
      <c r="H6" s="697" t="str">
        <f>IF(ISBLANK('Savings &amp; Participants'!H6),"",'Savings &amp; Participants'!H6)</f>
        <v>Measure</v>
      </c>
      <c r="I6" s="697"/>
      <c r="K6" s="4"/>
      <c r="N6" s="297">
        <f t="shared" ref="N6:N25" si="0">IF(C6="Empty",0,IF(OR(ISBLANK(IF(Demand_1=NG_Demand,E6,D6)),ISBLANK(E6),ISBLANK(G6),ISBLANK(H6)),1,0))</f>
        <v>0</v>
      </c>
    </row>
    <row r="7" spans="2:14" ht="15" customHeight="1">
      <c r="B7" s="241">
        <v>2</v>
      </c>
      <c r="C7" s="242" t="str">
        <f>'Program Descriptions'!C6</f>
        <v>Access to Afford Energy &amp; Conservation</v>
      </c>
      <c r="D7" s="253"/>
      <c r="E7" s="253">
        <v>541438.81000000006</v>
      </c>
      <c r="G7" s="253">
        <v>64865</v>
      </c>
      <c r="H7" s="697" t="str">
        <f>IF(ISBLANK('Savings &amp; Participants'!H7),"",'Savings &amp; Participants'!H7)</f>
        <v>Measure</v>
      </c>
      <c r="I7" s="697"/>
      <c r="K7" s="4"/>
      <c r="N7" s="297">
        <f t="shared" si="0"/>
        <v>0</v>
      </c>
    </row>
    <row r="8" spans="2:14" ht="15" customHeight="1">
      <c r="B8" s="241">
        <v>3</v>
      </c>
      <c r="C8" s="242" t="str">
        <f>'Program Descriptions'!C7</f>
        <v>Commercial Solutions</v>
      </c>
      <c r="D8" s="253"/>
      <c r="E8" s="253">
        <v>1996742.95</v>
      </c>
      <c r="G8" s="253">
        <v>687</v>
      </c>
      <c r="H8" s="697" t="str">
        <f>IF(ISBLANK('Savings &amp; Participants'!H8),"",'Savings &amp; Participants'!H8)</f>
        <v>Customer</v>
      </c>
      <c r="I8" s="697"/>
      <c r="K8" s="4"/>
      <c r="N8" s="297">
        <f t="shared" si="0"/>
        <v>0</v>
      </c>
    </row>
    <row r="9" spans="2:14" ht="15" customHeight="1">
      <c r="B9" s="241">
        <v>4</v>
      </c>
      <c r="C9" s="242" t="str">
        <f>'Program Descriptions'!C8</f>
        <v>Empty</v>
      </c>
      <c r="D9" s="253"/>
      <c r="E9" s="253"/>
      <c r="G9" s="253"/>
      <c r="H9" s="697" t="str">
        <f>IF(ISBLANK('Savings &amp; Participants'!H9),"",'Savings &amp; Participants'!H9)</f>
        <v/>
      </c>
      <c r="I9" s="697"/>
      <c r="K9" s="4"/>
      <c r="N9" s="297">
        <f t="shared" si="0"/>
        <v>0</v>
      </c>
    </row>
    <row r="10" spans="2:14" ht="15" customHeight="1">
      <c r="B10" s="241">
        <v>5</v>
      </c>
      <c r="C10" s="242" t="str">
        <f>'Program Descriptions'!C9</f>
        <v>Empty</v>
      </c>
      <c r="D10" s="253"/>
      <c r="E10" s="253"/>
      <c r="G10" s="253"/>
      <c r="H10" s="697" t="str">
        <f>IF(ISBLANK('Savings &amp; Participants'!H10),"",'Savings &amp; Participants'!H10)</f>
        <v/>
      </c>
      <c r="I10" s="697"/>
      <c r="K10" s="4"/>
      <c r="N10" s="297">
        <f t="shared" si="0"/>
        <v>0</v>
      </c>
    </row>
    <row r="11" spans="2:14" ht="15" customHeight="1">
      <c r="B11" s="241">
        <v>6</v>
      </c>
      <c r="C11" s="242" t="str">
        <f>'Program Descriptions'!C10</f>
        <v>Empty</v>
      </c>
      <c r="D11" s="253"/>
      <c r="E11" s="253"/>
      <c r="G11" s="253"/>
      <c r="H11" s="697" t="str">
        <f>IF(ISBLANK('Savings &amp; Participants'!H11),"",'Savings &amp; Participants'!H11)</f>
        <v/>
      </c>
      <c r="I11" s="697"/>
      <c r="K11" s="4"/>
      <c r="N11" s="297">
        <f t="shared" si="0"/>
        <v>0</v>
      </c>
    </row>
    <row r="12" spans="2:14" ht="15" customHeight="1">
      <c r="B12" s="241">
        <v>7</v>
      </c>
      <c r="C12" s="242" t="str">
        <f>'Program Descriptions'!C11</f>
        <v>Empty</v>
      </c>
      <c r="D12" s="253"/>
      <c r="E12" s="253"/>
      <c r="G12" s="253"/>
      <c r="H12" s="697" t="str">
        <f>IF(ISBLANK('Savings &amp; Participants'!H12),"",'Savings &amp; Participants'!H12)</f>
        <v/>
      </c>
      <c r="I12" s="697"/>
      <c r="K12" s="4"/>
      <c r="N12" s="297">
        <f t="shared" si="0"/>
        <v>0</v>
      </c>
    </row>
    <row r="13" spans="2:14" ht="15" customHeight="1">
      <c r="B13" s="241">
        <v>8</v>
      </c>
      <c r="C13" s="242" t="str">
        <f>'Program Descriptions'!C12</f>
        <v>Empty</v>
      </c>
      <c r="D13" s="253"/>
      <c r="E13" s="253"/>
      <c r="G13" s="253"/>
      <c r="H13" s="697" t="str">
        <f>IF(ISBLANK('Savings &amp; Participants'!H13),"",'Savings &amp; Participants'!H13)</f>
        <v/>
      </c>
      <c r="I13" s="697"/>
      <c r="K13" s="4"/>
      <c r="N13" s="297">
        <f t="shared" si="0"/>
        <v>0</v>
      </c>
    </row>
    <row r="14" spans="2:14" ht="15" customHeight="1">
      <c r="B14" s="241">
        <v>9</v>
      </c>
      <c r="C14" s="242" t="str">
        <f>'Program Descriptions'!C13</f>
        <v>Empty</v>
      </c>
      <c r="D14" s="253"/>
      <c r="E14" s="253"/>
      <c r="G14" s="253"/>
      <c r="H14" s="697" t="str">
        <f>IF(ISBLANK('Savings &amp; Participants'!H14),"",'Savings &amp; Participants'!H14)</f>
        <v/>
      </c>
      <c r="I14" s="697"/>
      <c r="K14" s="4"/>
      <c r="N14" s="297">
        <f t="shared" si="0"/>
        <v>0</v>
      </c>
    </row>
    <row r="15" spans="2:14" ht="15" customHeight="1">
      <c r="B15" s="241">
        <v>10</v>
      </c>
      <c r="C15" s="242" t="str">
        <f>'Program Descriptions'!C14</f>
        <v>Empty</v>
      </c>
      <c r="D15" s="253"/>
      <c r="E15" s="253"/>
      <c r="G15" s="253"/>
      <c r="H15" s="697" t="str">
        <f>IF(ISBLANK('Savings &amp; Participants'!H15),"",'Savings &amp; Participants'!H15)</f>
        <v/>
      </c>
      <c r="I15" s="697"/>
      <c r="K15" s="4"/>
      <c r="N15" s="297">
        <f t="shared" si="0"/>
        <v>0</v>
      </c>
    </row>
    <row r="16" spans="2:14" ht="15" customHeight="1">
      <c r="B16" s="241">
        <v>11</v>
      </c>
      <c r="C16" s="242" t="str">
        <f>'Program Descriptions'!C15</f>
        <v>Empty</v>
      </c>
      <c r="D16" s="253"/>
      <c r="E16" s="253"/>
      <c r="G16" s="253"/>
      <c r="H16" s="697" t="str">
        <f>IF(ISBLANK('Savings &amp; Participants'!H16),"",'Savings &amp; Participants'!H16)</f>
        <v/>
      </c>
      <c r="I16" s="697"/>
      <c r="K16" s="4"/>
      <c r="N16" s="297">
        <f t="shared" si="0"/>
        <v>0</v>
      </c>
    </row>
    <row r="17" spans="2:14" ht="15" customHeight="1">
      <c r="B17" s="241">
        <v>12</v>
      </c>
      <c r="C17" s="242" t="str">
        <f>'Program Descriptions'!C16</f>
        <v>Empty</v>
      </c>
      <c r="D17" s="253"/>
      <c r="E17" s="253"/>
      <c r="G17" s="253"/>
      <c r="H17" s="697" t="str">
        <f>IF(ISBLANK('Savings &amp; Participants'!H17),"",'Savings &amp; Participants'!H17)</f>
        <v/>
      </c>
      <c r="I17" s="697"/>
      <c r="K17" s="4"/>
      <c r="N17" s="297">
        <f t="shared" si="0"/>
        <v>0</v>
      </c>
    </row>
    <row r="18" spans="2:14" ht="15" customHeight="1">
      <c r="B18" s="241">
        <v>13</v>
      </c>
      <c r="C18" s="242" t="str">
        <f>'Program Descriptions'!C17</f>
        <v>Empty</v>
      </c>
      <c r="D18" s="253"/>
      <c r="E18" s="253"/>
      <c r="G18" s="253"/>
      <c r="H18" s="697" t="str">
        <f>IF(ISBLANK('Savings &amp; Participants'!H18),"",'Savings &amp; Participants'!H18)</f>
        <v/>
      </c>
      <c r="I18" s="697"/>
      <c r="K18" s="4"/>
      <c r="N18" s="297">
        <f t="shared" si="0"/>
        <v>0</v>
      </c>
    </row>
    <row r="19" spans="2:14" ht="15" customHeight="1">
      <c r="B19" s="241">
        <v>14</v>
      </c>
      <c r="C19" s="242" t="str">
        <f>'Program Descriptions'!C18</f>
        <v>Empty</v>
      </c>
      <c r="D19" s="253"/>
      <c r="E19" s="253"/>
      <c r="G19" s="253"/>
      <c r="H19" s="697" t="str">
        <f>IF(ISBLANK('Savings &amp; Participants'!H19),"",'Savings &amp; Participants'!H19)</f>
        <v/>
      </c>
      <c r="I19" s="697"/>
      <c r="K19" s="4"/>
      <c r="N19" s="297">
        <f t="shared" si="0"/>
        <v>0</v>
      </c>
    </row>
    <row r="20" spans="2:14" ht="15" customHeight="1">
      <c r="B20" s="241">
        <v>15</v>
      </c>
      <c r="C20" s="242" t="str">
        <f>'Program Descriptions'!C19</f>
        <v>Empty</v>
      </c>
      <c r="D20" s="253"/>
      <c r="E20" s="253"/>
      <c r="G20" s="253"/>
      <c r="H20" s="697" t="str">
        <f>IF(ISBLANK('Savings &amp; Participants'!H20),"",'Savings &amp; Participants'!H20)</f>
        <v/>
      </c>
      <c r="I20" s="697"/>
      <c r="K20" s="4"/>
      <c r="N20" s="297">
        <f t="shared" si="0"/>
        <v>0</v>
      </c>
    </row>
    <row r="21" spans="2:14" ht="15" customHeight="1">
      <c r="B21" s="241">
        <v>16</v>
      </c>
      <c r="C21" s="242" t="str">
        <f>'Program Descriptions'!C20</f>
        <v>Empty</v>
      </c>
      <c r="D21" s="253"/>
      <c r="E21" s="253"/>
      <c r="G21" s="253"/>
      <c r="H21" s="697" t="str">
        <f>IF(ISBLANK('Savings &amp; Participants'!H21),"",'Savings &amp; Participants'!H21)</f>
        <v/>
      </c>
      <c r="I21" s="697"/>
      <c r="K21" s="4"/>
      <c r="N21" s="297">
        <f t="shared" si="0"/>
        <v>0</v>
      </c>
    </row>
    <row r="22" spans="2:14" ht="15" customHeight="1">
      <c r="B22" s="241">
        <v>17</v>
      </c>
      <c r="C22" s="242" t="str">
        <f>'Program Descriptions'!C21</f>
        <v>Empty</v>
      </c>
      <c r="D22" s="253"/>
      <c r="E22" s="253"/>
      <c r="G22" s="253"/>
      <c r="H22" s="697" t="str">
        <f>IF(ISBLANK('Savings &amp; Participants'!H22),"",'Savings &amp; Participants'!H22)</f>
        <v/>
      </c>
      <c r="I22" s="697"/>
      <c r="K22" s="4"/>
      <c r="N22" s="297">
        <f t="shared" si="0"/>
        <v>0</v>
      </c>
    </row>
    <row r="23" spans="2:14" ht="15" customHeight="1">
      <c r="B23" s="241">
        <v>18</v>
      </c>
      <c r="C23" s="242" t="str">
        <f>'Program Descriptions'!C22</f>
        <v>Empty</v>
      </c>
      <c r="D23" s="253"/>
      <c r="E23" s="253"/>
      <c r="G23" s="253"/>
      <c r="H23" s="697" t="str">
        <f>IF(ISBLANK('Savings &amp; Participants'!H23),"",'Savings &amp; Participants'!H23)</f>
        <v/>
      </c>
      <c r="I23" s="697"/>
      <c r="K23" s="4"/>
      <c r="N23" s="297">
        <f t="shared" si="0"/>
        <v>0</v>
      </c>
    </row>
    <row r="24" spans="2:14" ht="15" customHeight="1">
      <c r="B24" s="241">
        <v>19</v>
      </c>
      <c r="C24" s="242" t="str">
        <f>'Program Descriptions'!C23</f>
        <v>Empty</v>
      </c>
      <c r="D24" s="253"/>
      <c r="E24" s="253"/>
      <c r="G24" s="253"/>
      <c r="H24" s="697" t="str">
        <f>IF(ISBLANK('Savings &amp; Participants'!H24),"",'Savings &amp; Participants'!H24)</f>
        <v/>
      </c>
      <c r="I24" s="697"/>
      <c r="K24" s="4"/>
      <c r="N24" s="297">
        <f t="shared" si="0"/>
        <v>0</v>
      </c>
    </row>
    <row r="25" spans="2:14" ht="15" customHeight="1" thickBot="1">
      <c r="B25" s="241">
        <v>20</v>
      </c>
      <c r="C25" s="242" t="str">
        <f>'Program Descriptions'!C24</f>
        <v>Empty</v>
      </c>
      <c r="D25" s="253"/>
      <c r="E25" s="253"/>
      <c r="G25" s="253"/>
      <c r="H25" s="697" t="str">
        <f>IF(ISBLANK('Savings &amp; Participants'!H25),"",'Savings &amp; Participants'!H25)</f>
        <v/>
      </c>
      <c r="I25" s="697"/>
      <c r="K25" s="4"/>
      <c r="N25" s="297">
        <f t="shared" si="0"/>
        <v>0</v>
      </c>
    </row>
    <row r="26" spans="2:14" ht="15" customHeight="1">
      <c r="B26" s="3"/>
      <c r="C26" s="246" t="s">
        <v>146</v>
      </c>
      <c r="D26" s="534">
        <f>SUM(D6:D25)</f>
        <v>0</v>
      </c>
      <c r="E26" s="534">
        <f>SUM(E6:E25)</f>
        <v>3639823.76</v>
      </c>
      <c r="G26" s="534">
        <f>SUM(G6:G25)</f>
        <v>158870</v>
      </c>
      <c r="K26" s="4"/>
      <c r="N26" s="2">
        <f>SUM(N6:N25)</f>
        <v>0</v>
      </c>
    </row>
    <row r="27" spans="2:14" ht="15" customHeight="1">
      <c r="B27" s="5"/>
      <c r="C27" s="6"/>
      <c r="D27" s="6"/>
      <c r="E27" s="6"/>
      <c r="F27" s="6"/>
      <c r="G27" s="6"/>
      <c r="H27" s="6"/>
      <c r="I27" s="6"/>
      <c r="J27" s="6"/>
      <c r="K27" s="7"/>
    </row>
    <row r="28" spans="2:14" ht="15" customHeight="1">
      <c r="C28" s="2" t="s">
        <v>267</v>
      </c>
    </row>
    <row r="29" spans="2:14" ht="15" customHeight="1"/>
    <row r="30" spans="2:14" ht="15" customHeight="1"/>
    <row r="31" spans="2:14" ht="15" customHeight="1"/>
    <row r="32" spans="2: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sheetProtection password="C925" sheet="1" objects="1" scenarios="1" formatColumns="0"/>
  <mergeCells count="20">
    <mergeCell ref="H17:I17"/>
    <mergeCell ref="H6:I6"/>
    <mergeCell ref="H7:I7"/>
    <mergeCell ref="H8:I8"/>
    <mergeCell ref="H9:I9"/>
    <mergeCell ref="H10:I10"/>
    <mergeCell ref="H11:I11"/>
    <mergeCell ref="H12:I12"/>
    <mergeCell ref="H13:I13"/>
    <mergeCell ref="H14:I14"/>
    <mergeCell ref="H15:I15"/>
    <mergeCell ref="H16:I16"/>
    <mergeCell ref="H24:I24"/>
    <mergeCell ref="H25:I25"/>
    <mergeCell ref="H18:I18"/>
    <mergeCell ref="H19:I19"/>
    <mergeCell ref="H20:I20"/>
    <mergeCell ref="H21:I21"/>
    <mergeCell ref="H22:I22"/>
    <mergeCell ref="H23:I23"/>
  </mergeCells>
  <conditionalFormatting sqref="D6:D25">
    <cfRule type="expression" dxfId="24" priority="70">
      <formula>Demand_1=NG_Demand</formula>
    </cfRule>
  </conditionalFormatting>
  <conditionalFormatting sqref="D6:E25 G6:H25">
    <cfRule type="expression" dxfId="23" priority="1">
      <formula>$B6&gt;Programs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P29"/>
  <sheetViews>
    <sheetView showGridLines="0" zoomScaleNormal="100" workbookViewId="0">
      <selection activeCell="E7" sqref="E7"/>
    </sheetView>
  </sheetViews>
  <sheetFormatPr defaultColWidth="9.140625" defaultRowHeight="12.75"/>
  <cols>
    <col min="1" max="1" width="1" style="2" customWidth="1"/>
    <col min="2" max="2" width="1.85546875" style="2" customWidth="1"/>
    <col min="3" max="3" width="3.42578125" style="2" customWidth="1"/>
    <col min="4" max="4" width="37" style="2" customWidth="1"/>
    <col min="5" max="8" width="17.28515625" style="2" customWidth="1"/>
    <col min="9" max="9" width="7.7109375" style="2" customWidth="1"/>
    <col min="10" max="10" width="7.28515625" style="2" customWidth="1"/>
    <col min="11" max="11" width="6.85546875" style="2" customWidth="1"/>
    <col min="12" max="12" width="1" style="2" customWidth="1"/>
    <col min="13" max="13" width="9.140625" style="2"/>
    <col min="14" max="14" width="0.5703125" style="2" customWidth="1"/>
    <col min="15" max="16384" width="9.140625" style="2"/>
  </cols>
  <sheetData>
    <row r="1" spans="2:16" ht="5.0999999999999996" customHeight="1" thickBot="1"/>
    <row r="2" spans="2:16" ht="38.25" customHeight="1" thickBot="1">
      <c r="B2" s="684" t="s">
        <v>268</v>
      </c>
      <c r="C2" s="684"/>
      <c r="D2" s="684"/>
      <c r="E2" s="684"/>
      <c r="F2" s="684"/>
      <c r="G2" s="684"/>
      <c r="H2" s="684"/>
      <c r="I2" s="684"/>
      <c r="J2" s="684"/>
      <c r="K2" s="684"/>
      <c r="N2" s="475"/>
    </row>
    <row r="3" spans="2:16">
      <c r="B3" s="530"/>
      <c r="C3" s="572"/>
      <c r="D3" s="313" t="str">
        <f>IF(N26&gt;0,"Incomplete - All 'yellow' shaded cells must be completed.","")</f>
        <v>Incomplete - All 'yellow' shaded cells must be completed.</v>
      </c>
      <c r="E3" s="572"/>
      <c r="F3" s="572"/>
      <c r="G3" s="572"/>
      <c r="H3" s="572"/>
      <c r="I3" s="572"/>
      <c r="J3" s="572"/>
      <c r="K3" s="531"/>
      <c r="N3" s="475"/>
    </row>
    <row r="4" spans="2:16">
      <c r="B4" s="3"/>
      <c r="E4" s="27" t="s">
        <v>269</v>
      </c>
      <c r="F4" s="27" t="s">
        <v>270</v>
      </c>
      <c r="G4" s="27" t="s">
        <v>271</v>
      </c>
      <c r="H4" s="27" t="s">
        <v>272</v>
      </c>
      <c r="K4" s="4"/>
      <c r="N4" s="475"/>
    </row>
    <row r="5" spans="2:16">
      <c r="B5" s="3"/>
      <c r="D5" s="9" t="s">
        <v>85</v>
      </c>
      <c r="E5" s="27" t="str">
        <f>"("&amp;Energy_1&amp;")"</f>
        <v>(Therms)</v>
      </c>
      <c r="F5" s="27" t="str">
        <f>E5</f>
        <v>(Therms)</v>
      </c>
      <c r="G5" s="27" t="str">
        <f>E5</f>
        <v>(Therms)</v>
      </c>
      <c r="H5" s="27" t="str">
        <f>E5</f>
        <v>(Therms)</v>
      </c>
      <c r="I5" s="27"/>
      <c r="J5" s="27"/>
      <c r="K5" s="4"/>
      <c r="M5" s="464"/>
      <c r="N5" s="475"/>
      <c r="O5" s="464"/>
      <c r="P5" s="464"/>
    </row>
    <row r="6" spans="2:16">
      <c r="B6" s="241"/>
      <c r="C6" s="249">
        <v>1</v>
      </c>
      <c r="D6" s="242" t="str">
        <f>'Program Descriptions'!C5</f>
        <v>Residential Solutions Program</v>
      </c>
      <c r="E6" s="253">
        <v>571158</v>
      </c>
      <c r="F6" s="253">
        <v>0</v>
      </c>
      <c r="G6" s="253">
        <v>530484</v>
      </c>
      <c r="H6" s="15">
        <f>E6+F6+G6</f>
        <v>1101642</v>
      </c>
      <c r="I6" s="54"/>
      <c r="J6" s="54"/>
      <c r="K6" s="53"/>
      <c r="M6" s="464"/>
      <c r="N6" s="297">
        <f>IF(C6="Empty",0,IF('Evaluated Savings'!E6-'Savings Methodology'!H6&lt;&gt;0,1,0))</f>
        <v>0</v>
      </c>
      <c r="O6" s="464"/>
      <c r="P6" s="464"/>
    </row>
    <row r="7" spans="2:16">
      <c r="B7" s="241"/>
      <c r="C7" s="249">
        <v>2</v>
      </c>
      <c r="D7" s="242" t="str">
        <f>'Program Descriptions'!C6</f>
        <v>Access to Afford Energy &amp; Conservation</v>
      </c>
      <c r="E7" s="253">
        <v>164223</v>
      </c>
      <c r="F7" s="253">
        <v>0</v>
      </c>
      <c r="G7" s="253">
        <v>377216</v>
      </c>
      <c r="H7" s="15">
        <f>E7+F7+G7</f>
        <v>541439</v>
      </c>
      <c r="I7" s="54"/>
      <c r="J7" s="54"/>
      <c r="K7" s="53"/>
      <c r="M7" s="464"/>
      <c r="N7" s="297">
        <f>IF(C7="Empty",0,IF('Evaluated Savings'!E7-'Savings Methodology'!H7&lt;&gt;0,1,0))</f>
        <v>1</v>
      </c>
      <c r="O7" s="464"/>
      <c r="P7" s="464"/>
    </row>
    <row r="8" spans="2:16">
      <c r="B8" s="241"/>
      <c r="C8" s="249">
        <v>3</v>
      </c>
      <c r="D8" s="242" t="str">
        <f>'Program Descriptions'!C7</f>
        <v>Commercial Solutions</v>
      </c>
      <c r="E8" s="253">
        <v>533949</v>
      </c>
      <c r="F8" s="253">
        <v>1462794</v>
      </c>
      <c r="G8" s="253">
        <v>0</v>
      </c>
      <c r="H8" s="15">
        <f>E8+F8+G8</f>
        <v>1996743</v>
      </c>
      <c r="I8" s="54"/>
      <c r="J8" s="54"/>
      <c r="K8" s="53"/>
      <c r="M8" s="464"/>
      <c r="N8" s="297">
        <f>IF(C8="Empty",0,IF('Evaluated Savings'!E8-'Savings Methodology'!H8&lt;&gt;0,1,0))</f>
        <v>1</v>
      </c>
      <c r="O8" s="464"/>
      <c r="P8" s="464"/>
    </row>
    <row r="9" spans="2:16">
      <c r="B9" s="241"/>
      <c r="C9" s="249">
        <v>4</v>
      </c>
      <c r="D9" s="242" t="str">
        <f>'Program Descriptions'!C8</f>
        <v>Empty</v>
      </c>
      <c r="E9" s="253"/>
      <c r="F9" s="253"/>
      <c r="G9" s="253"/>
      <c r="H9" s="15">
        <f t="shared" ref="H9:H25" si="0">E9+F9+G9</f>
        <v>0</v>
      </c>
      <c r="I9" s="54"/>
      <c r="J9" s="54"/>
      <c r="K9" s="53"/>
      <c r="M9" s="464"/>
      <c r="N9" s="297">
        <f>IF(C9="Empty",0,IF('Evaluated Savings'!E9-'Savings Methodology'!H9&lt;&gt;0,1,0))</f>
        <v>0</v>
      </c>
      <c r="O9" s="464"/>
      <c r="P9" s="464"/>
    </row>
    <row r="10" spans="2:16">
      <c r="B10" s="241"/>
      <c r="C10" s="249">
        <v>5</v>
      </c>
      <c r="D10" s="242" t="str">
        <f>'Program Descriptions'!C9</f>
        <v>Empty</v>
      </c>
      <c r="E10" s="253"/>
      <c r="F10" s="253"/>
      <c r="G10" s="253"/>
      <c r="H10" s="15">
        <f t="shared" si="0"/>
        <v>0</v>
      </c>
      <c r="I10" s="54"/>
      <c r="J10" s="54"/>
      <c r="K10" s="53"/>
      <c r="M10" s="464"/>
      <c r="N10" s="297">
        <f>IF(C10="Empty",0,IF('Evaluated Savings'!E10-'Savings Methodology'!H10&lt;&gt;0,1,0))</f>
        <v>0</v>
      </c>
      <c r="O10" s="464"/>
      <c r="P10" s="464"/>
    </row>
    <row r="11" spans="2:16">
      <c r="B11" s="241"/>
      <c r="C11" s="249">
        <v>6</v>
      </c>
      <c r="D11" s="242" t="str">
        <f>'Program Descriptions'!C10</f>
        <v>Empty</v>
      </c>
      <c r="E11" s="253"/>
      <c r="F11" s="253"/>
      <c r="G11" s="253"/>
      <c r="H11" s="15">
        <f t="shared" si="0"/>
        <v>0</v>
      </c>
      <c r="I11" s="54"/>
      <c r="J11" s="54"/>
      <c r="K11" s="53"/>
      <c r="M11" s="464"/>
      <c r="N11" s="297">
        <f>IF(C11="Empty",0,IF('Evaluated Savings'!E11-'Savings Methodology'!H11&lt;&gt;0,1,0))</f>
        <v>0</v>
      </c>
      <c r="O11" s="464"/>
      <c r="P11" s="464"/>
    </row>
    <row r="12" spans="2:16">
      <c r="B12" s="241"/>
      <c r="C12" s="249">
        <v>7</v>
      </c>
      <c r="D12" s="242" t="str">
        <f>'Program Descriptions'!C11</f>
        <v>Empty</v>
      </c>
      <c r="E12" s="253"/>
      <c r="F12" s="253"/>
      <c r="G12" s="253"/>
      <c r="H12" s="15">
        <f t="shared" si="0"/>
        <v>0</v>
      </c>
      <c r="I12" s="54"/>
      <c r="J12" s="54"/>
      <c r="K12" s="53"/>
      <c r="M12" s="464"/>
      <c r="N12" s="297">
        <f>IF(C12="Empty",0,IF('Evaluated Savings'!E12-'Savings Methodology'!H12&lt;&gt;0,1,0))</f>
        <v>0</v>
      </c>
      <c r="O12" s="464"/>
      <c r="P12" s="464"/>
    </row>
    <row r="13" spans="2:16">
      <c r="B13" s="241"/>
      <c r="C13" s="249">
        <v>8</v>
      </c>
      <c r="D13" s="242" t="str">
        <f>'Program Descriptions'!C12</f>
        <v>Empty</v>
      </c>
      <c r="E13" s="253"/>
      <c r="F13" s="253"/>
      <c r="G13" s="253"/>
      <c r="H13" s="15">
        <f>E13+F13+G13</f>
        <v>0</v>
      </c>
      <c r="I13" s="54"/>
      <c r="J13" s="54"/>
      <c r="K13" s="53"/>
      <c r="M13" s="464"/>
      <c r="N13" s="297">
        <f>IF(C13="Empty",0,IF('Evaluated Savings'!E13-'Savings Methodology'!H13&lt;&gt;0,1,0))</f>
        <v>0</v>
      </c>
      <c r="O13" s="464"/>
      <c r="P13" s="464"/>
    </row>
    <row r="14" spans="2:16">
      <c r="B14" s="241"/>
      <c r="C14" s="249">
        <v>9</v>
      </c>
      <c r="D14" s="242" t="str">
        <f>'Program Descriptions'!C13</f>
        <v>Empty</v>
      </c>
      <c r="E14" s="253"/>
      <c r="F14" s="253"/>
      <c r="G14" s="253"/>
      <c r="H14" s="15">
        <f>E14+F14+G14</f>
        <v>0</v>
      </c>
      <c r="I14" s="54"/>
      <c r="J14" s="54"/>
      <c r="K14" s="53"/>
      <c r="M14" s="464"/>
      <c r="N14" s="297">
        <f>IF(C14="Empty",0,IF('Evaluated Savings'!E14-'Savings Methodology'!H14&lt;&gt;0,1,0))</f>
        <v>0</v>
      </c>
      <c r="O14" s="464"/>
      <c r="P14" s="464"/>
    </row>
    <row r="15" spans="2:16">
      <c r="B15" s="241"/>
      <c r="C15" s="249">
        <v>10</v>
      </c>
      <c r="D15" s="242" t="str">
        <f>'Program Descriptions'!C14</f>
        <v>Empty</v>
      </c>
      <c r="E15" s="253"/>
      <c r="F15" s="253"/>
      <c r="G15" s="253"/>
      <c r="H15" s="15">
        <f t="shared" si="0"/>
        <v>0</v>
      </c>
      <c r="I15" s="54"/>
      <c r="J15" s="54"/>
      <c r="K15" s="53"/>
      <c r="M15" s="464"/>
      <c r="N15" s="297">
        <f>IF(C15="Empty",0,IF('Evaluated Savings'!E15-'Savings Methodology'!H15&lt;&gt;0,1,0))</f>
        <v>0</v>
      </c>
      <c r="O15" s="464"/>
      <c r="P15" s="464"/>
    </row>
    <row r="16" spans="2:16">
      <c r="B16" s="241"/>
      <c r="C16" s="249">
        <v>11</v>
      </c>
      <c r="D16" s="242" t="str">
        <f>'Program Descriptions'!C15</f>
        <v>Empty</v>
      </c>
      <c r="E16" s="253"/>
      <c r="F16" s="253"/>
      <c r="G16" s="253"/>
      <c r="H16" s="15">
        <f t="shared" si="0"/>
        <v>0</v>
      </c>
      <c r="I16" s="54"/>
      <c r="J16" s="54"/>
      <c r="K16" s="53"/>
      <c r="M16" s="464"/>
      <c r="N16" s="297">
        <f>IF(C16="Empty",0,IF('Evaluated Savings'!E16-'Savings Methodology'!H16&lt;&gt;0,1,0))</f>
        <v>0</v>
      </c>
      <c r="O16" s="464"/>
      <c r="P16" s="464"/>
    </row>
    <row r="17" spans="2:16">
      <c r="B17" s="241"/>
      <c r="C17" s="249">
        <v>12</v>
      </c>
      <c r="D17" s="242" t="str">
        <f>'Program Descriptions'!C16</f>
        <v>Empty</v>
      </c>
      <c r="E17" s="253"/>
      <c r="F17" s="253"/>
      <c r="G17" s="253"/>
      <c r="H17" s="15">
        <f t="shared" si="0"/>
        <v>0</v>
      </c>
      <c r="I17" s="54"/>
      <c r="J17" s="54"/>
      <c r="K17" s="53"/>
      <c r="M17" s="464"/>
      <c r="N17" s="297">
        <f>IF(C17="Empty",0,IF('Evaluated Savings'!E17-'Savings Methodology'!H17&lt;&gt;0,1,0))</f>
        <v>0</v>
      </c>
      <c r="O17" s="464"/>
      <c r="P17" s="464"/>
    </row>
    <row r="18" spans="2:16">
      <c r="B18" s="241"/>
      <c r="C18" s="249">
        <v>13</v>
      </c>
      <c r="D18" s="242" t="str">
        <f>'Program Descriptions'!C17</f>
        <v>Empty</v>
      </c>
      <c r="E18" s="253"/>
      <c r="F18" s="253"/>
      <c r="G18" s="253"/>
      <c r="H18" s="15">
        <f t="shared" si="0"/>
        <v>0</v>
      </c>
      <c r="I18" s="54"/>
      <c r="J18" s="54"/>
      <c r="K18" s="53"/>
      <c r="M18" s="464"/>
      <c r="N18" s="297">
        <f>IF(C18="Empty",0,IF('Evaluated Savings'!E18-'Savings Methodology'!H18&lt;&gt;0,1,0))</f>
        <v>0</v>
      </c>
      <c r="O18" s="464"/>
      <c r="P18" s="464"/>
    </row>
    <row r="19" spans="2:16">
      <c r="B19" s="241"/>
      <c r="C19" s="249">
        <v>14</v>
      </c>
      <c r="D19" s="242" t="str">
        <f>'Program Descriptions'!C18</f>
        <v>Empty</v>
      </c>
      <c r="E19" s="253"/>
      <c r="F19" s="253"/>
      <c r="G19" s="253"/>
      <c r="H19" s="15">
        <f t="shared" si="0"/>
        <v>0</v>
      </c>
      <c r="I19" s="54"/>
      <c r="J19" s="54"/>
      <c r="K19" s="53"/>
      <c r="M19" s="464"/>
      <c r="N19" s="297">
        <f>IF(C19="Empty",0,IF('Evaluated Savings'!E19-'Savings Methodology'!H19&lt;&gt;0,1,0))</f>
        <v>0</v>
      </c>
      <c r="O19" s="464"/>
      <c r="P19" s="464"/>
    </row>
    <row r="20" spans="2:16">
      <c r="B20" s="241"/>
      <c r="C20" s="249">
        <v>15</v>
      </c>
      <c r="D20" s="242" t="str">
        <f>'Program Descriptions'!C19</f>
        <v>Empty</v>
      </c>
      <c r="E20" s="253"/>
      <c r="F20" s="253"/>
      <c r="G20" s="253"/>
      <c r="H20" s="15">
        <f t="shared" si="0"/>
        <v>0</v>
      </c>
      <c r="I20" s="54"/>
      <c r="J20" s="54"/>
      <c r="K20" s="53"/>
      <c r="M20" s="464"/>
      <c r="N20" s="297">
        <f>IF(C20="Empty",0,IF('Evaluated Savings'!E20-'Savings Methodology'!H20&lt;&gt;0,1,0))</f>
        <v>0</v>
      </c>
      <c r="O20" s="464"/>
      <c r="P20" s="464"/>
    </row>
    <row r="21" spans="2:16">
      <c r="B21" s="241"/>
      <c r="C21" s="249">
        <v>16</v>
      </c>
      <c r="D21" s="242" t="str">
        <f>'Program Descriptions'!C20</f>
        <v>Empty</v>
      </c>
      <c r="E21" s="253"/>
      <c r="F21" s="253"/>
      <c r="G21" s="253"/>
      <c r="H21" s="15">
        <f t="shared" si="0"/>
        <v>0</v>
      </c>
      <c r="I21" s="54"/>
      <c r="J21" s="54"/>
      <c r="K21" s="53"/>
      <c r="M21" s="464"/>
      <c r="N21" s="297">
        <f>IF(C21="Empty",0,IF('Evaluated Savings'!E21-'Savings Methodology'!H21&lt;&gt;0,1,0))</f>
        <v>0</v>
      </c>
      <c r="O21" s="464"/>
      <c r="P21" s="464"/>
    </row>
    <row r="22" spans="2:16">
      <c r="B22" s="241"/>
      <c r="C22" s="249">
        <v>17</v>
      </c>
      <c r="D22" s="242" t="str">
        <f>'Program Descriptions'!C21</f>
        <v>Empty</v>
      </c>
      <c r="E22" s="253"/>
      <c r="F22" s="253"/>
      <c r="G22" s="253"/>
      <c r="H22" s="15">
        <f t="shared" si="0"/>
        <v>0</v>
      </c>
      <c r="I22" s="54"/>
      <c r="J22" s="54"/>
      <c r="K22" s="53"/>
      <c r="M22" s="464"/>
      <c r="N22" s="297">
        <f>IF(C22="Empty",0,IF('Evaluated Savings'!E22-'Savings Methodology'!H22&lt;&gt;0,1,0))</f>
        <v>0</v>
      </c>
      <c r="O22" s="464"/>
      <c r="P22" s="464"/>
    </row>
    <row r="23" spans="2:16">
      <c r="B23" s="241"/>
      <c r="C23" s="249">
        <v>18</v>
      </c>
      <c r="D23" s="242" t="str">
        <f>'Program Descriptions'!C22</f>
        <v>Empty</v>
      </c>
      <c r="E23" s="253"/>
      <c r="F23" s="253"/>
      <c r="G23" s="253"/>
      <c r="H23" s="15">
        <f t="shared" si="0"/>
        <v>0</v>
      </c>
      <c r="I23" s="54"/>
      <c r="J23" s="54"/>
      <c r="K23" s="53"/>
      <c r="M23" s="464"/>
      <c r="N23" s="297">
        <f>IF(C23="Empty",0,IF('Evaluated Savings'!E23-'Savings Methodology'!H23&lt;&gt;0,1,0))</f>
        <v>0</v>
      </c>
      <c r="O23" s="464"/>
      <c r="P23" s="464"/>
    </row>
    <row r="24" spans="2:16">
      <c r="B24" s="241"/>
      <c r="C24" s="249">
        <v>19</v>
      </c>
      <c r="D24" s="242" t="str">
        <f>'Program Descriptions'!C23</f>
        <v>Empty</v>
      </c>
      <c r="E24" s="253"/>
      <c r="F24" s="253"/>
      <c r="G24" s="253"/>
      <c r="H24" s="15">
        <f t="shared" si="0"/>
        <v>0</v>
      </c>
      <c r="I24" s="54"/>
      <c r="J24" s="54"/>
      <c r="K24" s="53"/>
      <c r="M24" s="464"/>
      <c r="N24" s="297">
        <f>IF(C24="Empty",0,IF('Evaluated Savings'!E24-'Savings Methodology'!H24&lt;&gt;0,1,0))</f>
        <v>0</v>
      </c>
      <c r="O24" s="464"/>
      <c r="P24" s="464"/>
    </row>
    <row r="25" spans="2:16" ht="13.5" thickBot="1">
      <c r="B25" s="241"/>
      <c r="C25" s="249">
        <v>20</v>
      </c>
      <c r="D25" s="242" t="str">
        <f>'Program Descriptions'!C24</f>
        <v>Empty</v>
      </c>
      <c r="E25" s="253"/>
      <c r="F25" s="253"/>
      <c r="G25" s="253"/>
      <c r="H25" s="15">
        <f t="shared" si="0"/>
        <v>0</v>
      </c>
      <c r="I25" s="54"/>
      <c r="J25" s="54"/>
      <c r="K25" s="53"/>
      <c r="M25" s="464"/>
      <c r="N25" s="297">
        <f>IF(C25="Empty",0,IF('Evaluated Savings'!E25-'Savings Methodology'!H25&lt;&gt;0,1,0))</f>
        <v>0</v>
      </c>
      <c r="O25" s="464"/>
      <c r="P25" s="464"/>
    </row>
    <row r="26" spans="2:16">
      <c r="B26" s="3"/>
      <c r="C26" s="28"/>
      <c r="D26" s="29" t="s">
        <v>158</v>
      </c>
      <c r="E26" s="534">
        <f>SUM(E6:E25)</f>
        <v>1269330</v>
      </c>
      <c r="F26" s="534">
        <f>SUM(F6:F25)</f>
        <v>1462794</v>
      </c>
      <c r="G26" s="534">
        <f>SUM(G6:G25)</f>
        <v>907700</v>
      </c>
      <c r="H26" s="534">
        <f>SUM(H6:H25)</f>
        <v>3639824</v>
      </c>
      <c r="I26" s="31"/>
      <c r="J26" s="31"/>
      <c r="K26" s="4"/>
      <c r="M26" s="464"/>
      <c r="N26" s="464">
        <f>SUM(N6:N25)</f>
        <v>2</v>
      </c>
      <c r="O26" s="464"/>
      <c r="P26" s="464"/>
    </row>
    <row r="27" spans="2:16">
      <c r="B27" s="3"/>
      <c r="K27" s="4"/>
    </row>
    <row r="28" spans="2:16">
      <c r="B28" s="3"/>
      <c r="K28" s="4"/>
    </row>
    <row r="29" spans="2:16">
      <c r="B29" s="5"/>
      <c r="C29" s="6"/>
      <c r="D29" s="6"/>
      <c r="E29" s="6"/>
      <c r="F29" s="6"/>
      <c r="G29" s="6"/>
      <c r="H29" s="6"/>
      <c r="I29" s="6"/>
      <c r="J29" s="6"/>
      <c r="K29" s="7"/>
    </row>
  </sheetData>
  <sheetProtection formatColumns="0"/>
  <mergeCells count="1">
    <mergeCell ref="B2:K2"/>
  </mergeCells>
  <conditionalFormatting sqref="E6:G25">
    <cfRule type="expression" dxfId="22" priority="1">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P115"/>
  <sheetViews>
    <sheetView showGridLines="0" showRowColHeaders="0" zoomScaleNormal="100" workbookViewId="0">
      <pane ySplit="6" topLeftCell="A7" activePane="bottomLeft" state="frozen"/>
      <selection pane="bottomLeft" activeCell="G7" sqref="G7"/>
    </sheetView>
  </sheetViews>
  <sheetFormatPr defaultColWidth="9.140625" defaultRowHeight="12.75"/>
  <cols>
    <col min="1" max="1" width="1" style="2" customWidth="1"/>
    <col min="2" max="2" width="3.7109375" style="2" customWidth="1"/>
    <col min="3" max="3" width="35.85546875" style="2" customWidth="1"/>
    <col min="4" max="4" width="12.140625" style="2" customWidth="1"/>
    <col min="5" max="5" width="9.140625" style="2"/>
    <col min="6" max="6" width="12.85546875" style="2" customWidth="1"/>
    <col min="7" max="7" width="13.5703125" style="2" bestFit="1" customWidth="1"/>
    <col min="8" max="8" width="14.5703125" style="2" bestFit="1" customWidth="1"/>
    <col min="9" max="9" width="12.7109375" style="2" customWidth="1"/>
    <col min="10" max="10" width="9" style="2" customWidth="1"/>
    <col min="11" max="11" width="9" style="2" hidden="1" customWidth="1"/>
    <col min="12" max="12" width="13.7109375" style="2" customWidth="1"/>
    <col min="13" max="13" width="3.28515625" style="2" customWidth="1"/>
    <col min="14" max="14" width="1" style="2" customWidth="1"/>
    <col min="15" max="15" width="9.140625" style="2"/>
    <col min="16" max="16" width="0" style="2" hidden="1" customWidth="1"/>
    <col min="17" max="16384" width="9.140625" style="2"/>
  </cols>
  <sheetData>
    <row r="1" spans="2:16" ht="28.5" customHeight="1"/>
    <row r="2" spans="2:16" ht="64.5" customHeight="1">
      <c r="B2" s="569"/>
      <c r="C2" s="570"/>
      <c r="D2" s="570"/>
      <c r="E2" s="570"/>
      <c r="F2" s="570"/>
      <c r="G2" s="570"/>
      <c r="H2" s="570"/>
      <c r="I2" s="570"/>
      <c r="J2" s="570"/>
      <c r="K2" s="570"/>
      <c r="L2" s="570"/>
      <c r="M2" s="571"/>
    </row>
    <row r="3" spans="2:16" ht="15" customHeight="1" thickBot="1">
      <c r="B3" s="530"/>
      <c r="C3" s="313" t="str">
        <f>IF(P27&gt;0,"Incomplete - All 'yellow' shaded cells must be completed.","")</f>
        <v/>
      </c>
      <c r="D3" s="572"/>
      <c r="E3" s="572"/>
      <c r="F3" s="572"/>
      <c r="G3" s="572"/>
      <c r="H3" s="572"/>
      <c r="I3" s="572"/>
      <c r="J3" s="572"/>
      <c r="K3" s="572"/>
      <c r="L3" s="572"/>
      <c r="M3" s="531"/>
    </row>
    <row r="4" spans="2:16" ht="21" customHeight="1">
      <c r="B4" s="3"/>
      <c r="D4" s="698" t="s">
        <v>273</v>
      </c>
      <c r="E4" s="699"/>
      <c r="F4" s="700"/>
      <c r="G4" s="698" t="s">
        <v>274</v>
      </c>
      <c r="H4" s="699"/>
      <c r="I4" s="699"/>
      <c r="J4" s="699"/>
      <c r="K4" s="699"/>
      <c r="L4" s="700"/>
      <c r="M4" s="4"/>
    </row>
    <row r="5" spans="2:16" ht="30.75" customHeight="1">
      <c r="B5" s="3"/>
      <c r="D5" s="536" t="s">
        <v>275</v>
      </c>
      <c r="E5" s="537" t="s">
        <v>276</v>
      </c>
      <c r="F5" s="538" t="s">
        <v>277</v>
      </c>
      <c r="G5" s="536" t="s">
        <v>278</v>
      </c>
      <c r="H5" s="537" t="s">
        <v>279</v>
      </c>
      <c r="I5" s="537" t="s">
        <v>280</v>
      </c>
      <c r="J5" s="556" t="s">
        <v>281</v>
      </c>
      <c r="K5" s="701" t="s">
        <v>282</v>
      </c>
      <c r="L5" s="538" t="s">
        <v>283</v>
      </c>
      <c r="M5" s="4"/>
    </row>
    <row r="6" spans="2:16" ht="15" customHeight="1">
      <c r="B6" s="3"/>
      <c r="C6" s="8" t="s">
        <v>85</v>
      </c>
      <c r="D6" s="93" t="str">
        <f>"("&amp;Titles!F13&amp;")"</f>
        <v>(Therms)</v>
      </c>
      <c r="E6" s="55" t="s">
        <v>284</v>
      </c>
      <c r="F6" s="94" t="str">
        <f>"("&amp;Titles!F14&amp;")"</f>
        <v>(Therms)</v>
      </c>
      <c r="G6" s="93" t="s">
        <v>285</v>
      </c>
      <c r="H6" s="55" t="s">
        <v>285</v>
      </c>
      <c r="I6" s="55" t="s">
        <v>285</v>
      </c>
      <c r="J6" s="55" t="s">
        <v>284</v>
      </c>
      <c r="K6" s="702"/>
      <c r="L6" s="94" t="str">
        <f>"($/"&amp;Titles!F13&amp;")"</f>
        <v>($/Therms)</v>
      </c>
      <c r="M6" s="4"/>
    </row>
    <row r="7" spans="2:16" ht="15" customHeight="1">
      <c r="B7" s="241">
        <v>1</v>
      </c>
      <c r="C7" s="242" t="str">
        <f>'Program Descriptions'!C5</f>
        <v>Residential Solutions Program</v>
      </c>
      <c r="D7" s="95">
        <f>'Evaluated Savings'!E6</f>
        <v>1101642</v>
      </c>
      <c r="E7" s="594">
        <v>0.93784000000000001</v>
      </c>
      <c r="F7" s="96">
        <v>12842996</v>
      </c>
      <c r="G7" s="466">
        <v>3621.54</v>
      </c>
      <c r="H7" s="595">
        <v>6249.28</v>
      </c>
      <c r="I7" s="596">
        <f>H7-G7</f>
        <v>2627.74</v>
      </c>
      <c r="J7" s="100">
        <f>IF(ISERROR(H7/G7),"n/a",H7/G7)</f>
        <v>1.7255863527670547</v>
      </c>
      <c r="K7" s="224">
        <f>IF($F$6="(MWh)",F7*1000/D7,F7/D7)</f>
        <v>11.65804862196612</v>
      </c>
      <c r="L7" s="132">
        <f t="shared" ref="L7:L26" si="0">IF(ISERROR(G7*1000*((Discount_Rate*(1+Discount_Rate)^(K7))/(((1+Discount_Rate)^(K7))-1))/D7),"n/a",G7*1000*((Discount_Rate*(1+Discount_Rate)^(K7))/(((1+Discount_Rate)^(K7))-1))/D7)</f>
        <v>0.32546123795978249</v>
      </c>
      <c r="M7" s="4"/>
      <c r="P7" s="297">
        <f>IF(C7="Empty",0,IF(OR(ISBLANK(E7),ISBLANK(F7),ISBLANK(G7),ISBLANK(H7)),1,0))</f>
        <v>0</v>
      </c>
    </row>
    <row r="8" spans="2:16" ht="15" customHeight="1">
      <c r="B8" s="241">
        <v>2</v>
      </c>
      <c r="C8" s="242" t="str">
        <f>'Program Descriptions'!C6</f>
        <v>Access to Afford Energy &amp; Conservation</v>
      </c>
      <c r="D8" s="95">
        <f>'Evaluated Savings'!E7</f>
        <v>541438.81000000006</v>
      </c>
      <c r="E8" s="594">
        <v>1</v>
      </c>
      <c r="F8" s="96">
        <v>3120176</v>
      </c>
      <c r="G8" s="466">
        <v>1244.45</v>
      </c>
      <c r="H8" s="595">
        <v>5844.89</v>
      </c>
      <c r="I8" s="596">
        <f>H8-G8</f>
        <v>4600.4400000000005</v>
      </c>
      <c r="J8" s="100">
        <f>IF(ISERROR(H8/G8),"n/a",H8/G8)</f>
        <v>4.6967656394391097</v>
      </c>
      <c r="K8" s="224">
        <f>IF($F$6="(MWh)",F8*1000/D8,F8/D8)</f>
        <v>5.7627490722358816</v>
      </c>
      <c r="L8" s="132">
        <f t="shared" si="0"/>
        <v>0.43097678578706966</v>
      </c>
      <c r="M8" s="4"/>
      <c r="P8" s="297">
        <f t="shared" ref="P8:P26" si="1">IF(C8="Empty",0,IF(OR(ISBLANK(E8),ISBLANK(F8),ISBLANK(G8),ISBLANK(H8)),1,0))</f>
        <v>0</v>
      </c>
    </row>
    <row r="9" spans="2:16" ht="15" customHeight="1">
      <c r="B9" s="241">
        <v>3</v>
      </c>
      <c r="C9" s="242" t="str">
        <f>'Program Descriptions'!C7</f>
        <v>Commercial Solutions</v>
      </c>
      <c r="D9" s="95">
        <f>'Evaluated Savings'!E8</f>
        <v>1996742.95</v>
      </c>
      <c r="E9" s="594">
        <v>0.98687999999999998</v>
      </c>
      <c r="F9" s="96">
        <v>26098682</v>
      </c>
      <c r="G9" s="466">
        <v>5791.6</v>
      </c>
      <c r="H9" s="595">
        <v>12143.5</v>
      </c>
      <c r="I9" s="596">
        <f>H9-G9</f>
        <v>6351.9</v>
      </c>
      <c r="J9" s="100">
        <f t="shared" ref="J9:J26" si="2">IF(ISERROR(H9/G9),"n/a",H9/G9)</f>
        <v>2.0967435596380963</v>
      </c>
      <c r="K9" s="224">
        <f>IF($F$6="(MWh)",F9*1000/D9,F9/D9)</f>
        <v>13.070626842578811</v>
      </c>
      <c r="L9" s="132">
        <f t="shared" si="0"/>
        <v>0.26014145177270903</v>
      </c>
      <c r="M9" s="4"/>
      <c r="P9" s="297">
        <f t="shared" si="1"/>
        <v>0</v>
      </c>
    </row>
    <row r="10" spans="2:16" ht="15" customHeight="1">
      <c r="B10" s="241">
        <v>4</v>
      </c>
      <c r="C10" s="242" t="str">
        <f>'Program Descriptions'!C8</f>
        <v>Empty</v>
      </c>
      <c r="D10" s="95">
        <f>'Evaluated Savings'!E9</f>
        <v>0</v>
      </c>
      <c r="E10" s="594"/>
      <c r="F10" s="96"/>
      <c r="G10" s="466"/>
      <c r="H10" s="595"/>
      <c r="I10" s="596">
        <f>H10-G10</f>
        <v>0</v>
      </c>
      <c r="J10" s="100" t="str">
        <f>IF(ISERROR(H10/G10),"n/a",H10/G10)</f>
        <v>n/a</v>
      </c>
      <c r="K10" s="224" t="e">
        <f t="shared" ref="K10:K27" si="3">IF($F$6="(MWh)",F10*1000/D10,F10/D10)</f>
        <v>#DIV/0!</v>
      </c>
      <c r="L10" s="132" t="str">
        <f>IF(ISERROR(G10*1000*((Discount_Rate*(1+Discount_Rate)^(K10))/(((1+Discount_Rate)^(K10))-1))/D10),"n/a",G10*1000*((Discount_Rate*(1+Discount_Rate)^(K10))/(((1+Discount_Rate)^(K10))-1))/D10)</f>
        <v>n/a</v>
      </c>
      <c r="M10" s="4"/>
      <c r="P10" s="297">
        <f>IF(C10="Empty",0,IF(OR(ISBLANK(E10),ISBLANK(F10),ISBLANK(G10),ISBLANK(H10)),1,0))</f>
        <v>0</v>
      </c>
    </row>
    <row r="11" spans="2:16" ht="15" customHeight="1">
      <c r="B11" s="241">
        <v>5</v>
      </c>
      <c r="C11" s="242" t="str">
        <f>'Program Descriptions'!C9</f>
        <v>Empty</v>
      </c>
      <c r="D11" s="95">
        <f>'Evaluated Savings'!E10</f>
        <v>0</v>
      </c>
      <c r="E11" s="594"/>
      <c r="F11" s="96"/>
      <c r="G11" s="466"/>
      <c r="H11" s="595"/>
      <c r="I11" s="596">
        <f>H11-G11</f>
        <v>0</v>
      </c>
      <c r="J11" s="100" t="str">
        <f>IF(ISERROR(H11/G11),"n/a",H11/G11)</f>
        <v>n/a</v>
      </c>
      <c r="K11" s="224" t="e">
        <f t="shared" si="3"/>
        <v>#DIV/0!</v>
      </c>
      <c r="L11" s="132" t="str">
        <f>IF(ISERROR(G11*1000*((Discount_Rate*(1+Discount_Rate)^(K11))/(((1+Discount_Rate)^(K11))-1))/D11),"n/a",G11*1000*((Discount_Rate*(1+Discount_Rate)^(K11))/(((1+Discount_Rate)^(K11))-1))/D11)</f>
        <v>n/a</v>
      </c>
      <c r="M11" s="4"/>
      <c r="P11" s="297">
        <f>IF(C11="Empty",0,IF(OR(ISBLANK(E11),ISBLANK(F11),ISBLANK(G11),ISBLANK(H11)),1,0))</f>
        <v>0</v>
      </c>
    </row>
    <row r="12" spans="2:16" ht="15" customHeight="1">
      <c r="B12" s="241">
        <v>6</v>
      </c>
      <c r="C12" s="242" t="str">
        <f>'Program Descriptions'!C10</f>
        <v>Empty</v>
      </c>
      <c r="D12" s="95">
        <f>'Evaluated Savings'!E11</f>
        <v>0</v>
      </c>
      <c r="E12" s="594"/>
      <c r="F12" s="96"/>
      <c r="G12" s="466"/>
      <c r="H12" s="595"/>
      <c r="I12" s="596">
        <f t="shared" ref="I12:I20" si="4">H12-G12</f>
        <v>0</v>
      </c>
      <c r="J12" s="100" t="str">
        <f t="shared" si="2"/>
        <v>n/a</v>
      </c>
      <c r="K12" s="224" t="e">
        <f t="shared" si="3"/>
        <v>#DIV/0!</v>
      </c>
      <c r="L12" s="132" t="str">
        <f t="shared" si="0"/>
        <v>n/a</v>
      </c>
      <c r="M12" s="4"/>
      <c r="P12" s="297">
        <f t="shared" si="1"/>
        <v>0</v>
      </c>
    </row>
    <row r="13" spans="2:16" ht="15" customHeight="1">
      <c r="B13" s="241">
        <v>7</v>
      </c>
      <c r="C13" s="242" t="str">
        <f>'Program Descriptions'!C11</f>
        <v>Empty</v>
      </c>
      <c r="D13" s="95">
        <f>'Evaluated Savings'!E12</f>
        <v>0</v>
      </c>
      <c r="E13" s="594"/>
      <c r="F13" s="96"/>
      <c r="G13" s="466"/>
      <c r="H13" s="595"/>
      <c r="I13" s="596">
        <f t="shared" si="4"/>
        <v>0</v>
      </c>
      <c r="J13" s="100" t="str">
        <f t="shared" si="2"/>
        <v>n/a</v>
      </c>
      <c r="K13" s="224" t="e">
        <f t="shared" si="3"/>
        <v>#DIV/0!</v>
      </c>
      <c r="L13" s="132" t="str">
        <f t="shared" si="0"/>
        <v>n/a</v>
      </c>
      <c r="M13" s="4"/>
      <c r="P13" s="297">
        <f t="shared" si="1"/>
        <v>0</v>
      </c>
    </row>
    <row r="14" spans="2:16" ht="15" customHeight="1">
      <c r="B14" s="241">
        <v>8</v>
      </c>
      <c r="C14" s="242" t="str">
        <f>'Program Descriptions'!C12</f>
        <v>Empty</v>
      </c>
      <c r="D14" s="95">
        <f>'Evaluated Savings'!E13</f>
        <v>0</v>
      </c>
      <c r="E14" s="594"/>
      <c r="F14" s="96"/>
      <c r="G14" s="466"/>
      <c r="H14" s="595"/>
      <c r="I14" s="597">
        <f>IFERROR(H14-G14,"n/a")</f>
        <v>0</v>
      </c>
      <c r="J14" s="100" t="str">
        <f t="shared" si="2"/>
        <v>n/a</v>
      </c>
      <c r="K14" s="224" t="e">
        <f t="shared" si="3"/>
        <v>#DIV/0!</v>
      </c>
      <c r="L14" s="132" t="str">
        <f t="shared" si="0"/>
        <v>n/a</v>
      </c>
      <c r="M14" s="4"/>
      <c r="P14" s="297">
        <f t="shared" si="1"/>
        <v>0</v>
      </c>
    </row>
    <row r="15" spans="2:16" ht="15" customHeight="1">
      <c r="B15" s="241">
        <v>9</v>
      </c>
      <c r="C15" s="242" t="str">
        <f>'Program Descriptions'!C13</f>
        <v>Empty</v>
      </c>
      <c r="D15" s="95">
        <f>'Evaluated Savings'!E14</f>
        <v>0</v>
      </c>
      <c r="E15" s="594"/>
      <c r="F15" s="96"/>
      <c r="G15" s="230"/>
      <c r="H15" s="402"/>
      <c r="I15" s="596">
        <f t="shared" si="4"/>
        <v>0</v>
      </c>
      <c r="J15" s="100" t="str">
        <f t="shared" si="2"/>
        <v>n/a</v>
      </c>
      <c r="K15" s="224" t="e">
        <f t="shared" si="3"/>
        <v>#DIV/0!</v>
      </c>
      <c r="L15" s="132" t="str">
        <f t="shared" si="0"/>
        <v>n/a</v>
      </c>
      <c r="M15" s="4"/>
      <c r="P15" s="297">
        <f t="shared" si="1"/>
        <v>0</v>
      </c>
    </row>
    <row r="16" spans="2:16" ht="15" customHeight="1">
      <c r="B16" s="241">
        <v>10</v>
      </c>
      <c r="C16" s="242" t="str">
        <f>'Program Descriptions'!C14</f>
        <v>Empty</v>
      </c>
      <c r="D16" s="95">
        <f>'Evaluated Savings'!E15</f>
        <v>0</v>
      </c>
      <c r="E16" s="594"/>
      <c r="F16" s="96"/>
      <c r="G16" s="230"/>
      <c r="H16" s="402"/>
      <c r="I16" s="596">
        <f t="shared" si="4"/>
        <v>0</v>
      </c>
      <c r="J16" s="100" t="str">
        <f t="shared" si="2"/>
        <v>n/a</v>
      </c>
      <c r="K16" s="224" t="e">
        <f t="shared" si="3"/>
        <v>#DIV/0!</v>
      </c>
      <c r="L16" s="132" t="str">
        <f t="shared" si="0"/>
        <v>n/a</v>
      </c>
      <c r="M16" s="4"/>
      <c r="P16" s="297">
        <f t="shared" si="1"/>
        <v>0</v>
      </c>
    </row>
    <row r="17" spans="2:16" ht="15" customHeight="1">
      <c r="B17" s="241">
        <v>11</v>
      </c>
      <c r="C17" s="242" t="str">
        <f>'Program Descriptions'!C15</f>
        <v>Empty</v>
      </c>
      <c r="D17" s="95">
        <f>'Evaluated Savings'!E16</f>
        <v>0</v>
      </c>
      <c r="E17" s="594"/>
      <c r="F17" s="96"/>
      <c r="G17" s="230"/>
      <c r="H17" s="402"/>
      <c r="I17" s="596">
        <f t="shared" si="4"/>
        <v>0</v>
      </c>
      <c r="J17" s="100" t="str">
        <f t="shared" si="2"/>
        <v>n/a</v>
      </c>
      <c r="K17" s="224" t="e">
        <f t="shared" si="3"/>
        <v>#DIV/0!</v>
      </c>
      <c r="L17" s="132" t="str">
        <f t="shared" si="0"/>
        <v>n/a</v>
      </c>
      <c r="M17" s="4"/>
      <c r="P17" s="297">
        <f t="shared" si="1"/>
        <v>0</v>
      </c>
    </row>
    <row r="18" spans="2:16" ht="15" customHeight="1">
      <c r="B18" s="241">
        <v>12</v>
      </c>
      <c r="C18" s="242" t="str">
        <f>'Program Descriptions'!C16</f>
        <v>Empty</v>
      </c>
      <c r="D18" s="95">
        <f>'Evaluated Savings'!E17</f>
        <v>0</v>
      </c>
      <c r="E18" s="594"/>
      <c r="F18" s="96"/>
      <c r="G18" s="230"/>
      <c r="H18" s="402"/>
      <c r="I18" s="596">
        <f>H18-G18</f>
        <v>0</v>
      </c>
      <c r="J18" s="100" t="str">
        <f>IF(ISERROR(H18/G18),"n/a",H18/G18)</f>
        <v>n/a</v>
      </c>
      <c r="K18" s="224" t="e">
        <f t="shared" si="3"/>
        <v>#DIV/0!</v>
      </c>
      <c r="L18" s="132" t="str">
        <f>IF(ISERROR(G18*1000*((Discount_Rate*(1+Discount_Rate)^(K18))/(((1+Discount_Rate)^(K18))-1))/D18),"n/a",G18*1000*((Discount_Rate*(1+Discount_Rate)^(K18))/(((1+Discount_Rate)^(K18))-1))/D18)</f>
        <v>n/a</v>
      </c>
      <c r="M18" s="4"/>
      <c r="P18" s="297">
        <f>IF(C18="Empty",0,IF(OR(ISBLANK(E18),ISBLANK(F18),ISBLANK(G18),ISBLANK(H18)),1,0))</f>
        <v>0</v>
      </c>
    </row>
    <row r="19" spans="2:16" ht="15" customHeight="1">
      <c r="B19" s="241">
        <v>13</v>
      </c>
      <c r="C19" s="242" t="str">
        <f>'Program Descriptions'!C17</f>
        <v>Empty</v>
      </c>
      <c r="D19" s="95">
        <f>'Evaluated Savings'!E18</f>
        <v>0</v>
      </c>
      <c r="E19" s="594"/>
      <c r="F19" s="96"/>
      <c r="G19" s="230"/>
      <c r="H19" s="402"/>
      <c r="I19" s="596">
        <f>H19-G19</f>
        <v>0</v>
      </c>
      <c r="J19" s="100" t="str">
        <f>IF(ISERROR(H19/G19),"n/a",H19/G19)</f>
        <v>n/a</v>
      </c>
      <c r="K19" s="224" t="e">
        <f t="shared" si="3"/>
        <v>#DIV/0!</v>
      </c>
      <c r="L19" s="132" t="str">
        <f t="shared" si="0"/>
        <v>n/a</v>
      </c>
      <c r="M19" s="4"/>
      <c r="P19" s="297">
        <f>IF(C19="Empty",0,IF(OR(ISBLANK(E19),ISBLANK(F19),ISBLANK(G19),ISBLANK(H19)),1,0))</f>
        <v>0</v>
      </c>
    </row>
    <row r="20" spans="2:16" ht="15" customHeight="1">
      <c r="B20" s="241">
        <v>14</v>
      </c>
      <c r="C20" s="242" t="str">
        <f>'Program Descriptions'!C18</f>
        <v>Empty</v>
      </c>
      <c r="D20" s="95">
        <f>'Evaluated Savings'!E19</f>
        <v>0</v>
      </c>
      <c r="E20" s="594"/>
      <c r="F20" s="96"/>
      <c r="G20" s="230"/>
      <c r="H20" s="402"/>
      <c r="I20" s="596">
        <f t="shared" si="4"/>
        <v>0</v>
      </c>
      <c r="J20" s="100" t="str">
        <f t="shared" si="2"/>
        <v>n/a</v>
      </c>
      <c r="K20" s="224" t="e">
        <f t="shared" si="3"/>
        <v>#DIV/0!</v>
      </c>
      <c r="L20" s="132" t="str">
        <f t="shared" si="0"/>
        <v>n/a</v>
      </c>
      <c r="M20" s="4"/>
      <c r="P20" s="297">
        <f t="shared" si="1"/>
        <v>0</v>
      </c>
    </row>
    <row r="21" spans="2:16" ht="15" customHeight="1">
      <c r="B21" s="241">
        <v>15</v>
      </c>
      <c r="C21" s="242" t="str">
        <f>'Program Descriptions'!C19</f>
        <v>Empty</v>
      </c>
      <c r="D21" s="95">
        <f>'Evaluated Savings'!E20</f>
        <v>0</v>
      </c>
      <c r="E21" s="594"/>
      <c r="F21" s="96"/>
      <c r="G21" s="230"/>
      <c r="H21" s="402"/>
      <c r="I21" s="596">
        <f t="shared" ref="I21:I26" si="5">H21-G21</f>
        <v>0</v>
      </c>
      <c r="J21" s="100" t="str">
        <f t="shared" si="2"/>
        <v>n/a</v>
      </c>
      <c r="K21" s="224" t="e">
        <f t="shared" si="3"/>
        <v>#DIV/0!</v>
      </c>
      <c r="L21" s="132" t="str">
        <f t="shared" si="0"/>
        <v>n/a</v>
      </c>
      <c r="M21" s="4"/>
      <c r="P21" s="297">
        <f t="shared" si="1"/>
        <v>0</v>
      </c>
    </row>
    <row r="22" spans="2:16" ht="15" customHeight="1">
      <c r="B22" s="241">
        <v>16</v>
      </c>
      <c r="C22" s="242" t="str">
        <f>'Program Descriptions'!C20</f>
        <v>Empty</v>
      </c>
      <c r="D22" s="95">
        <f>'Evaluated Savings'!E21</f>
        <v>0</v>
      </c>
      <c r="E22" s="594"/>
      <c r="F22" s="96"/>
      <c r="G22" s="230"/>
      <c r="H22" s="402"/>
      <c r="I22" s="596">
        <f t="shared" si="5"/>
        <v>0</v>
      </c>
      <c r="J22" s="100" t="str">
        <f t="shared" si="2"/>
        <v>n/a</v>
      </c>
      <c r="K22" s="224" t="e">
        <f t="shared" si="3"/>
        <v>#DIV/0!</v>
      </c>
      <c r="L22" s="132" t="str">
        <f t="shared" si="0"/>
        <v>n/a</v>
      </c>
      <c r="M22" s="4"/>
      <c r="P22" s="297">
        <f t="shared" si="1"/>
        <v>0</v>
      </c>
    </row>
    <row r="23" spans="2:16" ht="15" customHeight="1">
      <c r="B23" s="241">
        <v>17</v>
      </c>
      <c r="C23" s="242" t="str">
        <f>'Program Descriptions'!C21</f>
        <v>Empty</v>
      </c>
      <c r="D23" s="95">
        <f>'Evaluated Savings'!E22</f>
        <v>0</v>
      </c>
      <c r="E23" s="594"/>
      <c r="F23" s="96"/>
      <c r="G23" s="47"/>
      <c r="H23" s="403"/>
      <c r="I23" s="596">
        <f t="shared" si="5"/>
        <v>0</v>
      </c>
      <c r="J23" s="100" t="str">
        <f t="shared" si="2"/>
        <v>n/a</v>
      </c>
      <c r="K23" s="224" t="e">
        <f t="shared" si="3"/>
        <v>#DIV/0!</v>
      </c>
      <c r="L23" s="132" t="str">
        <f t="shared" si="0"/>
        <v>n/a</v>
      </c>
      <c r="M23" s="4"/>
      <c r="P23" s="297">
        <f t="shared" si="1"/>
        <v>0</v>
      </c>
    </row>
    <row r="24" spans="2:16" ht="15" customHeight="1">
      <c r="B24" s="241">
        <v>18</v>
      </c>
      <c r="C24" s="242" t="str">
        <f>'Program Descriptions'!C22</f>
        <v>Empty</v>
      </c>
      <c r="D24" s="95">
        <f>'Evaluated Savings'!E23</f>
        <v>0</v>
      </c>
      <c r="E24" s="594"/>
      <c r="F24" s="96"/>
      <c r="G24" s="47"/>
      <c r="H24" s="403"/>
      <c r="I24" s="596">
        <f t="shared" si="5"/>
        <v>0</v>
      </c>
      <c r="J24" s="100" t="str">
        <f t="shared" si="2"/>
        <v>n/a</v>
      </c>
      <c r="K24" s="224" t="e">
        <f t="shared" si="3"/>
        <v>#DIV/0!</v>
      </c>
      <c r="L24" s="132" t="str">
        <f t="shared" si="0"/>
        <v>n/a</v>
      </c>
      <c r="M24" s="4"/>
      <c r="P24" s="297">
        <f t="shared" si="1"/>
        <v>0</v>
      </c>
    </row>
    <row r="25" spans="2:16" ht="15" customHeight="1">
      <c r="B25" s="241">
        <v>19</v>
      </c>
      <c r="C25" s="242" t="str">
        <f>'Program Descriptions'!C23</f>
        <v>Empty</v>
      </c>
      <c r="D25" s="95">
        <f>'Evaluated Savings'!E24</f>
        <v>0</v>
      </c>
      <c r="E25" s="594"/>
      <c r="F25" s="96"/>
      <c r="G25" s="47"/>
      <c r="H25" s="403"/>
      <c r="I25" s="596">
        <f t="shared" si="5"/>
        <v>0</v>
      </c>
      <c r="J25" s="100" t="str">
        <f t="shared" si="2"/>
        <v>n/a</v>
      </c>
      <c r="K25" s="224" t="e">
        <f t="shared" si="3"/>
        <v>#DIV/0!</v>
      </c>
      <c r="L25" s="132" t="str">
        <f t="shared" si="0"/>
        <v>n/a</v>
      </c>
      <c r="M25" s="4"/>
      <c r="P25" s="297">
        <f t="shared" si="1"/>
        <v>0</v>
      </c>
    </row>
    <row r="26" spans="2:16" ht="15" customHeight="1" thickBot="1">
      <c r="B26" s="241">
        <v>20</v>
      </c>
      <c r="C26" s="242" t="str">
        <f>'Program Descriptions'!C24</f>
        <v>Empty</v>
      </c>
      <c r="D26" s="97">
        <f>'Evaluated Savings'!E25</f>
        <v>0</v>
      </c>
      <c r="E26" s="98"/>
      <c r="F26" s="99"/>
      <c r="G26" s="48"/>
      <c r="H26" s="101"/>
      <c r="I26" s="598">
        <f t="shared" si="5"/>
        <v>0</v>
      </c>
      <c r="J26" s="599" t="str">
        <f t="shared" si="2"/>
        <v>n/a</v>
      </c>
      <c r="K26" s="224" t="e">
        <f t="shared" si="3"/>
        <v>#DIV/0!</v>
      </c>
      <c r="L26" s="600" t="str">
        <f t="shared" si="0"/>
        <v>n/a</v>
      </c>
      <c r="M26" s="4"/>
      <c r="P26" s="297">
        <f t="shared" si="1"/>
        <v>0</v>
      </c>
    </row>
    <row r="27" spans="2:16" ht="15" customHeight="1" thickBot="1">
      <c r="B27" s="3"/>
      <c r="C27" s="245" t="s">
        <v>286</v>
      </c>
      <c r="D27" s="539">
        <f>SUM(D7:D26)</f>
        <v>3639823.76</v>
      </c>
      <c r="E27" s="540"/>
      <c r="F27" s="539">
        <f>SUM(F7:F26)</f>
        <v>42061854</v>
      </c>
      <c r="G27" s="533">
        <f>SUM(G7:G26)</f>
        <v>10657.59</v>
      </c>
      <c r="H27" s="533">
        <f>SUM(H7:H26)</f>
        <v>24237.67</v>
      </c>
      <c r="I27" s="533">
        <f>H27-(G27+G28)</f>
        <v>13565.076799999999</v>
      </c>
      <c r="J27" s="235">
        <f>H27/(G27+G28)</f>
        <v>2.2710197555360772</v>
      </c>
      <c r="K27" s="225">
        <f t="shared" si="3"/>
        <v>11.556013909860296</v>
      </c>
      <c r="L27" s="226">
        <f>IF(ISERROR(G27*1000*((Discount_Rate*(1+Discount_Rate)^(K27))/(((1+Discount_Rate)^(K27))-1))/D27),"n/a",G27*1000*((Discount_Rate*(1+Discount_Rate)^(K27))/(((1+Discount_Rate)^(K27))-1))/D27)</f>
        <v>0.2921146541059067</v>
      </c>
      <c r="M27" s="4"/>
      <c r="P27" s="2">
        <f>SUM(P7:P26)</f>
        <v>0</v>
      </c>
    </row>
    <row r="28" spans="2:16" ht="15" customHeight="1">
      <c r="B28" s="5"/>
      <c r="C28" s="228" t="str">
        <f>'Actual Expenses'!I87&amp;" Cost:"</f>
        <v>Regulatory Cost:</v>
      </c>
      <c r="D28" s="6"/>
      <c r="E28" s="6"/>
      <c r="F28" s="6"/>
      <c r="G28" s="229">
        <f>'Actual Expenses'!I91/1000</f>
        <v>15.003200000000001</v>
      </c>
      <c r="H28" s="6"/>
      <c r="I28" s="6"/>
      <c r="J28" s="6"/>
      <c r="K28" s="6"/>
      <c r="L28" s="6"/>
      <c r="M28" s="7"/>
    </row>
    <row r="29" spans="2:16" ht="15" customHeight="1">
      <c r="C29" s="2" t="s">
        <v>267</v>
      </c>
    </row>
    <row r="30" spans="2:16" ht="15" customHeight="1">
      <c r="C30" s="2" t="s">
        <v>287</v>
      </c>
    </row>
    <row r="31" spans="2:16" ht="15" customHeight="1">
      <c r="C31" s="227" t="s">
        <v>288</v>
      </c>
    </row>
    <row r="32" spans="2: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sheetProtection algorithmName="SHA-512" hashValue="qh/BjvVeXGSbXls0exUHVy5r5x6Ei0We+Vr++R9h4VLn5C29rdQdBLh5LPVytwbsxqg4NCEJzhFgraGo4JwtKA==" saltValue="PmZYzVf6xp6rYszg6Q7sSQ==" spinCount="100000" sheet="1" formatColumns="0"/>
  <mergeCells count="3">
    <mergeCell ref="D4:F4"/>
    <mergeCell ref="K5:K6"/>
    <mergeCell ref="G4:L4"/>
  </mergeCells>
  <conditionalFormatting sqref="D7:L26">
    <cfRule type="expression" dxfId="21"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1:N46"/>
  <sheetViews>
    <sheetView showGridLines="0" showRowColHeaders="0" zoomScaleNormal="100" workbookViewId="0">
      <pane ySplit="3" topLeftCell="A4" activePane="bottomLeft" state="frozen"/>
      <selection pane="bottomLeft" activeCell="I41" sqref="I41:K41"/>
    </sheetView>
  </sheetViews>
  <sheetFormatPr defaultColWidth="9.140625" defaultRowHeight="12.75"/>
  <cols>
    <col min="1" max="1" width="1" style="2" customWidth="1"/>
    <col min="2" max="2" width="4" style="2" customWidth="1"/>
    <col min="3" max="3" width="30.140625" style="2" bestFit="1" customWidth="1"/>
    <col min="4" max="8" width="13.7109375" style="2" customWidth="1"/>
    <col min="9" max="9" width="12" style="2" customWidth="1"/>
    <col min="10" max="10" width="17.140625" style="2" customWidth="1"/>
    <col min="11" max="11" width="41.42578125" style="2" customWidth="1"/>
    <col min="12" max="12" width="1" style="2" customWidth="1"/>
    <col min="13" max="16384" width="9.140625" style="2"/>
  </cols>
  <sheetData>
    <row r="1" spans="2:14" ht="5.0999999999999996" customHeight="1" thickBot="1"/>
    <row r="2" spans="2:14" ht="38.25" customHeight="1" thickBot="1">
      <c r="B2" s="711" t="s">
        <v>289</v>
      </c>
      <c r="C2" s="712"/>
      <c r="D2" s="712"/>
      <c r="E2" s="712"/>
      <c r="F2" s="712"/>
      <c r="G2" s="712"/>
      <c r="H2" s="712"/>
      <c r="I2" s="712"/>
      <c r="J2" s="712"/>
      <c r="K2" s="712"/>
      <c r="L2" s="713"/>
    </row>
    <row r="3" spans="2:14" ht="41.25" customHeight="1">
      <c r="B3" s="3"/>
      <c r="L3" s="4"/>
    </row>
    <row r="4" spans="2:14" ht="15.75">
      <c r="B4" s="18"/>
      <c r="C4" s="313" t="str">
        <f>IF(N6&gt;0,"Incomplete - The utility discount rate must be completed.","")</f>
        <v/>
      </c>
      <c r="D4" s="8"/>
      <c r="E4" s="8"/>
      <c r="F4" s="8"/>
      <c r="G4" s="8"/>
      <c r="H4" s="8"/>
      <c r="I4" s="8"/>
      <c r="J4" s="8"/>
      <c r="L4" s="4"/>
    </row>
    <row r="5" spans="2:14">
      <c r="B5" s="16"/>
      <c r="C5" s="314" t="s">
        <v>290</v>
      </c>
      <c r="D5" s="718" t="s">
        <v>6</v>
      </c>
      <c r="E5" s="718"/>
      <c r="F5" s="718"/>
      <c r="G5" s="718"/>
      <c r="H5" s="718"/>
      <c r="I5" s="710" t="s">
        <v>291</v>
      </c>
      <c r="J5" s="710"/>
      <c r="K5" s="710"/>
      <c r="L5" s="4"/>
    </row>
    <row r="6" spans="2:14">
      <c r="B6" s="241">
        <v>1</v>
      </c>
      <c r="C6" s="601" t="s">
        <v>292</v>
      </c>
      <c r="D6" s="719">
        <v>2.3400000000000001E-2</v>
      </c>
      <c r="E6" s="720"/>
      <c r="F6" s="720"/>
      <c r="G6" s="720"/>
      <c r="H6" s="721"/>
      <c r="I6" s="717" t="s">
        <v>293</v>
      </c>
      <c r="J6" s="704"/>
      <c r="K6" s="705"/>
      <c r="L6" s="4"/>
      <c r="N6" s="297">
        <f>IF(ISBLANK(Discount_Rate),1,0)</f>
        <v>0</v>
      </c>
    </row>
    <row r="7" spans="2:14">
      <c r="B7" s="241">
        <f>B6+1</f>
        <v>2</v>
      </c>
      <c r="C7" s="315" t="s">
        <v>294</v>
      </c>
      <c r="D7" s="719"/>
      <c r="E7" s="720"/>
      <c r="F7" s="720"/>
      <c r="G7" s="720"/>
      <c r="H7" s="721"/>
      <c r="I7" s="703"/>
      <c r="J7" s="704"/>
      <c r="K7" s="705"/>
      <c r="L7" s="4"/>
    </row>
    <row r="8" spans="2:14">
      <c r="B8" s="241">
        <f>B7+1</f>
        <v>3</v>
      </c>
      <c r="C8" s="316" t="s">
        <v>295</v>
      </c>
      <c r="D8" s="714">
        <f>Discount_Rate-D7</f>
        <v>2.3400000000000001E-2</v>
      </c>
      <c r="E8" s="715"/>
      <c r="F8" s="715"/>
      <c r="G8" s="715"/>
      <c r="H8" s="716"/>
      <c r="I8" s="703"/>
      <c r="J8" s="704"/>
      <c r="K8" s="705"/>
      <c r="L8" s="4"/>
    </row>
    <row r="9" spans="2:14">
      <c r="B9" s="3"/>
      <c r="C9" s="242"/>
      <c r="L9" s="4"/>
    </row>
    <row r="10" spans="2:14" ht="15.75">
      <c r="B10" s="327" t="s">
        <v>296</v>
      </c>
      <c r="C10" s="242"/>
      <c r="L10" s="4"/>
    </row>
    <row r="11" spans="2:14">
      <c r="B11" s="3"/>
      <c r="C11" s="314" t="s">
        <v>297</v>
      </c>
      <c r="D11" s="377" t="s">
        <v>94</v>
      </c>
      <c r="E11" s="377" t="s">
        <v>298</v>
      </c>
      <c r="F11" s="377" t="s">
        <v>299</v>
      </c>
      <c r="G11" s="377" t="s">
        <v>300</v>
      </c>
      <c r="H11" s="377" t="s">
        <v>301</v>
      </c>
      <c r="I11" s="710" t="s">
        <v>291</v>
      </c>
      <c r="J11" s="710"/>
      <c r="K11" s="710"/>
      <c r="L11" s="4"/>
    </row>
    <row r="12" spans="2:14">
      <c r="B12" s="241">
        <f>B8+1</f>
        <v>4</v>
      </c>
      <c r="C12" s="601" t="s">
        <v>302</v>
      </c>
      <c r="D12" s="318">
        <v>3.25</v>
      </c>
      <c r="E12" s="318">
        <v>3.17</v>
      </c>
      <c r="F12" s="318">
        <v>2.95</v>
      </c>
      <c r="G12" s="318"/>
      <c r="H12" s="318"/>
      <c r="I12" s="703" t="s">
        <v>293</v>
      </c>
      <c r="J12" s="704"/>
      <c r="K12" s="705"/>
      <c r="L12" s="4"/>
    </row>
    <row r="13" spans="2:14">
      <c r="B13" s="241">
        <f>B12+1</f>
        <v>5</v>
      </c>
      <c r="C13" s="315" t="s">
        <v>303</v>
      </c>
      <c r="D13" s="317"/>
      <c r="E13" s="317"/>
      <c r="F13" s="317"/>
      <c r="G13" s="317"/>
      <c r="H13" s="317"/>
      <c r="I13" s="703"/>
      <c r="J13" s="704"/>
      <c r="K13" s="705"/>
      <c r="L13" s="4"/>
    </row>
    <row r="14" spans="2:14">
      <c r="B14" s="241">
        <f t="shared" ref="B14:B21" si="0">B13+1</f>
        <v>6</v>
      </c>
      <c r="C14" s="315" t="s">
        <v>304</v>
      </c>
      <c r="D14" s="603"/>
      <c r="E14" s="603"/>
      <c r="F14" s="603"/>
      <c r="G14" s="603"/>
      <c r="H14" s="603"/>
      <c r="I14" s="703"/>
      <c r="J14" s="704"/>
      <c r="K14" s="705"/>
      <c r="L14" s="4"/>
    </row>
    <row r="15" spans="2:14">
      <c r="B15" s="241">
        <f t="shared" si="0"/>
        <v>7</v>
      </c>
      <c r="C15" s="315" t="s">
        <v>305</v>
      </c>
      <c r="D15" s="706"/>
      <c r="E15" s="707"/>
      <c r="F15" s="707"/>
      <c r="G15" s="707"/>
      <c r="H15" s="708"/>
      <c r="I15" s="703"/>
      <c r="J15" s="704"/>
      <c r="K15" s="705"/>
      <c r="L15" s="4"/>
    </row>
    <row r="16" spans="2:14">
      <c r="B16" s="241">
        <f t="shared" si="0"/>
        <v>8</v>
      </c>
      <c r="C16" s="315" t="s">
        <v>306</v>
      </c>
      <c r="D16" s="706"/>
      <c r="E16" s="707"/>
      <c r="F16" s="707"/>
      <c r="G16" s="707"/>
      <c r="H16" s="708"/>
      <c r="I16" s="703"/>
      <c r="J16" s="704"/>
      <c r="K16" s="705"/>
      <c r="L16" s="4"/>
    </row>
    <row r="17" spans="2:12">
      <c r="B17" s="241">
        <f t="shared" si="0"/>
        <v>9</v>
      </c>
      <c r="C17" s="315" t="s">
        <v>307</v>
      </c>
      <c r="D17" s="706"/>
      <c r="E17" s="707"/>
      <c r="F17" s="707"/>
      <c r="G17" s="707"/>
      <c r="H17" s="708"/>
      <c r="I17" s="703"/>
      <c r="J17" s="704"/>
      <c r="K17" s="705"/>
      <c r="L17" s="4"/>
    </row>
    <row r="18" spans="2:12">
      <c r="B18" s="241">
        <f t="shared" si="0"/>
        <v>10</v>
      </c>
      <c r="C18" s="375" t="s">
        <v>308</v>
      </c>
      <c r="D18" s="317"/>
      <c r="E18" s="603"/>
      <c r="F18" s="603"/>
      <c r="G18" s="603"/>
      <c r="H18" s="603"/>
      <c r="I18" s="703"/>
      <c r="J18" s="704"/>
      <c r="K18" s="705"/>
      <c r="L18" s="4"/>
    </row>
    <row r="19" spans="2:12">
      <c r="B19" s="241">
        <f t="shared" si="0"/>
        <v>11</v>
      </c>
      <c r="C19" s="375" t="s">
        <v>308</v>
      </c>
      <c r="D19" s="317"/>
      <c r="E19" s="603"/>
      <c r="F19" s="603"/>
      <c r="G19" s="603"/>
      <c r="H19" s="603"/>
      <c r="I19" s="703"/>
      <c r="J19" s="704"/>
      <c r="K19" s="705"/>
      <c r="L19" s="4"/>
    </row>
    <row r="20" spans="2:12">
      <c r="B20" s="241">
        <f t="shared" si="0"/>
        <v>12</v>
      </c>
      <c r="C20" s="375" t="s">
        <v>308</v>
      </c>
      <c r="D20" s="317"/>
      <c r="E20" s="603"/>
      <c r="F20" s="603"/>
      <c r="G20" s="603"/>
      <c r="H20" s="603"/>
      <c r="I20" s="703"/>
      <c r="J20" s="704"/>
      <c r="K20" s="705"/>
      <c r="L20" s="4"/>
    </row>
    <row r="21" spans="2:12">
      <c r="B21" s="241">
        <f t="shared" si="0"/>
        <v>13</v>
      </c>
      <c r="C21" s="376" t="s">
        <v>308</v>
      </c>
      <c r="D21" s="317"/>
      <c r="E21" s="603"/>
      <c r="F21" s="603"/>
      <c r="G21" s="603"/>
      <c r="H21" s="603"/>
      <c r="I21" s="703"/>
      <c r="J21" s="704"/>
      <c r="K21" s="705"/>
      <c r="L21" s="4"/>
    </row>
    <row r="22" spans="2:12">
      <c r="B22" s="3"/>
      <c r="C22" s="314" t="s">
        <v>309</v>
      </c>
      <c r="D22" s="560" t="s">
        <v>310</v>
      </c>
      <c r="E22" s="560" t="s">
        <v>311</v>
      </c>
      <c r="F22" s="560" t="s">
        <v>312</v>
      </c>
      <c r="G22" s="560" t="s">
        <v>300</v>
      </c>
      <c r="H22" s="560" t="s">
        <v>301</v>
      </c>
      <c r="I22" s="710" t="s">
        <v>291</v>
      </c>
      <c r="J22" s="710"/>
      <c r="K22" s="710"/>
      <c r="L22" s="4"/>
    </row>
    <row r="23" spans="2:12">
      <c r="B23" s="241">
        <f>B21+1</f>
        <v>14</v>
      </c>
      <c r="C23" s="601" t="s">
        <v>313</v>
      </c>
      <c r="D23" s="317"/>
      <c r="E23" s="603"/>
      <c r="F23" s="603"/>
      <c r="G23" s="603"/>
      <c r="H23" s="603"/>
      <c r="I23" s="703"/>
      <c r="J23" s="704"/>
      <c r="K23" s="705"/>
      <c r="L23" s="4"/>
    </row>
    <row r="24" spans="2:12">
      <c r="B24" s="241">
        <f>B23+1</f>
        <v>15</v>
      </c>
      <c r="C24" s="315" t="s">
        <v>314</v>
      </c>
      <c r="D24" s="706"/>
      <c r="E24" s="707"/>
      <c r="F24" s="707"/>
      <c r="G24" s="707"/>
      <c r="H24" s="708"/>
      <c r="I24" s="703"/>
      <c r="J24" s="704"/>
      <c r="K24" s="705"/>
      <c r="L24" s="4"/>
    </row>
    <row r="25" spans="2:12">
      <c r="B25" s="241">
        <f t="shared" ref="B25:B33" si="1">B24+1</f>
        <v>16</v>
      </c>
      <c r="C25" s="315" t="s">
        <v>315</v>
      </c>
      <c r="D25" s="706">
        <v>97.664010959999999</v>
      </c>
      <c r="E25" s="707"/>
      <c r="F25" s="707"/>
      <c r="G25" s="707"/>
      <c r="H25" s="708"/>
      <c r="I25" s="703"/>
      <c r="J25" s="704"/>
      <c r="K25" s="705"/>
      <c r="L25" s="4"/>
    </row>
    <row r="26" spans="2:12">
      <c r="B26" s="241">
        <f t="shared" si="1"/>
        <v>17</v>
      </c>
      <c r="C26" s="315" t="s">
        <v>316</v>
      </c>
      <c r="D26" s="706"/>
      <c r="E26" s="707"/>
      <c r="F26" s="707"/>
      <c r="G26" s="707"/>
      <c r="H26" s="708"/>
      <c r="I26" s="703"/>
      <c r="J26" s="704"/>
      <c r="K26" s="705"/>
      <c r="L26" s="4"/>
    </row>
    <row r="27" spans="2:12">
      <c r="B27" s="241">
        <f t="shared" si="1"/>
        <v>18</v>
      </c>
      <c r="C27" s="315" t="s">
        <v>317</v>
      </c>
      <c r="D27" s="706"/>
      <c r="E27" s="707"/>
      <c r="F27" s="707"/>
      <c r="G27" s="707"/>
      <c r="H27" s="708"/>
      <c r="I27" s="703"/>
      <c r="J27" s="704"/>
      <c r="K27" s="705"/>
      <c r="L27" s="4"/>
    </row>
    <row r="28" spans="2:12">
      <c r="B28" s="241">
        <f t="shared" si="1"/>
        <v>19</v>
      </c>
      <c r="C28" s="315" t="s">
        <v>318</v>
      </c>
      <c r="D28" s="706"/>
      <c r="E28" s="707"/>
      <c r="F28" s="707"/>
      <c r="G28" s="707"/>
      <c r="H28" s="708"/>
      <c r="I28" s="703"/>
      <c r="J28" s="704"/>
      <c r="K28" s="705"/>
      <c r="L28" s="4"/>
    </row>
    <row r="29" spans="2:12">
      <c r="B29" s="241">
        <f t="shared" si="1"/>
        <v>20</v>
      </c>
      <c r="C29" s="315" t="s">
        <v>319</v>
      </c>
      <c r="D29" s="706"/>
      <c r="E29" s="707"/>
      <c r="F29" s="707"/>
      <c r="G29" s="707"/>
      <c r="H29" s="708"/>
      <c r="I29" s="703"/>
      <c r="J29" s="704"/>
      <c r="K29" s="705"/>
      <c r="L29" s="4"/>
    </row>
    <row r="30" spans="2:12">
      <c r="B30" s="241">
        <f t="shared" si="1"/>
        <v>21</v>
      </c>
      <c r="C30" s="315" t="s">
        <v>320</v>
      </c>
      <c r="D30" s="706"/>
      <c r="E30" s="707"/>
      <c r="F30" s="707"/>
      <c r="G30" s="707"/>
      <c r="H30" s="708"/>
      <c r="I30" s="703"/>
      <c r="J30" s="704"/>
      <c r="K30" s="705"/>
      <c r="L30" s="4"/>
    </row>
    <row r="31" spans="2:12">
      <c r="B31" s="241">
        <f t="shared" si="1"/>
        <v>22</v>
      </c>
      <c r="C31" s="315" t="s">
        <v>321</v>
      </c>
      <c r="D31" s="706"/>
      <c r="E31" s="707"/>
      <c r="F31" s="707"/>
      <c r="G31" s="707"/>
      <c r="H31" s="708"/>
      <c r="I31" s="557"/>
      <c r="J31" s="602"/>
      <c r="K31" s="558"/>
      <c r="L31" s="4"/>
    </row>
    <row r="32" spans="2:12">
      <c r="B32" s="241">
        <f t="shared" si="1"/>
        <v>23</v>
      </c>
      <c r="C32" s="315" t="s">
        <v>322</v>
      </c>
      <c r="D32" s="317"/>
      <c r="E32" s="603"/>
      <c r="F32" s="603"/>
      <c r="G32" s="603"/>
      <c r="H32" s="603"/>
      <c r="I32" s="703"/>
      <c r="J32" s="704"/>
      <c r="K32" s="705"/>
      <c r="L32" s="4"/>
    </row>
    <row r="33" spans="2:12">
      <c r="B33" s="241">
        <f t="shared" si="1"/>
        <v>24</v>
      </c>
      <c r="C33" s="316" t="s">
        <v>323</v>
      </c>
      <c r="D33" s="317"/>
      <c r="E33" s="603"/>
      <c r="F33" s="603"/>
      <c r="G33" s="603"/>
      <c r="H33" s="603"/>
      <c r="I33" s="703"/>
      <c r="J33" s="704"/>
      <c r="K33" s="705"/>
      <c r="L33" s="4"/>
    </row>
    <row r="34" spans="2:12">
      <c r="B34" s="3"/>
      <c r="C34" s="314" t="s">
        <v>324</v>
      </c>
      <c r="D34" s="377" t="s">
        <v>94</v>
      </c>
      <c r="E34" s="377" t="s">
        <v>298</v>
      </c>
      <c r="F34" s="377" t="s">
        <v>299</v>
      </c>
      <c r="G34" s="560" t="s">
        <v>300</v>
      </c>
      <c r="H34" s="560" t="s">
        <v>301</v>
      </c>
      <c r="I34" s="710" t="s">
        <v>291</v>
      </c>
      <c r="J34" s="710"/>
      <c r="K34" s="710"/>
      <c r="L34" s="4"/>
    </row>
    <row r="35" spans="2:12">
      <c r="B35" s="241">
        <f>B33+1</f>
        <v>25</v>
      </c>
      <c r="C35" s="601" t="s">
        <v>325</v>
      </c>
      <c r="D35" s="706">
        <v>2.4E-2</v>
      </c>
      <c r="E35" s="707"/>
      <c r="F35" s="707"/>
      <c r="G35" s="707"/>
      <c r="H35" s="708"/>
      <c r="I35" s="703" t="s">
        <v>326</v>
      </c>
      <c r="J35" s="704"/>
      <c r="K35" s="705"/>
      <c r="L35" s="4"/>
    </row>
    <row r="36" spans="2:12">
      <c r="B36" s="241">
        <f>B35+1</f>
        <v>26</v>
      </c>
      <c r="C36" s="315" t="s">
        <v>327</v>
      </c>
      <c r="D36" s="706"/>
      <c r="E36" s="707"/>
      <c r="F36" s="707"/>
      <c r="G36" s="707"/>
      <c r="H36" s="708"/>
      <c r="I36" s="703"/>
      <c r="J36" s="704"/>
      <c r="K36" s="705"/>
      <c r="L36" s="4"/>
    </row>
    <row r="37" spans="2:12">
      <c r="B37" s="241">
        <f t="shared" ref="B37:B41" si="2">B36+1</f>
        <v>27</v>
      </c>
      <c r="C37" s="315" t="s">
        <v>328</v>
      </c>
      <c r="D37" s="706"/>
      <c r="E37" s="707"/>
      <c r="F37" s="707"/>
      <c r="G37" s="707"/>
      <c r="H37" s="708"/>
      <c r="I37" s="703"/>
      <c r="J37" s="704"/>
      <c r="K37" s="705"/>
      <c r="L37" s="4"/>
    </row>
    <row r="38" spans="2:12">
      <c r="B38" s="241">
        <f t="shared" si="2"/>
        <v>28</v>
      </c>
      <c r="C38" s="315" t="s">
        <v>329</v>
      </c>
      <c r="D38" s="317">
        <v>9.7000000000000003E-3</v>
      </c>
      <c r="E38" s="317">
        <v>9.7099999999999999E-3</v>
      </c>
      <c r="F38" s="317">
        <v>9.7099999999999999E-3</v>
      </c>
      <c r="G38" s="604"/>
      <c r="H38" s="559"/>
      <c r="I38" s="703" t="s">
        <v>330</v>
      </c>
      <c r="J38" s="704"/>
      <c r="K38" s="705"/>
      <c r="L38" s="4"/>
    </row>
    <row r="39" spans="2:12">
      <c r="B39" s="241">
        <f t="shared" si="2"/>
        <v>29</v>
      </c>
      <c r="C39" s="315" t="s">
        <v>331</v>
      </c>
      <c r="D39" s="706"/>
      <c r="E39" s="707"/>
      <c r="F39" s="707"/>
      <c r="G39" s="707"/>
      <c r="H39" s="708"/>
      <c r="I39" s="703"/>
      <c r="J39" s="704"/>
      <c r="K39" s="705"/>
      <c r="L39" s="4"/>
    </row>
    <row r="40" spans="2:12">
      <c r="B40" s="241">
        <f t="shared" si="2"/>
        <v>30</v>
      </c>
      <c r="C40" s="315" t="s">
        <v>332</v>
      </c>
      <c r="D40" s="706"/>
      <c r="E40" s="707"/>
      <c r="F40" s="707"/>
      <c r="G40" s="707"/>
      <c r="H40" s="708"/>
      <c r="I40" s="703"/>
      <c r="J40" s="704"/>
      <c r="K40" s="705"/>
      <c r="L40" s="4"/>
    </row>
    <row r="41" spans="2:12">
      <c r="B41" s="241">
        <f t="shared" si="2"/>
        <v>31</v>
      </c>
      <c r="C41" s="316" t="s">
        <v>333</v>
      </c>
      <c r="D41" s="709">
        <v>434299</v>
      </c>
      <c r="E41" s="707"/>
      <c r="F41" s="707"/>
      <c r="G41" s="707"/>
      <c r="H41" s="708"/>
      <c r="I41" s="703" t="s">
        <v>334</v>
      </c>
      <c r="J41" s="704"/>
      <c r="K41" s="705"/>
      <c r="L41" s="4"/>
    </row>
    <row r="42" spans="2:12">
      <c r="B42" s="5"/>
      <c r="C42" s="6"/>
      <c r="D42" s="6"/>
      <c r="E42" s="6"/>
      <c r="F42" s="6"/>
      <c r="G42" s="6"/>
      <c r="H42" s="6"/>
      <c r="I42" s="6"/>
      <c r="J42" s="6"/>
      <c r="K42" s="6"/>
      <c r="L42" s="7"/>
    </row>
    <row r="43" spans="2:12" ht="15.75">
      <c r="C43" s="254" t="s">
        <v>335</v>
      </c>
    </row>
    <row r="44" spans="2:12">
      <c r="C44" s="249">
        <v>1</v>
      </c>
      <c r="D44" s="2" t="s">
        <v>336</v>
      </c>
    </row>
    <row r="45" spans="2:12">
      <c r="C45" s="249">
        <v>2</v>
      </c>
      <c r="D45" s="2" t="s">
        <v>337</v>
      </c>
    </row>
    <row r="46" spans="2:12">
      <c r="C46" s="249">
        <v>3</v>
      </c>
      <c r="D46" s="2" t="s">
        <v>338</v>
      </c>
    </row>
  </sheetData>
  <sheetProtection password="C925" sheet="1" objects="1" scenarios="1"/>
  <mergeCells count="56">
    <mergeCell ref="B2:L2"/>
    <mergeCell ref="D8:H8"/>
    <mergeCell ref="I6:K6"/>
    <mergeCell ref="I7:K7"/>
    <mergeCell ref="I8:K8"/>
    <mergeCell ref="D5:H5"/>
    <mergeCell ref="I5:K5"/>
    <mergeCell ref="D6:H6"/>
    <mergeCell ref="D7:H7"/>
    <mergeCell ref="D15:H15"/>
    <mergeCell ref="D16:H16"/>
    <mergeCell ref="D17:H17"/>
    <mergeCell ref="I11:K11"/>
    <mergeCell ref="I12:K12"/>
    <mergeCell ref="I13:K13"/>
    <mergeCell ref="I14:K14"/>
    <mergeCell ref="I15:K15"/>
    <mergeCell ref="I16:K16"/>
    <mergeCell ref="I17:K17"/>
    <mergeCell ref="D27:H27"/>
    <mergeCell ref="D28:H28"/>
    <mergeCell ref="D29:H29"/>
    <mergeCell ref="I18:K18"/>
    <mergeCell ref="I19:K19"/>
    <mergeCell ref="I20:K20"/>
    <mergeCell ref="I21:K21"/>
    <mergeCell ref="D24:H24"/>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I40:K40"/>
    <mergeCell ref="I41:K41"/>
    <mergeCell ref="D35:H35"/>
    <mergeCell ref="D36:H36"/>
    <mergeCell ref="D37:H37"/>
    <mergeCell ref="D39:H39"/>
    <mergeCell ref="D40:H40"/>
    <mergeCell ref="D41:H41"/>
    <mergeCell ref="I35:K35"/>
    <mergeCell ref="I36:K36"/>
    <mergeCell ref="I37:K37"/>
    <mergeCell ref="I38:K38"/>
    <mergeCell ref="I39:K39"/>
  </mergeCells>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1" xr:uid="{00000000-0002-0000-1100-000008000000}"/>
    <dataValidation allowBlank="1" showInputMessage="1" showErrorMessage="1" prompt="Total installed cost of proxy unit. " sqref="D23" xr:uid="{00000000-0002-0000-1100-000009000000}"/>
    <dataValidation allowBlank="1" showInputMessage="1" showErrorMessage="1" prompt="In-service date of proxy unit." sqref="D24:H24" xr:uid="{00000000-0002-0000-1100-00000A000000}"/>
    <dataValidation allowBlank="1" showInputMessage="1" showErrorMessage="1" prompt="Real Economic Carrying Charge (RECC) of proxy unit. " sqref="D25:H25" xr:uid="{00000000-0002-0000-1100-00000B000000}"/>
    <dataValidation allowBlank="1" showInputMessage="1" showErrorMessage="1" prompt="Beginning year for period in which RECC &gt; 0." sqref="D26:H26" xr:uid="{00000000-0002-0000-1100-00000C000000}"/>
    <dataValidation allowBlank="1" showInputMessage="1" showErrorMessage="1" prompt="Ending year for RECC." sqref="D27:H27" xr:uid="{00000000-0002-0000-1100-00000D000000}"/>
    <dataValidation allowBlank="1" showInputMessage="1" showErrorMessage="1" prompt="Wholesale market price of capacity used to calculate avoided capacity cost. " sqref="D28:H28" xr:uid="{00000000-0002-0000-1100-00000E000000}"/>
    <dataValidation allowBlank="1" showInputMessage="1" showErrorMessage="1" prompt="Beginning year for period in which market price &gt; 0." sqref="D29:H29" xr:uid="{00000000-0002-0000-1100-00000F000000}"/>
    <dataValidation allowBlank="1" showInputMessage="1" showErrorMessage="1" prompt="Ending year for market price." sqref="D30:H30" xr:uid="{00000000-0002-0000-1100-000010000000}"/>
    <dataValidation allowBlank="1" showInputMessage="1" showErrorMessage="1" prompt="Capacity reserve margin" sqref="D31:H31" xr:uid="{00000000-0002-0000-1100-000011000000}"/>
    <dataValidation allowBlank="1" showInputMessage="1" showErrorMessage="1" prompt="Avoided cost of distribution capacity." sqref="D32" xr:uid="{00000000-0002-0000-1100-000012000000}"/>
    <dataValidation allowBlank="1" showInputMessage="1" showErrorMessage="1" prompt="Avoided cost of transmission cpacity." sqref="D33" xr:uid="{00000000-0002-0000-1100-000013000000}"/>
    <dataValidation allowBlank="1" showInputMessage="1" showErrorMessage="1" prompt="Other fuel (electric) avoided cost." sqref="D35:H35" xr:uid="{00000000-0002-0000-1100-000014000000}"/>
    <dataValidation allowBlank="1" showInputMessage="1" showErrorMessage="1" prompt="Other fuel (natural gas) avoided cost." sqref="D36:H36" xr:uid="{00000000-0002-0000-1100-000015000000}"/>
    <dataValidation allowBlank="1" showInputMessage="1" showErrorMessage="1" prompt="Other fuel (liquid propane) avoided cost." sqref="D37:H37" xr:uid="{00000000-0002-0000-1100-000016000000}"/>
    <dataValidation allowBlank="1" showInputMessage="1" showErrorMessage="1" prompt="Avoided water cost." sqref="D38:H38" xr:uid="{00000000-0002-0000-1100-000017000000}"/>
    <dataValidation allowBlank="1" showInputMessage="1" showErrorMessage="1" prompt="Avoided waste water (sewerage) cost." sqref="D39:H39" xr:uid="{00000000-0002-0000-1100-000018000000}"/>
    <dataValidation allowBlank="1" showInputMessage="1" showErrorMessage="1" prompt="Present value avoided  replacement cost. [Reference NEBs tab.]" sqref="D40:H40" xr:uid="{00000000-0002-0000-1100-000019000000}"/>
    <dataValidation allowBlank="1" showInputMessage="1" showErrorMessage="1" prompt="Present value deferred replacement cost. [Reference NEBs tab.]" sqref="D41:H41" xr:uid="{00000000-0002-0000-1100-00001A000000}"/>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O37"/>
  <sheetViews>
    <sheetView showGridLines="0" zoomScale="115" zoomScaleNormal="115" workbookViewId="0">
      <pane ySplit="3" topLeftCell="A4" activePane="bottomLeft" state="frozen"/>
      <selection pane="bottomLeft" activeCell="M10" sqref="M10"/>
    </sheetView>
  </sheetViews>
  <sheetFormatPr defaultRowHeight="12.75"/>
  <cols>
    <col min="1" max="1" width="1" customWidth="1"/>
    <col min="2" max="2" width="4.140625" customWidth="1"/>
    <col min="3" max="3" width="36.28515625" bestFit="1" customWidth="1"/>
    <col min="4" max="6" width="10.7109375" customWidth="1"/>
    <col min="7" max="7" width="12" bestFit="1" customWidth="1"/>
    <col min="8" max="11" width="10.7109375" customWidth="1"/>
    <col min="12" max="12" width="9.5703125" bestFit="1" customWidth="1"/>
    <col min="13" max="13" width="12.85546875" bestFit="1" customWidth="1"/>
    <col min="14" max="14" width="12.5703125" customWidth="1"/>
    <col min="15" max="15" width="1.85546875" customWidth="1"/>
  </cols>
  <sheetData>
    <row r="1" spans="2:15" ht="4.5" customHeight="1" thickBot="1"/>
    <row r="2" spans="2:15" ht="38.25" customHeight="1">
      <c r="B2" s="722" t="s">
        <v>324</v>
      </c>
      <c r="C2" s="722"/>
      <c r="D2" s="722"/>
      <c r="E2" s="722"/>
      <c r="F2" s="722"/>
      <c r="G2" s="722"/>
      <c r="H2" s="722"/>
      <c r="I2" s="722"/>
      <c r="J2" s="722"/>
      <c r="K2" s="722"/>
      <c r="L2" s="722"/>
      <c r="M2" s="722"/>
      <c r="N2" s="722"/>
      <c r="O2" s="722"/>
    </row>
    <row r="3" spans="2:15" ht="33.75" customHeight="1">
      <c r="B3" s="605"/>
      <c r="C3" s="606"/>
      <c r="D3" s="606"/>
      <c r="E3" s="606"/>
      <c r="F3" s="606"/>
      <c r="G3" s="606"/>
      <c r="H3" s="606"/>
      <c r="I3" s="606"/>
      <c r="J3" s="606"/>
      <c r="K3" s="606"/>
      <c r="L3" s="606"/>
      <c r="M3" s="606"/>
      <c r="N3" s="606"/>
      <c r="O3" s="607"/>
    </row>
    <row r="4" spans="2:15" ht="13.5" thickBot="1">
      <c r="B4" s="605"/>
      <c r="C4" s="606"/>
      <c r="D4" s="606"/>
      <c r="E4" s="606"/>
      <c r="F4" s="606"/>
      <c r="G4" s="606"/>
      <c r="H4" s="606"/>
      <c r="I4" s="606"/>
      <c r="J4" s="606"/>
      <c r="K4" s="606"/>
      <c r="L4" s="606"/>
      <c r="M4" s="606"/>
      <c r="N4" s="606"/>
      <c r="O4" s="607"/>
    </row>
    <row r="5" spans="2:15" ht="12.75" customHeight="1">
      <c r="B5" s="16"/>
      <c r="D5" s="723" t="s">
        <v>339</v>
      </c>
      <c r="E5" s="724"/>
      <c r="F5" s="723" t="s">
        <v>340</v>
      </c>
      <c r="G5" s="724"/>
      <c r="H5" s="723" t="s">
        <v>341</v>
      </c>
      <c r="I5" s="724"/>
      <c r="J5" s="723" t="s">
        <v>342</v>
      </c>
      <c r="K5" s="724"/>
      <c r="L5" s="723" t="s">
        <v>343</v>
      </c>
      <c r="M5" s="724"/>
      <c r="N5" s="725" t="s">
        <v>344</v>
      </c>
      <c r="O5" s="17"/>
    </row>
    <row r="6" spans="2:15" ht="25.5">
      <c r="B6" s="16"/>
      <c r="C6" s="8" t="s">
        <v>85</v>
      </c>
      <c r="D6" s="319" t="s">
        <v>345</v>
      </c>
      <c r="E6" s="320" t="s">
        <v>346</v>
      </c>
      <c r="F6" s="319" t="s">
        <v>347</v>
      </c>
      <c r="G6" s="320" t="s">
        <v>346</v>
      </c>
      <c r="H6" s="319" t="s">
        <v>348</v>
      </c>
      <c r="I6" s="320" t="s">
        <v>346</v>
      </c>
      <c r="J6" s="319" t="s">
        <v>348</v>
      </c>
      <c r="K6" s="320" t="s">
        <v>346</v>
      </c>
      <c r="L6" s="319" t="s">
        <v>349</v>
      </c>
      <c r="M6" s="320" t="s">
        <v>350</v>
      </c>
      <c r="N6" s="725"/>
      <c r="O6" s="17"/>
    </row>
    <row r="7" spans="2:15">
      <c r="B7" s="241">
        <v>1</v>
      </c>
      <c r="C7" s="242" t="str">
        <f>'Program Descriptions'!C5</f>
        <v>Residential Solutions Program</v>
      </c>
      <c r="D7" s="378">
        <v>2784639</v>
      </c>
      <c r="E7" s="321">
        <v>2394</v>
      </c>
      <c r="F7" s="378">
        <v>1101642</v>
      </c>
      <c r="G7" s="321">
        <v>5467701</v>
      </c>
      <c r="H7" s="378">
        <v>0</v>
      </c>
      <c r="I7" s="321"/>
      <c r="J7" s="378">
        <v>2120974</v>
      </c>
      <c r="K7" s="521">
        <v>212368</v>
      </c>
      <c r="L7" s="522">
        <v>607915</v>
      </c>
      <c r="M7" s="521">
        <v>346665</v>
      </c>
      <c r="N7" s="608">
        <f>E7+G7+I7+K7+M7</f>
        <v>6029128</v>
      </c>
      <c r="O7" s="17"/>
    </row>
    <row r="8" spans="2:15">
      <c r="B8" s="241">
        <f>B7+1</f>
        <v>2</v>
      </c>
      <c r="C8" s="242" t="str">
        <f>'Program Descriptions'!C6</f>
        <v>Access to Afford Energy &amp; Conservation</v>
      </c>
      <c r="D8" s="378">
        <v>2996143</v>
      </c>
      <c r="E8" s="321">
        <v>2203</v>
      </c>
      <c r="F8" s="378">
        <v>541439</v>
      </c>
      <c r="G8" s="321">
        <v>1295303</v>
      </c>
      <c r="H8" s="378">
        <v>33244</v>
      </c>
      <c r="I8" s="321">
        <v>687426</v>
      </c>
      <c r="J8" s="378">
        <v>45300646</v>
      </c>
      <c r="K8" s="521">
        <v>3629648</v>
      </c>
      <c r="L8" s="522">
        <v>165743</v>
      </c>
      <c r="M8" s="521">
        <v>58364</v>
      </c>
      <c r="N8" s="323">
        <f>E8+G8+I8+K8+M8</f>
        <v>5672944</v>
      </c>
      <c r="O8" s="17"/>
    </row>
    <row r="9" spans="2:15">
      <c r="B9" s="241">
        <f t="shared" ref="B9:B26" si="0">B8+1</f>
        <v>3</v>
      </c>
      <c r="C9" s="242" t="str">
        <f>'Program Descriptions'!C7</f>
        <v>Commercial Solutions</v>
      </c>
      <c r="D9" s="378">
        <v>441604</v>
      </c>
      <c r="E9" s="321">
        <v>1863</v>
      </c>
      <c r="F9" s="378">
        <v>1996743</v>
      </c>
      <c r="G9" s="321">
        <v>10606176</v>
      </c>
      <c r="H9" s="378">
        <v>0</v>
      </c>
      <c r="I9" s="321"/>
      <c r="J9" s="378">
        <v>15508271</v>
      </c>
      <c r="K9" s="521">
        <v>1491657</v>
      </c>
      <c r="L9" s="522">
        <v>44818</v>
      </c>
      <c r="M9" s="521"/>
      <c r="N9" s="323">
        <f t="shared" ref="N9:N25" si="1">E9+G9+I9+K9+M9</f>
        <v>12099696</v>
      </c>
      <c r="O9" s="17"/>
    </row>
    <row r="10" spans="2:15">
      <c r="B10" s="241">
        <f t="shared" si="0"/>
        <v>4</v>
      </c>
      <c r="C10" s="242" t="str">
        <f>'Program Descriptions'!C8</f>
        <v>Empty</v>
      </c>
      <c r="D10" s="378"/>
      <c r="E10" s="321"/>
      <c r="F10" s="378"/>
      <c r="G10" s="321"/>
      <c r="H10" s="378"/>
      <c r="I10" s="321"/>
      <c r="J10" s="378"/>
      <c r="K10" s="321"/>
      <c r="L10" s="325"/>
      <c r="M10" s="321"/>
      <c r="N10" s="323">
        <f t="shared" si="1"/>
        <v>0</v>
      </c>
      <c r="O10" s="17"/>
    </row>
    <row r="11" spans="2:15">
      <c r="B11" s="241">
        <f t="shared" si="0"/>
        <v>5</v>
      </c>
      <c r="C11" s="242" t="str">
        <f>'Program Descriptions'!C9</f>
        <v>Empty</v>
      </c>
      <c r="D11" s="378"/>
      <c r="E11" s="321"/>
      <c r="F11" s="378"/>
      <c r="G11" s="321"/>
      <c r="H11" s="378"/>
      <c r="I11" s="321"/>
      <c r="J11" s="378"/>
      <c r="K11" s="321"/>
      <c r="L11" s="325"/>
      <c r="M11" s="321"/>
      <c r="N11" s="323">
        <f t="shared" si="1"/>
        <v>0</v>
      </c>
      <c r="O11" s="17"/>
    </row>
    <row r="12" spans="2:15">
      <c r="B12" s="241">
        <f t="shared" si="0"/>
        <v>6</v>
      </c>
      <c r="C12" s="242" t="str">
        <f>'Program Descriptions'!C10</f>
        <v>Empty</v>
      </c>
      <c r="D12" s="378"/>
      <c r="E12" s="321"/>
      <c r="F12" s="378"/>
      <c r="G12" s="321"/>
      <c r="H12" s="378"/>
      <c r="I12" s="321"/>
      <c r="J12" s="378"/>
      <c r="K12" s="321"/>
      <c r="L12" s="325"/>
      <c r="M12" s="321"/>
      <c r="N12" s="323">
        <f t="shared" si="1"/>
        <v>0</v>
      </c>
      <c r="O12" s="17"/>
    </row>
    <row r="13" spans="2:15">
      <c r="B13" s="241">
        <f t="shared" si="0"/>
        <v>7</v>
      </c>
      <c r="C13" s="242" t="str">
        <f>'Program Descriptions'!C11</f>
        <v>Empty</v>
      </c>
      <c r="D13" s="378"/>
      <c r="E13" s="321"/>
      <c r="F13" s="378"/>
      <c r="G13" s="321"/>
      <c r="H13" s="378"/>
      <c r="I13" s="321"/>
      <c r="J13" s="378"/>
      <c r="K13" s="321"/>
      <c r="L13" s="325"/>
      <c r="M13" s="321"/>
      <c r="N13" s="323">
        <f t="shared" si="1"/>
        <v>0</v>
      </c>
      <c r="O13" s="17"/>
    </row>
    <row r="14" spans="2:15">
      <c r="B14" s="241">
        <f t="shared" si="0"/>
        <v>8</v>
      </c>
      <c r="C14" s="242" t="str">
        <f>'Program Descriptions'!C12</f>
        <v>Empty</v>
      </c>
      <c r="D14" s="378"/>
      <c r="E14" s="321"/>
      <c r="F14" s="378"/>
      <c r="G14" s="321"/>
      <c r="H14" s="378"/>
      <c r="I14" s="321"/>
      <c r="J14" s="378"/>
      <c r="K14" s="321"/>
      <c r="L14" s="325"/>
      <c r="M14" s="321"/>
      <c r="N14" s="323">
        <f t="shared" si="1"/>
        <v>0</v>
      </c>
      <c r="O14" s="17"/>
    </row>
    <row r="15" spans="2:15">
      <c r="B15" s="241">
        <f t="shared" si="0"/>
        <v>9</v>
      </c>
      <c r="C15" s="242" t="str">
        <f>'Program Descriptions'!C13</f>
        <v>Empty</v>
      </c>
      <c r="D15" s="378"/>
      <c r="E15" s="321"/>
      <c r="F15" s="378"/>
      <c r="G15" s="321"/>
      <c r="H15" s="378"/>
      <c r="I15" s="321"/>
      <c r="J15" s="378"/>
      <c r="K15" s="321"/>
      <c r="L15" s="325"/>
      <c r="M15" s="321"/>
      <c r="N15" s="323">
        <f t="shared" si="1"/>
        <v>0</v>
      </c>
      <c r="O15" s="17"/>
    </row>
    <row r="16" spans="2:15">
      <c r="B16" s="241">
        <f t="shared" si="0"/>
        <v>10</v>
      </c>
      <c r="C16" s="242" t="str">
        <f>'Program Descriptions'!C14</f>
        <v>Empty</v>
      </c>
      <c r="D16" s="378"/>
      <c r="E16" s="321"/>
      <c r="F16" s="378"/>
      <c r="G16" s="321"/>
      <c r="H16" s="378"/>
      <c r="I16" s="321"/>
      <c r="J16" s="378"/>
      <c r="K16" s="321"/>
      <c r="L16" s="325"/>
      <c r="M16" s="321"/>
      <c r="N16" s="323">
        <f t="shared" si="1"/>
        <v>0</v>
      </c>
      <c r="O16" s="17"/>
    </row>
    <row r="17" spans="2:15">
      <c r="B17" s="241">
        <f t="shared" si="0"/>
        <v>11</v>
      </c>
      <c r="C17" s="242" t="str">
        <f>'Program Descriptions'!C15</f>
        <v>Empty</v>
      </c>
      <c r="D17" s="378"/>
      <c r="E17" s="321"/>
      <c r="F17" s="378"/>
      <c r="G17" s="321"/>
      <c r="H17" s="378"/>
      <c r="I17" s="321"/>
      <c r="J17" s="378"/>
      <c r="K17" s="321"/>
      <c r="L17" s="325"/>
      <c r="M17" s="321"/>
      <c r="N17" s="323">
        <f t="shared" si="1"/>
        <v>0</v>
      </c>
      <c r="O17" s="17"/>
    </row>
    <row r="18" spans="2:15">
      <c r="B18" s="241">
        <f t="shared" si="0"/>
        <v>12</v>
      </c>
      <c r="C18" s="242" t="str">
        <f>'Program Descriptions'!C16</f>
        <v>Empty</v>
      </c>
      <c r="D18" s="378"/>
      <c r="E18" s="321"/>
      <c r="F18" s="378"/>
      <c r="G18" s="321"/>
      <c r="H18" s="378"/>
      <c r="I18" s="321"/>
      <c r="J18" s="378"/>
      <c r="K18" s="321"/>
      <c r="L18" s="325"/>
      <c r="M18" s="321"/>
      <c r="N18" s="323">
        <f t="shared" si="1"/>
        <v>0</v>
      </c>
      <c r="O18" s="17"/>
    </row>
    <row r="19" spans="2:15">
      <c r="B19" s="241">
        <f t="shared" si="0"/>
        <v>13</v>
      </c>
      <c r="C19" s="242" t="str">
        <f>'Program Descriptions'!C17</f>
        <v>Empty</v>
      </c>
      <c r="D19" s="378"/>
      <c r="E19" s="321"/>
      <c r="F19" s="378"/>
      <c r="G19" s="321"/>
      <c r="H19" s="378"/>
      <c r="I19" s="321"/>
      <c r="J19" s="378"/>
      <c r="K19" s="321"/>
      <c r="L19" s="325"/>
      <c r="M19" s="321"/>
      <c r="N19" s="323">
        <f t="shared" si="1"/>
        <v>0</v>
      </c>
      <c r="O19" s="17"/>
    </row>
    <row r="20" spans="2:15">
      <c r="B20" s="241">
        <f t="shared" si="0"/>
        <v>14</v>
      </c>
      <c r="C20" s="242" t="str">
        <f>'Program Descriptions'!C18</f>
        <v>Empty</v>
      </c>
      <c r="D20" s="378"/>
      <c r="E20" s="321"/>
      <c r="F20" s="378"/>
      <c r="G20" s="321"/>
      <c r="H20" s="378"/>
      <c r="I20" s="321"/>
      <c r="J20" s="378"/>
      <c r="K20" s="321"/>
      <c r="L20" s="325"/>
      <c r="M20" s="321"/>
      <c r="N20" s="323">
        <f t="shared" si="1"/>
        <v>0</v>
      </c>
      <c r="O20" s="17"/>
    </row>
    <row r="21" spans="2:15">
      <c r="B21" s="241">
        <f t="shared" si="0"/>
        <v>15</v>
      </c>
      <c r="C21" s="242" t="str">
        <f>'Program Descriptions'!C19</f>
        <v>Empty</v>
      </c>
      <c r="D21" s="378"/>
      <c r="E21" s="321"/>
      <c r="F21" s="378"/>
      <c r="G21" s="321"/>
      <c r="H21" s="378"/>
      <c r="I21" s="321"/>
      <c r="J21" s="378"/>
      <c r="K21" s="321"/>
      <c r="L21" s="325"/>
      <c r="M21" s="321"/>
      <c r="N21" s="323">
        <f t="shared" si="1"/>
        <v>0</v>
      </c>
      <c r="O21" s="17"/>
    </row>
    <row r="22" spans="2:15">
      <c r="B22" s="241">
        <f t="shared" si="0"/>
        <v>16</v>
      </c>
      <c r="C22" s="242" t="str">
        <f>'Program Descriptions'!C20</f>
        <v>Empty</v>
      </c>
      <c r="D22" s="378"/>
      <c r="E22" s="321"/>
      <c r="F22" s="378"/>
      <c r="G22" s="321"/>
      <c r="H22" s="378"/>
      <c r="I22" s="321"/>
      <c r="J22" s="378"/>
      <c r="K22" s="321"/>
      <c r="L22" s="325"/>
      <c r="M22" s="321"/>
      <c r="N22" s="323">
        <f t="shared" si="1"/>
        <v>0</v>
      </c>
      <c r="O22" s="17"/>
    </row>
    <row r="23" spans="2:15">
      <c r="B23" s="241">
        <f t="shared" si="0"/>
        <v>17</v>
      </c>
      <c r="C23" s="242" t="str">
        <f>'Program Descriptions'!C21</f>
        <v>Empty</v>
      </c>
      <c r="D23" s="378"/>
      <c r="E23" s="321"/>
      <c r="F23" s="378"/>
      <c r="G23" s="321"/>
      <c r="H23" s="378"/>
      <c r="I23" s="321"/>
      <c r="J23" s="378"/>
      <c r="K23" s="321"/>
      <c r="L23" s="325"/>
      <c r="M23" s="321"/>
      <c r="N23" s="323">
        <f t="shared" si="1"/>
        <v>0</v>
      </c>
      <c r="O23" s="17"/>
    </row>
    <row r="24" spans="2:15">
      <c r="B24" s="241">
        <f t="shared" si="0"/>
        <v>18</v>
      </c>
      <c r="C24" s="242" t="str">
        <f>'Program Descriptions'!C22</f>
        <v>Empty</v>
      </c>
      <c r="D24" s="378"/>
      <c r="E24" s="321"/>
      <c r="F24" s="378"/>
      <c r="G24" s="321"/>
      <c r="H24" s="378"/>
      <c r="I24" s="321"/>
      <c r="J24" s="378"/>
      <c r="K24" s="321"/>
      <c r="L24" s="325"/>
      <c r="M24" s="321"/>
      <c r="N24" s="323">
        <f t="shared" si="1"/>
        <v>0</v>
      </c>
      <c r="O24" s="17"/>
    </row>
    <row r="25" spans="2:15">
      <c r="B25" s="241">
        <f t="shared" si="0"/>
        <v>19</v>
      </c>
      <c r="C25" s="242" t="str">
        <f>'Program Descriptions'!C23</f>
        <v>Empty</v>
      </c>
      <c r="D25" s="378"/>
      <c r="E25" s="321"/>
      <c r="F25" s="378"/>
      <c r="G25" s="321"/>
      <c r="H25" s="378"/>
      <c r="I25" s="321"/>
      <c r="J25" s="378"/>
      <c r="K25" s="321"/>
      <c r="L25" s="325"/>
      <c r="M25" s="321"/>
      <c r="N25" s="323">
        <f t="shared" si="1"/>
        <v>0</v>
      </c>
      <c r="O25" s="17"/>
    </row>
    <row r="26" spans="2:15" ht="13.5" thickBot="1">
      <c r="B26" s="241">
        <f t="shared" si="0"/>
        <v>20</v>
      </c>
      <c r="C26" s="242" t="str">
        <f>'Program Descriptions'!C24</f>
        <v>Empty</v>
      </c>
      <c r="D26" s="379"/>
      <c r="E26" s="322"/>
      <c r="F26" s="379"/>
      <c r="G26" s="322"/>
      <c r="H26" s="379"/>
      <c r="I26" s="322"/>
      <c r="J26" s="379"/>
      <c r="K26" s="322"/>
      <c r="L26" s="326"/>
      <c r="M26" s="322"/>
      <c r="N26" s="324">
        <f>E26+G26+I26+K26+M26</f>
        <v>0</v>
      </c>
      <c r="O26" s="17"/>
    </row>
    <row r="27" spans="2:15">
      <c r="B27" s="16"/>
      <c r="C27" s="246" t="s">
        <v>146</v>
      </c>
      <c r="D27" s="539">
        <f t="shared" ref="D27:K27" si="2">SUM(D7:D26)</f>
        <v>6222386</v>
      </c>
      <c r="E27" s="533">
        <f t="shared" si="2"/>
        <v>6460</v>
      </c>
      <c r="F27" s="539">
        <f t="shared" si="2"/>
        <v>3639824</v>
      </c>
      <c r="G27" s="533">
        <f t="shared" si="2"/>
        <v>17369180</v>
      </c>
      <c r="H27" s="539">
        <f t="shared" si="2"/>
        <v>33244</v>
      </c>
      <c r="I27" s="533">
        <f t="shared" si="2"/>
        <v>687426</v>
      </c>
      <c r="J27" s="539">
        <f t="shared" si="2"/>
        <v>62929891</v>
      </c>
      <c r="K27" s="533">
        <f t="shared" si="2"/>
        <v>5333673</v>
      </c>
      <c r="L27" s="533">
        <f t="shared" ref="L27:M27" si="3">SUM(L7:L26)</f>
        <v>818476</v>
      </c>
      <c r="M27" s="533">
        <f t="shared" si="3"/>
        <v>405029</v>
      </c>
      <c r="N27" s="533">
        <f>SUM(N7:N26)</f>
        <v>23801768</v>
      </c>
      <c r="O27" s="17"/>
    </row>
    <row r="28" spans="2:15">
      <c r="B28" s="16"/>
      <c r="C28" s="242"/>
      <c r="O28" s="17"/>
    </row>
    <row r="29" spans="2:15">
      <c r="B29" s="16"/>
      <c r="O29" s="17"/>
    </row>
    <row r="30" spans="2:15" ht="15.75">
      <c r="B30" s="16"/>
      <c r="C30" s="8" t="s">
        <v>335</v>
      </c>
      <c r="O30" s="17"/>
    </row>
    <row r="31" spans="2:15">
      <c r="B31" s="241">
        <v>1</v>
      </c>
      <c r="C31" s="726"/>
      <c r="D31" s="727"/>
      <c r="E31" s="727"/>
      <c r="F31" s="727"/>
      <c r="G31" s="727"/>
      <c r="H31" s="727"/>
      <c r="I31" s="727"/>
      <c r="J31" s="727"/>
      <c r="K31" s="727"/>
      <c r="L31" s="727"/>
      <c r="M31" s="727"/>
      <c r="N31" s="728"/>
      <c r="O31" s="17"/>
    </row>
    <row r="32" spans="2:15">
      <c r="B32" s="241">
        <f>B31+1</f>
        <v>2</v>
      </c>
      <c r="C32" s="726"/>
      <c r="D32" s="727"/>
      <c r="E32" s="727"/>
      <c r="F32" s="727"/>
      <c r="G32" s="727"/>
      <c r="H32" s="727"/>
      <c r="I32" s="727"/>
      <c r="J32" s="727"/>
      <c r="K32" s="727"/>
      <c r="L32" s="727"/>
      <c r="M32" s="727"/>
      <c r="N32" s="728"/>
      <c r="O32" s="17"/>
    </row>
    <row r="33" spans="2:15">
      <c r="B33" s="241">
        <f t="shared" ref="B33:B35" si="4">B32+1</f>
        <v>3</v>
      </c>
      <c r="C33" s="726"/>
      <c r="D33" s="727"/>
      <c r="E33" s="727"/>
      <c r="F33" s="727"/>
      <c r="G33" s="727"/>
      <c r="H33" s="727"/>
      <c r="I33" s="727"/>
      <c r="J33" s="727"/>
      <c r="K33" s="727"/>
      <c r="L33" s="727"/>
      <c r="M33" s="727"/>
      <c r="N33" s="728"/>
      <c r="O33" s="17"/>
    </row>
    <row r="34" spans="2:15">
      <c r="B34" s="241">
        <f t="shared" si="4"/>
        <v>4</v>
      </c>
      <c r="C34" s="726"/>
      <c r="D34" s="727"/>
      <c r="E34" s="727"/>
      <c r="F34" s="727"/>
      <c r="G34" s="727"/>
      <c r="H34" s="727"/>
      <c r="I34" s="727"/>
      <c r="J34" s="727"/>
      <c r="K34" s="727"/>
      <c r="L34" s="727"/>
      <c r="M34" s="727"/>
      <c r="N34" s="728"/>
      <c r="O34" s="17"/>
    </row>
    <row r="35" spans="2:15">
      <c r="B35" s="241">
        <f t="shared" si="4"/>
        <v>5</v>
      </c>
      <c r="C35" s="726"/>
      <c r="D35" s="727"/>
      <c r="E35" s="727"/>
      <c r="F35" s="727"/>
      <c r="G35" s="727"/>
      <c r="H35" s="727"/>
      <c r="I35" s="727"/>
      <c r="J35" s="727"/>
      <c r="K35" s="727"/>
      <c r="L35" s="727"/>
      <c r="M35" s="727"/>
      <c r="N35" s="728"/>
      <c r="O35" s="17"/>
    </row>
    <row r="36" spans="2:15">
      <c r="B36" s="16"/>
      <c r="O36" s="17"/>
    </row>
    <row r="37" spans="2:15">
      <c r="B37" s="279"/>
      <c r="C37" s="280"/>
      <c r="D37" s="280"/>
      <c r="E37" s="280"/>
      <c r="F37" s="280"/>
      <c r="G37" s="280"/>
      <c r="H37" s="280"/>
      <c r="I37" s="280"/>
      <c r="J37" s="280"/>
      <c r="K37" s="280"/>
      <c r="L37" s="280"/>
      <c r="M37" s="280"/>
      <c r="N37" s="280"/>
      <c r="O37" s="281"/>
    </row>
  </sheetData>
  <mergeCells count="12">
    <mergeCell ref="C31:N31"/>
    <mergeCell ref="C32:N32"/>
    <mergeCell ref="C33:N33"/>
    <mergeCell ref="C34:N34"/>
    <mergeCell ref="C35:N35"/>
    <mergeCell ref="B2:O2"/>
    <mergeCell ref="D5:E5"/>
    <mergeCell ref="F5:G5"/>
    <mergeCell ref="H5:I5"/>
    <mergeCell ref="J5:K5"/>
    <mergeCell ref="L5:M5"/>
    <mergeCell ref="N5:N6"/>
  </mergeCells>
  <conditionalFormatting sqref="D7:N26">
    <cfRule type="expression" dxfId="20"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65"/>
  <sheetViews>
    <sheetView showGridLines="0" showRowColHeaders="0" zoomScale="110" zoomScaleNormal="110" workbookViewId="0">
      <pane ySplit="2" topLeftCell="A49" activePane="bottomLeft" state="frozen"/>
      <selection pane="bottomLeft"/>
    </sheetView>
  </sheetViews>
  <sheetFormatPr defaultColWidth="9.140625" defaultRowHeight="12.75"/>
  <cols>
    <col min="1" max="1" width="1" style="2" customWidth="1"/>
    <col min="2" max="2" width="1.7109375" style="2" customWidth="1"/>
    <col min="3" max="3" width="8" style="2" customWidth="1"/>
    <col min="4" max="4" width="9.140625" style="2" customWidth="1"/>
    <col min="5" max="5" width="116.5703125" style="2" customWidth="1"/>
    <col min="6" max="6" width="1.7109375" style="2" customWidth="1"/>
    <col min="7" max="16384" width="9.140625" style="2"/>
  </cols>
  <sheetData>
    <row r="1" spans="2:6" ht="5.0999999999999996" customHeight="1"/>
    <row r="2" spans="2:6" ht="38.25" customHeight="1">
      <c r="B2" s="671" t="s">
        <v>17</v>
      </c>
      <c r="C2" s="672"/>
      <c r="D2" s="672"/>
      <c r="E2" s="672"/>
      <c r="F2" s="672"/>
    </row>
    <row r="3" spans="2:6" s="1" customFormat="1">
      <c r="B3" s="528"/>
      <c r="C3" s="566"/>
      <c r="D3" s="566"/>
      <c r="E3" s="566"/>
      <c r="F3" s="529"/>
    </row>
    <row r="4" spans="2:6" s="1" customFormat="1" ht="25.5" customHeight="1">
      <c r="B4" s="393"/>
      <c r="C4" s="673" t="s">
        <v>18</v>
      </c>
      <c r="D4" s="673"/>
      <c r="E4" s="673"/>
      <c r="F4" s="394"/>
    </row>
    <row r="5" spans="2:6" s="1" customFormat="1">
      <c r="B5" s="393"/>
      <c r="C5" s="395"/>
      <c r="D5" s="395"/>
      <c r="E5" s="396"/>
      <c r="F5" s="394"/>
    </row>
    <row r="6" spans="2:6" s="1" customFormat="1" ht="15">
      <c r="B6" s="393"/>
      <c r="C6" s="666" t="s">
        <v>19</v>
      </c>
      <c r="D6" s="666"/>
      <c r="E6" s="666"/>
      <c r="F6" s="394"/>
    </row>
    <row r="7" spans="2:6" s="1" customFormat="1" ht="63.75" customHeight="1">
      <c r="B7" s="393"/>
      <c r="C7" s="674" t="s">
        <v>20</v>
      </c>
      <c r="D7" s="674"/>
      <c r="E7" s="674"/>
      <c r="F7" s="394"/>
    </row>
    <row r="8" spans="2:6" s="1" customFormat="1">
      <c r="B8" s="393"/>
      <c r="C8" s="306">
        <v>1</v>
      </c>
      <c r="D8" s="22" t="s">
        <v>21</v>
      </c>
      <c r="E8" s="22"/>
      <c r="F8" s="394"/>
    </row>
    <row r="9" spans="2:6" s="1" customFormat="1">
      <c r="B9" s="393"/>
      <c r="C9" s="306">
        <v>2</v>
      </c>
      <c r="D9" s="22" t="s">
        <v>22</v>
      </c>
      <c r="E9" s="22"/>
      <c r="F9" s="394"/>
    </row>
    <row r="10" spans="2:6" s="1" customFormat="1">
      <c r="B10" s="393"/>
      <c r="C10" s="306">
        <v>3</v>
      </c>
      <c r="D10" s="22" t="s">
        <v>23</v>
      </c>
      <c r="E10" s="22"/>
      <c r="F10" s="394"/>
    </row>
    <row r="11" spans="2:6" s="1" customFormat="1">
      <c r="B11" s="393"/>
      <c r="C11" s="396"/>
      <c r="D11" s="396"/>
      <c r="E11" s="396"/>
      <c r="F11" s="394"/>
    </row>
    <row r="12" spans="2:6" s="1" customFormat="1" ht="44.25" customHeight="1">
      <c r="B12" s="393"/>
      <c r="C12" s="669" t="s">
        <v>24</v>
      </c>
      <c r="D12" s="669"/>
      <c r="E12" s="669"/>
      <c r="F12" s="394"/>
    </row>
    <row r="13" spans="2:6" s="1" customFormat="1">
      <c r="B13" s="393"/>
      <c r="C13" s="396"/>
      <c r="D13" s="396"/>
      <c r="E13" s="396"/>
      <c r="F13" s="394"/>
    </row>
    <row r="14" spans="2:6" s="1" customFormat="1">
      <c r="B14" s="393"/>
      <c r="C14" s="397"/>
      <c r="D14" s="567"/>
      <c r="E14" s="299" t="s">
        <v>25</v>
      </c>
      <c r="F14" s="394"/>
    </row>
    <row r="15" spans="2:6" s="1" customFormat="1">
      <c r="B15" s="393"/>
      <c r="C15" s="397"/>
      <c r="D15" s="568"/>
      <c r="E15" s="299" t="s">
        <v>26</v>
      </c>
      <c r="F15" s="394"/>
    </row>
    <row r="16" spans="2:6" s="1" customFormat="1">
      <c r="B16" s="393"/>
      <c r="C16" s="397"/>
      <c r="D16" s="307"/>
      <c r="E16" s="299" t="s">
        <v>27</v>
      </c>
      <c r="F16" s="394"/>
    </row>
    <row r="17" spans="2:6" s="1" customFormat="1">
      <c r="B17" s="393"/>
      <c r="C17" s="396"/>
      <c r="D17" s="396"/>
      <c r="E17" s="396"/>
      <c r="F17" s="394"/>
    </row>
    <row r="18" spans="2:6" s="1" customFormat="1">
      <c r="B18" s="393"/>
      <c r="C18" s="670" t="s">
        <v>28</v>
      </c>
      <c r="D18" s="670"/>
      <c r="E18" s="670"/>
      <c r="F18" s="394"/>
    </row>
    <row r="19" spans="2:6" s="1" customFormat="1">
      <c r="B19" s="393"/>
      <c r="C19" s="554"/>
      <c r="D19" s="554"/>
      <c r="E19" s="554"/>
      <c r="F19" s="394"/>
    </row>
    <row r="20" spans="2:6" s="1" customFormat="1" ht="30" customHeight="1">
      <c r="B20" s="393"/>
      <c r="C20" s="665" t="s">
        <v>29</v>
      </c>
      <c r="D20" s="665"/>
      <c r="E20" s="665"/>
      <c r="F20" s="394"/>
    </row>
    <row r="21" spans="2:6" s="1" customFormat="1">
      <c r="B21" s="393"/>
      <c r="C21" s="554"/>
      <c r="D21" s="554"/>
      <c r="E21" s="554"/>
      <c r="F21" s="394"/>
    </row>
    <row r="22" spans="2:6" s="1" customFormat="1" ht="15">
      <c r="B22" s="393"/>
      <c r="C22" s="666" t="s">
        <v>30</v>
      </c>
      <c r="D22" s="666"/>
      <c r="E22" s="666"/>
      <c r="F22" s="394"/>
    </row>
    <row r="23" spans="2:6" s="1" customFormat="1" ht="18.75" customHeight="1">
      <c r="B23" s="20"/>
      <c r="C23" s="300" t="s">
        <v>31</v>
      </c>
      <c r="D23" s="23"/>
      <c r="E23" s="24"/>
      <c r="F23" s="394"/>
    </row>
    <row r="24" spans="2:6" s="1" customFormat="1">
      <c r="B24" s="21"/>
      <c r="C24" s="306">
        <v>1</v>
      </c>
      <c r="D24" s="22" t="s">
        <v>32</v>
      </c>
      <c r="E24" s="22"/>
      <c r="F24" s="394"/>
    </row>
    <row r="25" spans="2:6" s="1" customFormat="1">
      <c r="B25" s="21"/>
      <c r="C25" s="308"/>
      <c r="D25" s="303" t="s">
        <v>33</v>
      </c>
      <c r="E25" s="357" t="s">
        <v>34</v>
      </c>
      <c r="F25" s="394"/>
    </row>
    <row r="26" spans="2:6" s="1" customFormat="1">
      <c r="B26" s="21"/>
      <c r="C26" s="308"/>
      <c r="D26" s="303" t="s">
        <v>35</v>
      </c>
      <c r="E26" s="301" t="s">
        <v>36</v>
      </c>
      <c r="F26" s="394"/>
    </row>
    <row r="27" spans="2:6" s="1" customFormat="1">
      <c r="B27" s="21"/>
      <c r="C27" s="308"/>
      <c r="D27" s="303"/>
      <c r="E27" s="304" t="s">
        <v>37</v>
      </c>
      <c r="F27" s="394"/>
    </row>
    <row r="28" spans="2:6" s="1" customFormat="1">
      <c r="B28" s="21"/>
      <c r="C28" s="308"/>
      <c r="D28" s="303" t="s">
        <v>38</v>
      </c>
      <c r="E28" s="301" t="s">
        <v>39</v>
      </c>
      <c r="F28" s="394"/>
    </row>
    <row r="29" spans="2:6" s="1" customFormat="1">
      <c r="B29" s="21"/>
      <c r="C29" s="308"/>
      <c r="D29" s="303"/>
      <c r="E29" s="304" t="s">
        <v>40</v>
      </c>
      <c r="F29" s="394"/>
    </row>
    <row r="30" spans="2:6" s="1" customFormat="1">
      <c r="B30" s="21"/>
      <c r="C30" s="308"/>
      <c r="D30" s="303" t="s">
        <v>41</v>
      </c>
      <c r="E30" s="301" t="s">
        <v>42</v>
      </c>
      <c r="F30" s="394"/>
    </row>
    <row r="31" spans="2:6" s="1" customFormat="1">
      <c r="B31" s="21"/>
      <c r="C31" s="308"/>
      <c r="D31" s="303" t="s">
        <v>43</v>
      </c>
      <c r="E31" s="301" t="s">
        <v>44</v>
      </c>
      <c r="F31" s="394"/>
    </row>
    <row r="32" spans="2:6" s="1" customFormat="1">
      <c r="B32" s="21"/>
      <c r="C32" s="308"/>
      <c r="D32" s="303"/>
      <c r="E32" s="304" t="s">
        <v>45</v>
      </c>
      <c r="F32" s="394"/>
    </row>
    <row r="33" spans="2:6" s="1" customFormat="1">
      <c r="B33" s="21"/>
      <c r="C33" s="308"/>
      <c r="D33" s="303"/>
      <c r="E33" s="304" t="s">
        <v>46</v>
      </c>
      <c r="F33" s="394"/>
    </row>
    <row r="34" spans="2:6" s="1" customFormat="1">
      <c r="B34" s="21"/>
      <c r="C34" s="306">
        <v>2</v>
      </c>
      <c r="D34" s="22" t="s">
        <v>47</v>
      </c>
      <c r="E34" s="23"/>
      <c r="F34" s="394"/>
    </row>
    <row r="35" spans="2:6" s="1" customFormat="1">
      <c r="B35" s="21"/>
      <c r="C35" s="308"/>
      <c r="D35" s="303" t="s">
        <v>33</v>
      </c>
      <c r="E35" s="302" t="s">
        <v>48</v>
      </c>
      <c r="F35" s="394"/>
    </row>
    <row r="36" spans="2:6" s="1" customFormat="1">
      <c r="B36" s="21"/>
      <c r="C36" s="308"/>
      <c r="D36" s="303"/>
      <c r="E36" s="304" t="s">
        <v>49</v>
      </c>
      <c r="F36" s="394"/>
    </row>
    <row r="37" spans="2:6" s="1" customFormat="1">
      <c r="B37" s="21"/>
      <c r="C37" s="308"/>
      <c r="D37" s="303" t="s">
        <v>35</v>
      </c>
      <c r="E37" s="301" t="s">
        <v>50</v>
      </c>
      <c r="F37" s="394"/>
    </row>
    <row r="38" spans="2:6" s="1" customFormat="1">
      <c r="B38" s="21"/>
      <c r="C38" s="308"/>
      <c r="D38" s="303"/>
      <c r="E38" s="304" t="s">
        <v>51</v>
      </c>
      <c r="F38" s="394"/>
    </row>
    <row r="39" spans="2:6" s="1" customFormat="1">
      <c r="B39" s="21"/>
      <c r="C39" s="308"/>
      <c r="D39" s="303" t="s">
        <v>38</v>
      </c>
      <c r="E39" s="301" t="s">
        <v>52</v>
      </c>
      <c r="F39" s="394"/>
    </row>
    <row r="40" spans="2:6" s="1" customFormat="1">
      <c r="B40" s="21"/>
      <c r="C40" s="308"/>
      <c r="D40" s="303"/>
      <c r="E40" s="304" t="s">
        <v>53</v>
      </c>
      <c r="F40" s="394"/>
    </row>
    <row r="41" spans="2:6" s="1" customFormat="1">
      <c r="B41" s="21"/>
      <c r="C41" s="308"/>
      <c r="D41" s="303"/>
      <c r="E41" s="304" t="s">
        <v>54</v>
      </c>
      <c r="F41" s="394"/>
    </row>
    <row r="42" spans="2:6" s="1" customFormat="1">
      <c r="B42" s="21"/>
      <c r="C42" s="308"/>
      <c r="D42" s="303"/>
      <c r="E42" s="304" t="s">
        <v>55</v>
      </c>
      <c r="F42" s="394"/>
    </row>
    <row r="43" spans="2:6" s="1" customFormat="1">
      <c r="B43" s="21"/>
      <c r="C43" s="308"/>
      <c r="D43" s="303" t="s">
        <v>41</v>
      </c>
      <c r="E43" s="301" t="s">
        <v>56</v>
      </c>
      <c r="F43" s="394"/>
    </row>
    <row r="44" spans="2:6" s="1" customFormat="1">
      <c r="B44" s="21"/>
      <c r="C44" s="308"/>
      <c r="D44" s="303" t="s">
        <v>43</v>
      </c>
      <c r="E44" s="301" t="s">
        <v>57</v>
      </c>
      <c r="F44" s="394"/>
    </row>
    <row r="45" spans="2:6" s="1" customFormat="1">
      <c r="B45" s="21"/>
      <c r="C45" s="306">
        <v>3</v>
      </c>
      <c r="D45" s="667" t="s">
        <v>58</v>
      </c>
      <c r="E45" s="667"/>
      <c r="F45" s="668"/>
    </row>
    <row r="46" spans="2:6" s="1" customFormat="1">
      <c r="B46" s="21"/>
      <c r="C46" s="308"/>
      <c r="D46" s="303" t="s">
        <v>33</v>
      </c>
      <c r="E46" s="302" t="s">
        <v>59</v>
      </c>
      <c r="F46" s="394"/>
    </row>
    <row r="47" spans="2:6" s="1" customFormat="1">
      <c r="B47" s="21"/>
      <c r="C47" s="23"/>
      <c r="D47" s="23"/>
      <c r="E47" s="304" t="s">
        <v>60</v>
      </c>
      <c r="F47" s="394"/>
    </row>
    <row r="48" spans="2:6" s="1" customFormat="1">
      <c r="B48" s="21"/>
      <c r="C48" s="23"/>
      <c r="D48" s="23"/>
      <c r="E48" s="23"/>
      <c r="F48" s="394"/>
    </row>
    <row r="49" spans="2:6" s="1" customFormat="1" ht="15">
      <c r="B49" s="21"/>
      <c r="C49" s="666" t="s">
        <v>61</v>
      </c>
      <c r="D49" s="666"/>
      <c r="E49" s="666"/>
      <c r="F49" s="394"/>
    </row>
    <row r="50" spans="2:6" s="1" customFormat="1">
      <c r="B50" s="21"/>
      <c r="C50" s="25" t="s">
        <v>62</v>
      </c>
      <c r="D50" s="25"/>
      <c r="E50" s="23"/>
      <c r="F50" s="394"/>
    </row>
    <row r="51" spans="2:6" s="1" customFormat="1" ht="25.5" customHeight="1">
      <c r="B51" s="21"/>
      <c r="C51" s="665" t="s">
        <v>63</v>
      </c>
      <c r="D51" s="665"/>
      <c r="E51" s="665"/>
      <c r="F51" s="394"/>
    </row>
    <row r="52" spans="2:6" s="1" customFormat="1">
      <c r="B52" s="21"/>
      <c r="C52" s="23"/>
      <c r="D52" s="23"/>
      <c r="E52" s="23"/>
      <c r="F52" s="394"/>
    </row>
    <row r="53" spans="2:6" s="1" customFormat="1">
      <c r="B53" s="21"/>
      <c r="C53" s="25" t="s">
        <v>64</v>
      </c>
      <c r="D53" s="25"/>
      <c r="E53" s="23"/>
      <c r="F53" s="394"/>
    </row>
    <row r="54" spans="2:6" s="1" customFormat="1" ht="18" customHeight="1">
      <c r="B54" s="21"/>
      <c r="C54" s="305" t="s">
        <v>65</v>
      </c>
      <c r="D54" s="23"/>
      <c r="E54" s="23"/>
      <c r="F54" s="394"/>
    </row>
    <row r="55" spans="2:6" s="1" customFormat="1" ht="9.75" customHeight="1">
      <c r="B55" s="21"/>
      <c r="C55" s="23"/>
      <c r="D55" s="23"/>
      <c r="E55" s="23"/>
      <c r="F55" s="394"/>
    </row>
    <row r="56" spans="2:6" s="1" customFormat="1">
      <c r="B56" s="21"/>
      <c r="C56" s="25" t="s">
        <v>66</v>
      </c>
      <c r="D56" s="25"/>
      <c r="E56" s="396"/>
      <c r="F56" s="394"/>
    </row>
    <row r="57" spans="2:6" s="1" customFormat="1" ht="18" customHeight="1">
      <c r="B57" s="393"/>
      <c r="C57" s="300" t="s">
        <v>67</v>
      </c>
      <c r="D57" s="23"/>
      <c r="E57" s="396"/>
      <c r="F57" s="394"/>
    </row>
    <row r="58" spans="2:6" s="1" customFormat="1">
      <c r="B58" s="20"/>
      <c r="C58" s="306">
        <v>1</v>
      </c>
      <c r="D58" s="398" t="str">
        <f>Cost!B4</f>
        <v>Planning / Design</v>
      </c>
      <c r="E58" s="24"/>
      <c r="F58" s="394"/>
    </row>
    <row r="59" spans="2:6" s="1" customFormat="1">
      <c r="B59" s="21"/>
      <c r="C59" s="306">
        <v>2</v>
      </c>
      <c r="D59" s="398" t="str">
        <f>Cost!C4</f>
        <v>Marketing &amp; Delivery</v>
      </c>
      <c r="E59" s="23"/>
      <c r="F59" s="394"/>
    </row>
    <row r="60" spans="2:6" s="1" customFormat="1">
      <c r="B60" s="21"/>
      <c r="C60" s="306">
        <v>3</v>
      </c>
      <c r="D60" s="398" t="str">
        <f>Cost!B14</f>
        <v>Incentives / Direct Install Costs</v>
      </c>
      <c r="E60" s="23"/>
      <c r="F60" s="394"/>
    </row>
    <row r="61" spans="2:6" s="1" customFormat="1">
      <c r="B61" s="21"/>
      <c r="C61" s="306">
        <v>4</v>
      </c>
      <c r="D61" s="398" t="str">
        <f>Cost!C19</f>
        <v>EM&amp;V</v>
      </c>
      <c r="E61" s="23"/>
      <c r="F61" s="394"/>
    </row>
    <row r="62" spans="2:6" s="1" customFormat="1">
      <c r="B62" s="393"/>
      <c r="C62" s="306">
        <v>5</v>
      </c>
      <c r="D62" s="398" t="str">
        <f>Cost!B25</f>
        <v>Administration</v>
      </c>
      <c r="E62" s="396"/>
      <c r="F62" s="394"/>
    </row>
    <row r="63" spans="2:6" s="1" customFormat="1">
      <c r="B63" s="20"/>
      <c r="C63" s="306">
        <v>6</v>
      </c>
      <c r="D63" s="398" t="str">
        <f>Cost!C25</f>
        <v>Regulatory</v>
      </c>
      <c r="E63" s="24"/>
      <c r="F63" s="394"/>
    </row>
    <row r="64" spans="2:6" s="1" customFormat="1">
      <c r="B64" s="309"/>
      <c r="C64" s="310"/>
      <c r="D64" s="310"/>
      <c r="E64" s="310"/>
      <c r="F64" s="399"/>
    </row>
    <row r="65" spans="2:5" s="1" customFormat="1">
      <c r="B65" s="396"/>
      <c r="C65" s="396"/>
      <c r="D65" s="396"/>
      <c r="E65" s="396"/>
    </row>
  </sheetData>
  <mergeCells count="11">
    <mergeCell ref="C12:E12"/>
    <mergeCell ref="C18:E18"/>
    <mergeCell ref="C6:E6"/>
    <mergeCell ref="B2:F2"/>
    <mergeCell ref="C4:E4"/>
    <mergeCell ref="C7:E7"/>
    <mergeCell ref="C20:E20"/>
    <mergeCell ref="C22:E22"/>
    <mergeCell ref="C49:E49"/>
    <mergeCell ref="C51:E51"/>
    <mergeCell ref="D45:F45"/>
  </mergeCells>
  <hyperlinks>
    <hyperlink ref="E25" location="'Utility Information'!A1" tooltip="Go to" display="Utility Information" xr:uid="{00000000-0004-0000-0100-000000000000}"/>
  </hyperlinks>
  <pageMargins left="0.25" right="0.25" top="0.5" bottom="0.5" header="0.3" footer="0.3"/>
  <pageSetup scale="83"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1:R27"/>
  <sheetViews>
    <sheetView showGridLines="0" showRowColHeaders="0" zoomScale="110" zoomScaleNormal="110" workbookViewId="0">
      <selection activeCell="K8" sqref="K8"/>
    </sheetView>
  </sheetViews>
  <sheetFormatPr defaultColWidth="9.140625" defaultRowHeight="12.75"/>
  <cols>
    <col min="1" max="1" width="1" style="2" customWidth="1"/>
    <col min="2" max="2" width="4" style="2" customWidth="1"/>
    <col min="3" max="3" width="35.7109375" style="2" customWidth="1"/>
    <col min="4" max="4" width="14.5703125" style="2" bestFit="1" customWidth="1"/>
    <col min="5" max="5" width="9.7109375" style="2" customWidth="1"/>
    <col min="6" max="6" width="14.140625" style="2" bestFit="1" customWidth="1"/>
    <col min="7" max="7" width="9.7109375" style="2" customWidth="1"/>
    <col min="8" max="8" width="13.5703125" style="2" bestFit="1" customWidth="1"/>
    <col min="9" max="9" width="9.7109375" style="2" customWidth="1"/>
    <col min="10" max="10" width="13.5703125" style="2" bestFit="1" customWidth="1"/>
    <col min="11" max="11" width="9.7109375" style="2" customWidth="1"/>
    <col min="12" max="12" width="9.28515625" style="2" customWidth="1"/>
    <col min="13" max="13" width="1" style="2" customWidth="1"/>
    <col min="14" max="14" width="9.140625" style="2"/>
    <col min="15" max="15" width="0" style="2" hidden="1" customWidth="1"/>
    <col min="16" max="16" width="9.140625" style="2"/>
    <col min="17" max="17" width="11.5703125" style="2" bestFit="1" customWidth="1"/>
    <col min="18" max="18" width="9.28515625" style="2" bestFit="1" customWidth="1"/>
    <col min="19" max="16384" width="9.140625" style="2"/>
  </cols>
  <sheetData>
    <row r="1" spans="2:18" ht="5.0999999999999996" customHeight="1" thickBot="1"/>
    <row r="2" spans="2:18" ht="38.25" customHeight="1" thickBot="1">
      <c r="B2" s="684" t="s">
        <v>351</v>
      </c>
      <c r="C2" s="684"/>
      <c r="D2" s="684"/>
      <c r="E2" s="684"/>
      <c r="F2" s="684"/>
      <c r="G2" s="684"/>
      <c r="H2" s="684"/>
      <c r="I2" s="684"/>
      <c r="J2" s="684"/>
      <c r="K2" s="684"/>
      <c r="L2" s="684"/>
    </row>
    <row r="3" spans="2:18" ht="21" customHeight="1" thickBot="1">
      <c r="B3" s="609"/>
      <c r="C3" s="313" t="str">
        <f>IF(O27&gt;0,"Incomplete - All 'yellow' shaded cells must be completed.","")</f>
        <v/>
      </c>
      <c r="D3" s="610"/>
      <c r="E3" s="610"/>
      <c r="F3" s="610"/>
      <c r="G3" s="610"/>
      <c r="H3" s="610"/>
      <c r="I3" s="610"/>
      <c r="J3" s="610"/>
      <c r="K3" s="610"/>
      <c r="L3" s="611"/>
    </row>
    <row r="4" spans="2:18" ht="24.75" customHeight="1">
      <c r="B4" s="18"/>
      <c r="C4" s="8"/>
      <c r="D4" s="731" t="s">
        <v>352</v>
      </c>
      <c r="E4" s="732"/>
      <c r="F4" s="731" t="s">
        <v>353</v>
      </c>
      <c r="G4" s="732"/>
      <c r="H4" s="731" t="s">
        <v>354</v>
      </c>
      <c r="I4" s="732"/>
      <c r="J4" s="729" t="s">
        <v>355</v>
      </c>
      <c r="K4" s="730"/>
      <c r="L4" s="4"/>
    </row>
    <row r="5" spans="2:18" ht="26.25">
      <c r="B5" s="16"/>
      <c r="C5" s="8" t="s">
        <v>85</v>
      </c>
      <c r="D5" s="88" t="s">
        <v>356</v>
      </c>
      <c r="E5" s="89" t="s">
        <v>284</v>
      </c>
      <c r="F5" s="88" t="s">
        <v>356</v>
      </c>
      <c r="G5" s="89" t="s">
        <v>284</v>
      </c>
      <c r="H5" s="88" t="s">
        <v>356</v>
      </c>
      <c r="I5" s="89" t="s">
        <v>284</v>
      </c>
      <c r="J5" s="88" t="s">
        <v>356</v>
      </c>
      <c r="K5" s="89" t="s">
        <v>284</v>
      </c>
      <c r="L5" s="4"/>
    </row>
    <row r="6" spans="2:18" ht="12.75" customHeight="1">
      <c r="B6" s="241">
        <v>1</v>
      </c>
      <c r="C6" s="242" t="str">
        <f>'Program Descriptions'!C5</f>
        <v>Residential Solutions Program</v>
      </c>
      <c r="D6" s="519">
        <v>3056.89</v>
      </c>
      <c r="E6" s="90">
        <v>2.84</v>
      </c>
      <c r="F6" s="519">
        <v>-27234.880000000001</v>
      </c>
      <c r="G6" s="90">
        <v>0.17</v>
      </c>
      <c r="H6" s="519">
        <v>8989.83</v>
      </c>
      <c r="I6" s="90">
        <v>1.2</v>
      </c>
      <c r="J6" s="519">
        <v>40683.379999999997</v>
      </c>
      <c r="K6" s="90">
        <v>12.23</v>
      </c>
      <c r="L6" s="4"/>
      <c r="O6" s="297">
        <f>IF(C6="Empty",0,IF(OR(ISBLANK(D6),ISBLANK(E6),ISBLANK(F6),ISBLANK(G6),ISBLANK(H6),ISBLANK(I6),ISBLANK(J6),ISBLANK(K6)),1,0))</f>
        <v>0</v>
      </c>
    </row>
    <row r="7" spans="2:18" ht="12.75" customHeight="1">
      <c r="B7" s="241">
        <v>2</v>
      </c>
      <c r="C7" s="242" t="str">
        <f>'Program Descriptions'!C6</f>
        <v>Access to Afford Energy &amp; Conservation</v>
      </c>
      <c r="D7" s="470">
        <v>5100.57</v>
      </c>
      <c r="E7" s="90">
        <v>9.83</v>
      </c>
      <c r="F7" s="470">
        <v>-5817.61</v>
      </c>
      <c r="G7" s="90">
        <v>0.18</v>
      </c>
      <c r="H7" s="470">
        <v>1565.82</v>
      </c>
      <c r="I7" s="90">
        <v>0.89</v>
      </c>
      <c r="J7" s="470">
        <v>11823.37</v>
      </c>
      <c r="K7" s="90">
        <v>10.5</v>
      </c>
      <c r="L7" s="4"/>
      <c r="O7" s="297">
        <f t="shared" ref="O7:O26" si="0">IF(C7="Empty",0,IF(OR(ISBLANK(D7),ISBLANK(E7),ISBLANK(F7),ISBLANK(G7),ISBLANK(H7),ISBLANK(I7),ISBLANK(J7),ISBLANK(K7)),1,0))</f>
        <v>0</v>
      </c>
    </row>
    <row r="8" spans="2:18" ht="12.75" customHeight="1">
      <c r="B8" s="241">
        <v>3</v>
      </c>
      <c r="C8" s="242" t="str">
        <f>'Program Descriptions'!C7</f>
        <v>Commercial Solutions</v>
      </c>
      <c r="D8" s="470">
        <v>2540.9299999999998</v>
      </c>
      <c r="E8" s="90">
        <v>1.79</v>
      </c>
      <c r="F8" s="470">
        <v>-31697.34</v>
      </c>
      <c r="G8" s="90">
        <v>0.25</v>
      </c>
      <c r="H8" s="470">
        <v>6270.94</v>
      </c>
      <c r="I8" s="90">
        <v>2.4500000000000002</v>
      </c>
      <c r="J8" s="470">
        <v>52307.040000000001</v>
      </c>
      <c r="K8" s="90">
        <v>10.029999999999999</v>
      </c>
      <c r="L8" s="4"/>
      <c r="O8" s="297">
        <f t="shared" si="0"/>
        <v>0</v>
      </c>
      <c r="Q8" s="468"/>
      <c r="R8" s="467"/>
    </row>
    <row r="9" spans="2:18" ht="12.75" customHeight="1">
      <c r="B9" s="241">
        <v>4</v>
      </c>
      <c r="C9" s="242" t="str">
        <f>'Program Descriptions'!C8</f>
        <v>Empty</v>
      </c>
      <c r="D9" s="470"/>
      <c r="E9" s="90"/>
      <c r="F9" s="470"/>
      <c r="G9" s="90"/>
      <c r="H9" s="470"/>
      <c r="I9" s="90"/>
      <c r="J9" s="470"/>
      <c r="K9" s="90"/>
      <c r="L9" s="4"/>
      <c r="O9" s="297">
        <f t="shared" si="0"/>
        <v>0</v>
      </c>
      <c r="Q9" s="468"/>
      <c r="R9" s="467"/>
    </row>
    <row r="10" spans="2:18" ht="12.75" customHeight="1">
      <c r="B10" s="241">
        <v>5</v>
      </c>
      <c r="C10" s="242" t="str">
        <f>'Program Descriptions'!C9</f>
        <v>Empty</v>
      </c>
      <c r="D10" s="470"/>
      <c r="E10" s="90"/>
      <c r="F10" s="470"/>
      <c r="G10" s="90"/>
      <c r="H10" s="470"/>
      <c r="I10" s="90"/>
      <c r="J10" s="470"/>
      <c r="K10" s="90"/>
      <c r="L10" s="4"/>
      <c r="O10" s="297">
        <f t="shared" si="0"/>
        <v>0</v>
      </c>
      <c r="Q10" s="468"/>
      <c r="R10" s="467"/>
    </row>
    <row r="11" spans="2:18" ht="12.75" customHeight="1">
      <c r="B11" s="241">
        <v>6</v>
      </c>
      <c r="C11" s="242" t="str">
        <f>'Program Descriptions'!C10</f>
        <v>Empty</v>
      </c>
      <c r="D11" s="470"/>
      <c r="E11" s="90"/>
      <c r="F11" s="470"/>
      <c r="G11" s="90"/>
      <c r="H11" s="470"/>
      <c r="I11" s="90"/>
      <c r="J11" s="470"/>
      <c r="K11" s="90"/>
      <c r="L11" s="4"/>
      <c r="O11" s="297">
        <f t="shared" si="0"/>
        <v>0</v>
      </c>
      <c r="Q11" s="468"/>
      <c r="R11" s="467"/>
    </row>
    <row r="12" spans="2:18" ht="12.75" customHeight="1">
      <c r="B12" s="241">
        <v>7</v>
      </c>
      <c r="C12" s="242" t="str">
        <f>'Program Descriptions'!C11</f>
        <v>Empty</v>
      </c>
      <c r="D12" s="470"/>
      <c r="E12" s="90"/>
      <c r="F12" s="470"/>
      <c r="G12" s="90"/>
      <c r="H12" s="470"/>
      <c r="I12" s="90"/>
      <c r="J12" s="470"/>
      <c r="K12" s="90"/>
      <c r="L12" s="4"/>
      <c r="O12" s="297">
        <f t="shared" si="0"/>
        <v>0</v>
      </c>
      <c r="Q12" s="468"/>
      <c r="R12" s="467"/>
    </row>
    <row r="13" spans="2:18" ht="12.75" customHeight="1">
      <c r="B13" s="241">
        <v>8</v>
      </c>
      <c r="C13" s="242" t="str">
        <f>'Program Descriptions'!C12</f>
        <v>Empty</v>
      </c>
      <c r="D13" s="470"/>
      <c r="E13" s="90"/>
      <c r="F13" s="470"/>
      <c r="G13" s="90"/>
      <c r="H13" s="470"/>
      <c r="I13" s="90"/>
      <c r="J13" s="470"/>
      <c r="K13" s="90"/>
      <c r="L13" s="4"/>
      <c r="O13" s="297">
        <f t="shared" si="0"/>
        <v>0</v>
      </c>
      <c r="Q13" s="468"/>
      <c r="R13" s="467"/>
    </row>
    <row r="14" spans="2:18" ht="12.75" customHeight="1">
      <c r="B14" s="241">
        <v>9</v>
      </c>
      <c r="C14" s="242" t="str">
        <f>'Program Descriptions'!C13</f>
        <v>Empty</v>
      </c>
      <c r="D14" s="47"/>
      <c r="E14" s="90"/>
      <c r="F14" s="470"/>
      <c r="G14" s="90"/>
      <c r="H14" s="470"/>
      <c r="I14" s="90"/>
      <c r="J14" s="470"/>
      <c r="K14" s="90"/>
      <c r="L14" s="4"/>
      <c r="O14" s="297">
        <f t="shared" si="0"/>
        <v>0</v>
      </c>
      <c r="Q14" s="468"/>
      <c r="R14" s="467"/>
    </row>
    <row r="15" spans="2:18" ht="12.75" customHeight="1">
      <c r="B15" s="241">
        <v>10</v>
      </c>
      <c r="C15" s="242" t="str">
        <f>'Program Descriptions'!C14</f>
        <v>Empty</v>
      </c>
      <c r="D15" s="47"/>
      <c r="E15" s="90"/>
      <c r="F15" s="47"/>
      <c r="G15" s="90"/>
      <c r="H15" s="47"/>
      <c r="I15" s="90"/>
      <c r="J15" s="47"/>
      <c r="K15" s="90"/>
      <c r="L15" s="4"/>
      <c r="O15" s="297">
        <f t="shared" si="0"/>
        <v>0</v>
      </c>
      <c r="Q15" s="468"/>
      <c r="R15" s="467"/>
    </row>
    <row r="16" spans="2:18" ht="12.75" customHeight="1">
      <c r="B16" s="241">
        <v>11</v>
      </c>
      <c r="C16" s="242" t="str">
        <f>'Program Descriptions'!C15</f>
        <v>Empty</v>
      </c>
      <c r="D16" s="47"/>
      <c r="E16" s="90"/>
      <c r="F16" s="47"/>
      <c r="G16" s="90"/>
      <c r="H16" s="47"/>
      <c r="I16" s="90"/>
      <c r="J16" s="47"/>
      <c r="K16" s="90"/>
      <c r="L16" s="4"/>
      <c r="O16" s="297">
        <f t="shared" si="0"/>
        <v>0</v>
      </c>
      <c r="Q16" s="468"/>
    </row>
    <row r="17" spans="2:17" ht="12.75" customHeight="1">
      <c r="B17" s="241">
        <v>12</v>
      </c>
      <c r="C17" s="242" t="str">
        <f>'Program Descriptions'!C16</f>
        <v>Empty</v>
      </c>
      <c r="D17" s="47"/>
      <c r="E17" s="90"/>
      <c r="F17" s="47"/>
      <c r="G17" s="90"/>
      <c r="H17" s="47"/>
      <c r="I17" s="90"/>
      <c r="J17" s="47"/>
      <c r="K17" s="90"/>
      <c r="L17" s="4"/>
      <c r="O17" s="297">
        <f t="shared" si="0"/>
        <v>0</v>
      </c>
      <c r="Q17" s="468"/>
    </row>
    <row r="18" spans="2:17" ht="12.75" customHeight="1">
      <c r="B18" s="241">
        <v>13</v>
      </c>
      <c r="C18" s="242" t="str">
        <f>'Program Descriptions'!C17</f>
        <v>Empty</v>
      </c>
      <c r="D18" s="47"/>
      <c r="E18" s="90"/>
      <c r="F18" s="47"/>
      <c r="G18" s="90"/>
      <c r="H18" s="47"/>
      <c r="I18" s="90"/>
      <c r="J18" s="47"/>
      <c r="K18" s="90"/>
      <c r="L18" s="4"/>
      <c r="O18" s="297">
        <f t="shared" si="0"/>
        <v>0</v>
      </c>
      <c r="Q18" s="468"/>
    </row>
    <row r="19" spans="2:17" ht="12.75" customHeight="1">
      <c r="B19" s="241">
        <v>14</v>
      </c>
      <c r="C19" s="242" t="str">
        <f>'Program Descriptions'!C18</f>
        <v>Empty</v>
      </c>
      <c r="D19" s="47"/>
      <c r="E19" s="90"/>
      <c r="F19" s="47"/>
      <c r="G19" s="90"/>
      <c r="H19" s="47"/>
      <c r="I19" s="90"/>
      <c r="J19" s="47"/>
      <c r="K19" s="90"/>
      <c r="L19" s="4"/>
      <c r="O19" s="297">
        <f t="shared" si="0"/>
        <v>0</v>
      </c>
    </row>
    <row r="20" spans="2:17" ht="12.75" customHeight="1">
      <c r="B20" s="241">
        <v>15</v>
      </c>
      <c r="C20" s="242" t="str">
        <f>'Program Descriptions'!C19</f>
        <v>Empty</v>
      </c>
      <c r="D20" s="47"/>
      <c r="E20" s="90"/>
      <c r="F20" s="47"/>
      <c r="G20" s="90"/>
      <c r="H20" s="47"/>
      <c r="I20" s="90"/>
      <c r="J20" s="47"/>
      <c r="K20" s="90"/>
      <c r="L20" s="4"/>
      <c r="O20" s="297">
        <f t="shared" si="0"/>
        <v>0</v>
      </c>
    </row>
    <row r="21" spans="2:17" ht="12.75" customHeight="1">
      <c r="B21" s="241">
        <v>16</v>
      </c>
      <c r="C21" s="242" t="str">
        <f>'Program Descriptions'!C20</f>
        <v>Empty</v>
      </c>
      <c r="D21" s="47"/>
      <c r="E21" s="90"/>
      <c r="F21" s="47"/>
      <c r="G21" s="90"/>
      <c r="H21" s="47"/>
      <c r="I21" s="90"/>
      <c r="J21" s="47"/>
      <c r="K21" s="90"/>
      <c r="L21" s="4"/>
      <c r="O21" s="297">
        <f t="shared" si="0"/>
        <v>0</v>
      </c>
    </row>
    <row r="22" spans="2:17" ht="12.75" customHeight="1">
      <c r="B22" s="241">
        <v>17</v>
      </c>
      <c r="C22" s="242" t="str">
        <f>'Program Descriptions'!C21</f>
        <v>Empty</v>
      </c>
      <c r="D22" s="47"/>
      <c r="E22" s="90"/>
      <c r="F22" s="47"/>
      <c r="G22" s="90"/>
      <c r="H22" s="47"/>
      <c r="I22" s="90"/>
      <c r="J22" s="47"/>
      <c r="K22" s="90"/>
      <c r="L22" s="4"/>
      <c r="O22" s="297">
        <f t="shared" si="0"/>
        <v>0</v>
      </c>
    </row>
    <row r="23" spans="2:17" ht="12.75" customHeight="1">
      <c r="B23" s="241">
        <v>18</v>
      </c>
      <c r="C23" s="242" t="str">
        <f>'Program Descriptions'!C22</f>
        <v>Empty</v>
      </c>
      <c r="D23" s="47"/>
      <c r="E23" s="90"/>
      <c r="F23" s="47"/>
      <c r="G23" s="90"/>
      <c r="H23" s="47"/>
      <c r="I23" s="90"/>
      <c r="J23" s="47"/>
      <c r="K23" s="90"/>
      <c r="L23" s="4"/>
      <c r="O23" s="297">
        <f t="shared" si="0"/>
        <v>0</v>
      </c>
    </row>
    <row r="24" spans="2:17" ht="12.75" customHeight="1">
      <c r="B24" s="241">
        <v>19</v>
      </c>
      <c r="C24" s="242" t="str">
        <f>'Program Descriptions'!C23</f>
        <v>Empty</v>
      </c>
      <c r="D24" s="47"/>
      <c r="E24" s="90"/>
      <c r="F24" s="47"/>
      <c r="G24" s="90"/>
      <c r="H24" s="47"/>
      <c r="I24" s="90"/>
      <c r="J24" s="47"/>
      <c r="K24" s="90"/>
      <c r="L24" s="4"/>
      <c r="O24" s="297">
        <f t="shared" si="0"/>
        <v>0</v>
      </c>
    </row>
    <row r="25" spans="2:17" ht="12.75" customHeight="1" thickBot="1">
      <c r="B25" s="241">
        <v>20</v>
      </c>
      <c r="C25" s="242" t="str">
        <f>'Program Descriptions'!C24</f>
        <v>Empty</v>
      </c>
      <c r="D25" s="612"/>
      <c r="E25" s="613"/>
      <c r="F25" s="612"/>
      <c r="G25" s="613"/>
      <c r="H25" s="612"/>
      <c r="I25" s="613"/>
      <c r="J25" s="612"/>
      <c r="K25" s="613"/>
      <c r="L25" s="4"/>
      <c r="O25" s="297">
        <f t="shared" si="0"/>
        <v>0</v>
      </c>
    </row>
    <row r="26" spans="2:17" ht="12.75" customHeight="1" thickBot="1">
      <c r="B26" s="16"/>
      <c r="C26" s="245" t="s">
        <v>158</v>
      </c>
      <c r="D26" s="469">
        <v>10700.57</v>
      </c>
      <c r="E26" s="92">
        <v>2.97</v>
      </c>
      <c r="F26" s="520">
        <v>-64788.78</v>
      </c>
      <c r="G26" s="92">
        <v>0.21</v>
      </c>
      <c r="H26" s="469">
        <v>7000.38</v>
      </c>
      <c r="I26" s="92">
        <v>1.68</v>
      </c>
      <c r="J26" s="520">
        <v>110073.86</v>
      </c>
      <c r="K26" s="92">
        <v>10.82</v>
      </c>
      <c r="L26" s="4"/>
      <c r="O26" s="297">
        <f t="shared" si="0"/>
        <v>0</v>
      </c>
    </row>
    <row r="27" spans="2:17" ht="12.75" customHeight="1">
      <c r="B27" s="5"/>
      <c r="C27" s="6"/>
      <c r="D27" s="6"/>
      <c r="E27" s="6"/>
      <c r="F27" s="6"/>
      <c r="G27" s="6"/>
      <c r="H27" s="6"/>
      <c r="I27" s="6"/>
      <c r="J27" s="6"/>
      <c r="K27" s="6"/>
      <c r="L27" s="7"/>
      <c r="O27" s="2">
        <f>SUM(O6:O26)</f>
        <v>0</v>
      </c>
    </row>
  </sheetData>
  <sheetProtection formatRows="0"/>
  <mergeCells count="5">
    <mergeCell ref="J4:K4"/>
    <mergeCell ref="H4:I4"/>
    <mergeCell ref="F4:G4"/>
    <mergeCell ref="D4:E4"/>
    <mergeCell ref="B2:L2"/>
  </mergeCells>
  <conditionalFormatting sqref="D6:K25">
    <cfRule type="expression" dxfId="19"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1:L124"/>
  <sheetViews>
    <sheetView showGridLines="0" showRowColHeaders="0" zoomScaleNormal="100" workbookViewId="0">
      <pane ySplit="2" topLeftCell="A18" activePane="bottomLeft" state="frozen"/>
      <selection pane="bottomLeft" activeCell="S13" sqref="S13"/>
    </sheetView>
  </sheetViews>
  <sheetFormatPr defaultColWidth="9.140625" defaultRowHeight="12.75"/>
  <cols>
    <col min="1" max="1" width="1" style="2" customWidth="1"/>
    <col min="2" max="2" width="3.7109375" style="2" customWidth="1"/>
    <col min="3" max="3" width="35.85546875" style="2" customWidth="1"/>
    <col min="4" max="6" width="12.140625" style="2" customWidth="1"/>
    <col min="7" max="7" width="10" style="2" customWidth="1"/>
    <col min="8" max="10" width="12.140625" style="2" customWidth="1"/>
    <col min="11" max="11" width="1.7109375" style="2" customWidth="1"/>
    <col min="12" max="12" width="8.85546875" style="2" customWidth="1"/>
    <col min="13" max="13" width="1" style="2" customWidth="1"/>
    <col min="14" max="14" width="5.140625" style="2" customWidth="1"/>
    <col min="15" max="16384" width="9.140625" style="2"/>
  </cols>
  <sheetData>
    <row r="1" spans="2:12" ht="28.5" customHeight="1"/>
    <row r="2" spans="2:12" ht="90" customHeight="1">
      <c r="B2" s="400"/>
      <c r="C2" s="614"/>
      <c r="D2" s="614"/>
      <c r="E2" s="614"/>
      <c r="F2" s="614"/>
      <c r="G2" s="614"/>
      <c r="H2" s="614"/>
      <c r="I2" s="614"/>
      <c r="J2" s="614"/>
      <c r="K2" s="614"/>
      <c r="L2" s="401"/>
    </row>
    <row r="3" spans="2:12" ht="7.5" customHeight="1">
      <c r="B3" s="609"/>
      <c r="C3" s="610"/>
      <c r="D3" s="610"/>
      <c r="E3" s="610"/>
      <c r="F3" s="610"/>
      <c r="G3" s="610"/>
      <c r="H3" s="610"/>
      <c r="I3" s="610"/>
      <c r="J3" s="610"/>
      <c r="K3" s="610"/>
      <c r="L3" s="611"/>
    </row>
    <row r="4" spans="2:12" ht="21">
      <c r="B4" s="3"/>
      <c r="C4" s="734" t="s">
        <v>357</v>
      </c>
      <c r="D4" s="734"/>
      <c r="E4" s="734"/>
      <c r="F4" s="734"/>
      <c r="G4" s="734"/>
      <c r="H4" s="734"/>
      <c r="I4" s="734"/>
      <c r="J4" s="734"/>
      <c r="L4" s="4"/>
    </row>
    <row r="5" spans="2:12" ht="15.75">
      <c r="B5" s="3"/>
      <c r="D5" s="733" t="str">
        <f>Prg_Year&amp;" LCFC Energy Savings "&amp;"("&amp;Energy_1&amp;")"</f>
        <v>2025 LCFC Energy Savings (Therms)</v>
      </c>
      <c r="E5" s="733"/>
      <c r="F5" s="733"/>
      <c r="H5" s="733" t="str">
        <f>Prg_Year&amp;" LCFC Cost Recovery ($)"</f>
        <v>2025 LCFC Cost Recovery ($)</v>
      </c>
      <c r="I5" s="733"/>
      <c r="J5" s="733"/>
      <c r="K5" s="561"/>
      <c r="L5" s="4"/>
    </row>
    <row r="6" spans="2:12" ht="15" customHeight="1">
      <c r="B6" s="3"/>
      <c r="C6" s="8" t="s">
        <v>85</v>
      </c>
      <c r="D6" s="27">
        <f>Prg_Year</f>
        <v>2025</v>
      </c>
      <c r="E6" s="27">
        <f>D6-1</f>
        <v>2024</v>
      </c>
      <c r="F6" s="27" t="str">
        <f>"Prior to "&amp;E6</f>
        <v>Prior to 2024</v>
      </c>
      <c r="H6" s="27">
        <f>D6</f>
        <v>2025</v>
      </c>
      <c r="I6" s="27">
        <f>E6</f>
        <v>2024</v>
      </c>
      <c r="J6" s="27" t="str">
        <f>F6</f>
        <v>Prior to 2024</v>
      </c>
      <c r="K6" s="27"/>
      <c r="L6" s="4"/>
    </row>
    <row r="7" spans="2:12" ht="15" customHeight="1">
      <c r="B7" s="241">
        <v>1</v>
      </c>
      <c r="C7" s="242" t="str">
        <f>'Program Descriptions'!C5</f>
        <v>Residential Solutions Program</v>
      </c>
      <c r="D7" s="404">
        <v>2018009</v>
      </c>
      <c r="E7" s="404"/>
      <c r="F7" s="404"/>
      <c r="H7" s="402">
        <v>0</v>
      </c>
      <c r="I7" s="402"/>
      <c r="J7" s="402">
        <v>0</v>
      </c>
      <c r="K7" s="27"/>
      <c r="L7" s="4"/>
    </row>
    <row r="8" spans="2:12" ht="15" customHeight="1">
      <c r="B8" s="241">
        <v>2</v>
      </c>
      <c r="C8" s="242" t="str">
        <f>'Program Descriptions'!C6</f>
        <v>Access to Afford Energy &amp; Conservation</v>
      </c>
      <c r="D8" s="404"/>
      <c r="E8" s="404"/>
      <c r="F8" s="404"/>
      <c r="H8" s="402">
        <v>0</v>
      </c>
      <c r="I8" s="402"/>
      <c r="J8" s="402">
        <v>0</v>
      </c>
      <c r="K8" s="27"/>
      <c r="L8" s="4"/>
    </row>
    <row r="9" spans="2:12" ht="15" customHeight="1">
      <c r="B9" s="241">
        <v>3</v>
      </c>
      <c r="C9" s="242" t="str">
        <f>'Program Descriptions'!C7</f>
        <v>Commercial Solutions</v>
      </c>
      <c r="D9" s="404">
        <v>1031477</v>
      </c>
      <c r="E9" s="404"/>
      <c r="F9" s="404"/>
      <c r="H9" s="402"/>
      <c r="I9" s="402"/>
      <c r="J9" s="402">
        <v>0</v>
      </c>
      <c r="K9" s="27"/>
      <c r="L9" s="4"/>
    </row>
    <row r="10" spans="2:12" ht="15" customHeight="1">
      <c r="B10" s="241">
        <v>4</v>
      </c>
      <c r="C10" s="242" t="str">
        <f>'Program Descriptions'!C8</f>
        <v>Empty</v>
      </c>
      <c r="D10" s="404"/>
      <c r="E10" s="404"/>
      <c r="F10" s="404"/>
      <c r="H10" s="402"/>
      <c r="I10" s="402"/>
      <c r="J10" s="402">
        <v>0</v>
      </c>
      <c r="L10" s="4"/>
    </row>
    <row r="11" spans="2:12" ht="15" customHeight="1">
      <c r="B11" s="241">
        <v>5</v>
      </c>
      <c r="C11" s="242" t="str">
        <f>'Program Descriptions'!C9</f>
        <v>Empty</v>
      </c>
      <c r="D11" s="404"/>
      <c r="E11" s="404"/>
      <c r="F11" s="404"/>
      <c r="H11" s="402"/>
      <c r="I11" s="402"/>
      <c r="J11" s="402">
        <v>0</v>
      </c>
      <c r="L11" s="4"/>
    </row>
    <row r="12" spans="2:12" ht="15" customHeight="1">
      <c r="B12" s="241">
        <v>6</v>
      </c>
      <c r="C12" s="242" t="str">
        <f>'Program Descriptions'!C10</f>
        <v>Empty</v>
      </c>
      <c r="D12" s="404"/>
      <c r="E12" s="404"/>
      <c r="F12" s="404"/>
      <c r="H12" s="402"/>
      <c r="I12" s="402"/>
      <c r="J12" s="402">
        <v>0</v>
      </c>
      <c r="L12" s="4"/>
    </row>
    <row r="13" spans="2:12" ht="15" customHeight="1">
      <c r="B13" s="241">
        <v>7</v>
      </c>
      <c r="C13" s="242" t="str">
        <f>'Program Descriptions'!C11</f>
        <v>Empty</v>
      </c>
      <c r="D13" s="404"/>
      <c r="E13" s="404"/>
      <c r="F13" s="404"/>
      <c r="H13" s="402"/>
      <c r="I13" s="402"/>
      <c r="J13" s="402">
        <v>0</v>
      </c>
      <c r="L13" s="4"/>
    </row>
    <row r="14" spans="2:12" ht="15" customHeight="1">
      <c r="B14" s="241">
        <v>8</v>
      </c>
      <c r="C14" s="242" t="str">
        <f>'Program Descriptions'!C12</f>
        <v>Empty</v>
      </c>
      <c r="D14" s="404"/>
      <c r="E14" s="404"/>
      <c r="F14" s="404"/>
      <c r="H14" s="402"/>
      <c r="I14" s="402"/>
      <c r="J14" s="402">
        <v>0</v>
      </c>
      <c r="L14" s="4"/>
    </row>
    <row r="15" spans="2:12" ht="15" customHeight="1">
      <c r="B15" s="241">
        <v>9</v>
      </c>
      <c r="C15" s="242" t="str">
        <f>'Program Descriptions'!C13</f>
        <v>Empty</v>
      </c>
      <c r="D15" s="404"/>
      <c r="E15" s="404"/>
      <c r="F15" s="404"/>
      <c r="H15" s="402"/>
      <c r="I15" s="402"/>
      <c r="J15" s="402"/>
      <c r="L15" s="4"/>
    </row>
    <row r="16" spans="2:12" ht="15" customHeight="1">
      <c r="B16" s="241">
        <v>10</v>
      </c>
      <c r="C16" s="242" t="str">
        <f>'Program Descriptions'!C14</f>
        <v>Empty</v>
      </c>
      <c r="D16" s="404"/>
      <c r="E16" s="404"/>
      <c r="F16" s="404"/>
      <c r="H16" s="402"/>
      <c r="I16" s="402"/>
      <c r="J16" s="402"/>
      <c r="L16" s="4"/>
    </row>
    <row r="17" spans="2:12" ht="15" customHeight="1">
      <c r="B17" s="241">
        <v>11</v>
      </c>
      <c r="C17" s="242" t="str">
        <f>'Program Descriptions'!C15</f>
        <v>Empty</v>
      </c>
      <c r="D17" s="404"/>
      <c r="E17" s="404"/>
      <c r="F17" s="404"/>
      <c r="H17" s="402"/>
      <c r="I17" s="402"/>
      <c r="J17" s="402"/>
      <c r="L17" s="4"/>
    </row>
    <row r="18" spans="2:12" ht="15" customHeight="1">
      <c r="B18" s="241">
        <v>12</v>
      </c>
      <c r="C18" s="242" t="str">
        <f>'Program Descriptions'!C16</f>
        <v>Empty</v>
      </c>
      <c r="D18" s="404"/>
      <c r="E18" s="404"/>
      <c r="F18" s="404"/>
      <c r="H18" s="402"/>
      <c r="I18" s="402"/>
      <c r="J18" s="402"/>
      <c r="L18" s="4"/>
    </row>
    <row r="19" spans="2:12" ht="15" customHeight="1">
      <c r="B19" s="241">
        <v>13</v>
      </c>
      <c r="C19" s="242" t="str">
        <f>'Program Descriptions'!C17</f>
        <v>Empty</v>
      </c>
      <c r="D19" s="404"/>
      <c r="E19" s="404"/>
      <c r="F19" s="404"/>
      <c r="H19" s="402"/>
      <c r="I19" s="402"/>
      <c r="J19" s="402"/>
      <c r="L19" s="4"/>
    </row>
    <row r="20" spans="2:12" ht="15" customHeight="1">
      <c r="B20" s="241">
        <v>14</v>
      </c>
      <c r="C20" s="242" t="str">
        <f>'Program Descriptions'!C18</f>
        <v>Empty</v>
      </c>
      <c r="D20" s="404"/>
      <c r="E20" s="404"/>
      <c r="F20" s="404"/>
      <c r="H20" s="402"/>
      <c r="I20" s="402"/>
      <c r="J20" s="402"/>
      <c r="L20" s="4"/>
    </row>
    <row r="21" spans="2:12" ht="15" customHeight="1">
      <c r="B21" s="241">
        <v>15</v>
      </c>
      <c r="C21" s="242" t="str">
        <f>'Program Descriptions'!C19</f>
        <v>Empty</v>
      </c>
      <c r="D21" s="404"/>
      <c r="E21" s="404"/>
      <c r="F21" s="404"/>
      <c r="H21" s="402"/>
      <c r="I21" s="402"/>
      <c r="J21" s="402"/>
      <c r="L21" s="4"/>
    </row>
    <row r="22" spans="2:12" ht="15" customHeight="1">
      <c r="B22" s="241">
        <v>16</v>
      </c>
      <c r="C22" s="242" t="str">
        <f>'Program Descriptions'!C20</f>
        <v>Empty</v>
      </c>
      <c r="D22" s="404"/>
      <c r="E22" s="404"/>
      <c r="F22" s="404"/>
      <c r="H22" s="402"/>
      <c r="I22" s="402"/>
      <c r="J22" s="402"/>
      <c r="L22" s="4"/>
    </row>
    <row r="23" spans="2:12" ht="15" customHeight="1">
      <c r="B23" s="241">
        <v>17</v>
      </c>
      <c r="C23" s="242" t="str">
        <f>'Program Descriptions'!C21</f>
        <v>Empty</v>
      </c>
      <c r="D23" s="404"/>
      <c r="E23" s="404"/>
      <c r="F23" s="404"/>
      <c r="H23" s="403"/>
      <c r="I23" s="403"/>
      <c r="J23" s="403"/>
      <c r="L23" s="4"/>
    </row>
    <row r="24" spans="2:12" ht="15" customHeight="1">
      <c r="B24" s="241">
        <v>18</v>
      </c>
      <c r="C24" s="242" t="str">
        <f>'Program Descriptions'!C22</f>
        <v>Empty</v>
      </c>
      <c r="D24" s="404"/>
      <c r="E24" s="404"/>
      <c r="F24" s="404"/>
      <c r="H24" s="403"/>
      <c r="I24" s="403"/>
      <c r="J24" s="403"/>
      <c r="L24" s="4"/>
    </row>
    <row r="25" spans="2:12" ht="15" customHeight="1">
      <c r="B25" s="241">
        <v>19</v>
      </c>
      <c r="C25" s="242" t="str">
        <f>'Program Descriptions'!C23</f>
        <v>Empty</v>
      </c>
      <c r="D25" s="404"/>
      <c r="E25" s="404"/>
      <c r="F25" s="404"/>
      <c r="H25" s="403"/>
      <c r="I25" s="403"/>
      <c r="J25" s="403"/>
      <c r="L25" s="4"/>
    </row>
    <row r="26" spans="2:12" ht="15" customHeight="1" thickBot="1">
      <c r="B26" s="241">
        <v>20</v>
      </c>
      <c r="C26" s="242" t="str">
        <f>'Program Descriptions'!C24</f>
        <v>Empty</v>
      </c>
      <c r="D26" s="615"/>
      <c r="E26" s="615"/>
      <c r="F26" s="615"/>
      <c r="H26" s="616"/>
      <c r="I26" s="616"/>
      <c r="J26" s="616"/>
      <c r="L26" s="4"/>
    </row>
    <row r="27" spans="2:12" ht="15" customHeight="1">
      <c r="B27" s="3"/>
      <c r="C27" s="245" t="s">
        <v>146</v>
      </c>
      <c r="D27" s="539">
        <f>SUM(D7:D26)</f>
        <v>3049486</v>
      </c>
      <c r="E27" s="539">
        <f>SUM(E7:E26)</f>
        <v>0</v>
      </c>
      <c r="F27" s="539">
        <f>SUM(F7:F26)</f>
        <v>0</v>
      </c>
      <c r="H27" s="533">
        <f>SUM(H7:H26)</f>
        <v>0</v>
      </c>
      <c r="I27" s="533">
        <f>SUM(I7:I26)</f>
        <v>0</v>
      </c>
      <c r="J27" s="533">
        <f>SUM(J7:J26)</f>
        <v>0</v>
      </c>
      <c r="L27" s="4"/>
    </row>
    <row r="28" spans="2:12" ht="15" customHeight="1">
      <c r="B28" s="3"/>
      <c r="L28" s="4"/>
    </row>
    <row r="29" spans="2:12" ht="15" customHeight="1">
      <c r="B29" s="3"/>
      <c r="D29" s="733" t="str">
        <f>D5</f>
        <v>2025 LCFC Energy Savings (Therms)</v>
      </c>
      <c r="E29" s="733"/>
      <c r="F29" s="733"/>
      <c r="H29" s="733" t="str">
        <f>H5</f>
        <v>2025 LCFC Cost Recovery ($)</v>
      </c>
      <c r="I29" s="733"/>
      <c r="J29" s="733"/>
      <c r="L29" s="4"/>
    </row>
    <row r="30" spans="2:12">
      <c r="B30" s="3"/>
      <c r="D30" s="27">
        <f>D6</f>
        <v>2025</v>
      </c>
      <c r="E30" s="27">
        <f>E6</f>
        <v>2024</v>
      </c>
      <c r="F30" s="27" t="str">
        <f>F6</f>
        <v>Prior to 2024</v>
      </c>
      <c r="I30" s="27">
        <f>I6</f>
        <v>2024</v>
      </c>
      <c r="J30" s="27" t="str">
        <f>J6</f>
        <v>Prior to 2024</v>
      </c>
      <c r="L30" s="4"/>
    </row>
    <row r="31" spans="2:12" ht="15" customHeight="1">
      <c r="B31" s="3"/>
      <c r="C31" s="295" t="s">
        <v>358</v>
      </c>
      <c r="D31" s="380" t="s">
        <v>101</v>
      </c>
      <c r="E31" s="404">
        <v>0</v>
      </c>
      <c r="F31" s="404">
        <v>0</v>
      </c>
      <c r="H31" s="380" t="s">
        <v>101</v>
      </c>
      <c r="I31" s="402"/>
      <c r="J31" s="402">
        <v>0</v>
      </c>
      <c r="L31" s="4"/>
    </row>
    <row r="32" spans="2:12" ht="15" customHeight="1">
      <c r="B32" s="3"/>
      <c r="C32" s="242"/>
      <c r="L32" s="4"/>
    </row>
    <row r="33" spans="2:12" ht="15" customHeight="1">
      <c r="B33" s="3"/>
      <c r="I33" s="56" t="str">
        <f>"Total LCFC Recovery for Program Year "&amp;D6&amp;":"</f>
        <v>Total LCFC Recovery for Program Year 2025:</v>
      </c>
      <c r="J33" s="10">
        <f>H27+I27+J27+I31+J31</f>
        <v>0</v>
      </c>
      <c r="L33" s="4"/>
    </row>
    <row r="34" spans="2:12" ht="15" customHeight="1">
      <c r="B34" s="3"/>
      <c r="I34" s="56"/>
      <c r="J34" s="10"/>
      <c r="L34" s="4"/>
    </row>
    <row r="35" spans="2:12" ht="15" customHeight="1">
      <c r="B35" s="3"/>
      <c r="E35" s="296" t="s">
        <v>359</v>
      </c>
      <c r="F35" s="294" t="s">
        <v>360</v>
      </c>
      <c r="I35" s="56"/>
      <c r="J35" s="10"/>
      <c r="L35" s="4"/>
    </row>
    <row r="36" spans="2:12" ht="15" customHeight="1">
      <c r="B36" s="3"/>
      <c r="E36" s="296" t="s">
        <v>361</v>
      </c>
      <c r="F36" s="405"/>
      <c r="L36" s="4"/>
    </row>
    <row r="37" spans="2:12" ht="15" customHeight="1">
      <c r="B37" s="5"/>
      <c r="C37" s="6"/>
      <c r="D37" s="6"/>
      <c r="E37" s="6"/>
      <c r="F37" s="6"/>
      <c r="G37" s="6"/>
      <c r="H37" s="6"/>
      <c r="I37" s="6"/>
      <c r="J37" s="6"/>
      <c r="K37" s="6"/>
      <c r="L37" s="7"/>
    </row>
    <row r="38" spans="2:12" ht="15" customHeight="1">
      <c r="C38" s="2" t="s">
        <v>362</v>
      </c>
    </row>
    <row r="39" spans="2:12" ht="15" customHeight="1"/>
    <row r="40" spans="2:12" ht="15" customHeight="1"/>
    <row r="41" spans="2:12" ht="15" customHeight="1"/>
    <row r="42" spans="2:12" ht="15" customHeight="1"/>
    <row r="43" spans="2:12" ht="15" customHeight="1"/>
    <row r="44" spans="2:12" ht="15" customHeight="1"/>
    <row r="45" spans="2:12" ht="15" customHeight="1"/>
    <row r="46" spans="2:12" ht="15" customHeight="1"/>
    <row r="47" spans="2:12" ht="15" customHeight="1"/>
    <row r="48" spans="2: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sheetData>
  <sheetProtection password="C925" sheet="1" objects="1" scenarios="1" formatRows="0"/>
  <mergeCells count="5">
    <mergeCell ref="D5:F5"/>
    <mergeCell ref="H5:J5"/>
    <mergeCell ref="C4:J4"/>
    <mergeCell ref="D29:F29"/>
    <mergeCell ref="H29:J29"/>
  </mergeCells>
  <conditionalFormatting sqref="D7:F26 H7:J26">
    <cfRule type="expression" dxfId="18" priority="1">
      <formula>$B7&gt;Programs</formula>
    </cfRule>
  </conditionalFormatting>
  <dataValidations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O109"/>
  <sheetViews>
    <sheetView showGridLines="0" showRowColHeaders="0" zoomScale="130" zoomScaleNormal="130" workbookViewId="0">
      <pane ySplit="2" topLeftCell="A15" activePane="bottomLeft" state="frozen"/>
      <selection pane="bottomLeft" activeCell="A3" sqref="A3"/>
    </sheetView>
  </sheetViews>
  <sheetFormatPr defaultColWidth="9.140625" defaultRowHeight="12.75"/>
  <cols>
    <col min="1" max="1" width="1" style="2" customWidth="1"/>
    <col min="2" max="2" width="3.7109375" style="2" customWidth="1"/>
    <col min="3" max="3" width="28.5703125" style="2" customWidth="1"/>
    <col min="4" max="6" width="12.140625" style="2" customWidth="1"/>
    <col min="7" max="7" width="3.85546875" style="2" customWidth="1"/>
    <col min="8" max="8" width="23" style="2" customWidth="1"/>
    <col min="9" max="11" width="12.140625" style="2" customWidth="1"/>
    <col min="12" max="12" width="1.140625" style="2" customWidth="1"/>
    <col min="13" max="13" width="1" style="2" customWidth="1"/>
    <col min="14" max="14" width="16" style="2" customWidth="1"/>
    <col min="15" max="15" width="0" style="2" hidden="1" customWidth="1"/>
    <col min="16" max="16384" width="9.140625" style="2"/>
  </cols>
  <sheetData>
    <row r="1" spans="2:15" ht="28.5" customHeight="1"/>
    <row r="2" spans="2:15" ht="64.5" customHeight="1">
      <c r="B2" s="400"/>
      <c r="C2" s="614"/>
      <c r="D2" s="614"/>
      <c r="E2" s="614"/>
      <c r="F2" s="614"/>
      <c r="G2" s="614"/>
      <c r="H2" s="614"/>
      <c r="I2" s="614"/>
      <c r="J2" s="614"/>
      <c r="K2" s="614"/>
      <c r="L2" s="401"/>
    </row>
    <row r="3" spans="2:15" ht="11.25" customHeight="1">
      <c r="B3" s="609"/>
      <c r="C3" s="313" t="str">
        <f>IF(O7&gt;0,"Incomplete - All yellow shaded cells must be completed.","")</f>
        <v/>
      </c>
      <c r="D3" s="610"/>
      <c r="E3" s="610"/>
      <c r="F3" s="610"/>
      <c r="G3" s="610"/>
      <c r="H3" s="610"/>
      <c r="I3" s="610"/>
      <c r="J3" s="610"/>
      <c r="K3" s="610"/>
      <c r="L3" s="611"/>
    </row>
    <row r="4" spans="2:15" ht="15" customHeight="1">
      <c r="B4" s="57" t="s">
        <v>363</v>
      </c>
      <c r="G4" s="58" t="s">
        <v>364</v>
      </c>
      <c r="L4" s="4"/>
    </row>
    <row r="5" spans="2:15" ht="15" customHeight="1">
      <c r="B5" s="241">
        <v>1</v>
      </c>
      <c r="C5" s="2" t="str">
        <f>INDEX(Targets,MATCH(D12,Target_Year,0),3)&amp;" Annual Energy Sales"</f>
        <v>2022 Annual Energy Sales</v>
      </c>
      <c r="D5" s="404">
        <v>615588210</v>
      </c>
      <c r="E5" s="250" t="str">
        <f>Energy_2</f>
        <v>Therms</v>
      </c>
      <c r="G5" s="249">
        <v>1</v>
      </c>
      <c r="H5" s="2" t="s">
        <v>365</v>
      </c>
      <c r="I5" s="381">
        <f>'Rec1'!E26</f>
        <v>12910070</v>
      </c>
      <c r="L5" s="4"/>
      <c r="O5" s="2">
        <f>IF(ISBLANK(D5),1,0)</f>
        <v>0</v>
      </c>
    </row>
    <row r="6" spans="2:15" ht="15" customHeight="1">
      <c r="B6" s="241">
        <v>2</v>
      </c>
      <c r="C6" s="2" t="s">
        <v>366</v>
      </c>
      <c r="D6" s="404">
        <v>85657380</v>
      </c>
      <c r="E6" s="250" t="str">
        <f>E5</f>
        <v>Therms</v>
      </c>
      <c r="G6" s="249">
        <v>2</v>
      </c>
      <c r="H6" s="2" t="s">
        <v>367</v>
      </c>
      <c r="I6" s="381">
        <f>'Actual Expenses'!J91</f>
        <v>10370539.26</v>
      </c>
      <c r="L6" s="4"/>
      <c r="O6" s="2">
        <f>IF(ISBLANK(D6),1,0)</f>
        <v>0</v>
      </c>
    </row>
    <row r="7" spans="2:15" ht="15" customHeight="1">
      <c r="B7" s="3"/>
      <c r="C7" s="251" t="s">
        <v>368</v>
      </c>
      <c r="D7" s="113">
        <f>D5-D6</f>
        <v>529930830</v>
      </c>
      <c r="E7" s="250" t="str">
        <f>E5</f>
        <v>Therms</v>
      </c>
      <c r="G7" s="249">
        <v>3</v>
      </c>
      <c r="H7" s="2" t="str">
        <f>E5&amp;" Achieved"</f>
        <v>Therms Achieved</v>
      </c>
      <c r="I7" s="382">
        <f>IF(Titles!F13=Titles!B24,'Evaluated Savings'!E26/1000,'Evaluated Savings'!E26)</f>
        <v>3639823.76</v>
      </c>
      <c r="L7" s="4"/>
      <c r="O7" s="2">
        <f>SUM(O5:O6)</f>
        <v>0</v>
      </c>
    </row>
    <row r="8" spans="2:15" ht="24.95" customHeight="1">
      <c r="B8" s="16"/>
      <c r="G8" s="249">
        <v>4</v>
      </c>
      <c r="H8" s="2" t="s">
        <v>369</v>
      </c>
      <c r="I8" s="381">
        <f>'Cost-Benefits'!I27*1000</f>
        <v>13565076.799999999</v>
      </c>
      <c r="L8" s="4"/>
    </row>
    <row r="9" spans="2:15" ht="15" customHeight="1">
      <c r="B9" s="57"/>
      <c r="L9" s="4"/>
    </row>
    <row r="10" spans="2:15" ht="15" customHeight="1">
      <c r="B10" s="3"/>
      <c r="L10" s="4"/>
    </row>
    <row r="11" spans="2:15" ht="15" customHeight="1">
      <c r="B11" s="3"/>
      <c r="L11" s="4"/>
    </row>
    <row r="12" spans="2:15" ht="15" customHeight="1">
      <c r="B12" s="57" t="s">
        <v>370</v>
      </c>
      <c r="D12" s="27">
        <f>Prg_Year</f>
        <v>2025</v>
      </c>
      <c r="F12" s="331" t="s">
        <v>371</v>
      </c>
      <c r="L12" s="4"/>
    </row>
    <row r="13" spans="2:15" ht="15" customHeight="1">
      <c r="B13" s="241">
        <v>1</v>
      </c>
      <c r="C13" s="2" t="str">
        <f>"Energy Baseline"&amp;" ("&amp;E5&amp;")"</f>
        <v>Energy Baseline (Therms)</v>
      </c>
      <c r="D13" s="60">
        <f>D7</f>
        <v>529930830</v>
      </c>
      <c r="F13" s="330">
        <f>I7/D7</f>
        <v>6.8684884025335905E-3</v>
      </c>
      <c r="G13" s="2" t="str">
        <f>"of "&amp;C5&amp;" adjusted for self-direct."</f>
        <v>of 2022 Annual Energy Sales adjusted for self-direct.</v>
      </c>
      <c r="L13" s="4"/>
    </row>
    <row r="14" spans="2:15" ht="15" customHeight="1">
      <c r="B14" s="241">
        <f>B13+1</f>
        <v>2</v>
      </c>
      <c r="C14" s="2" t="s">
        <v>372</v>
      </c>
      <c r="D14" s="59">
        <f>INDEX(Targets,MATCH(D12,Target_Year,0),MATCH(Titles!$E$12,Target_Type,0))</f>
        <v>5.0000000000000001E-3</v>
      </c>
      <c r="F14" s="330">
        <f>I7/D5</f>
        <v>5.9127574259422539E-3</v>
      </c>
      <c r="G14" s="2" t="str">
        <f>"of unadjusted "&amp;C5&amp;"."</f>
        <v>of unadjusted 2022 Annual Energy Sales.</v>
      </c>
      <c r="L14" s="4"/>
    </row>
    <row r="15" spans="2:15" ht="15" customHeight="1">
      <c r="B15" s="241">
        <f t="shared" ref="B15:B20" si="0">B14+1</f>
        <v>3</v>
      </c>
      <c r="C15" s="2" t="str">
        <f>E5&amp;" Goal"</f>
        <v>Therms Goal</v>
      </c>
      <c r="D15" s="60">
        <f>D13*D14</f>
        <v>2649654.15</v>
      </c>
      <c r="F15" s="330">
        <f>I7/'Utility Information'!F11</f>
        <v>6.244100643170076E-3</v>
      </c>
      <c r="G15" s="2" t="str">
        <f>"of "&amp;Prg_Year&amp; " retail sales."</f>
        <v>of 2025 retail sales.</v>
      </c>
      <c r="L15" s="4"/>
    </row>
    <row r="16" spans="2:15" ht="15" customHeight="1">
      <c r="B16" s="241">
        <f t="shared" si="0"/>
        <v>4</v>
      </c>
      <c r="C16" s="2" t="str">
        <f>H7</f>
        <v>Therms Achieved</v>
      </c>
      <c r="D16" s="60">
        <f>I7</f>
        <v>3639823.76</v>
      </c>
      <c r="L16" s="4"/>
    </row>
    <row r="17" spans="2:12" ht="15" customHeight="1">
      <c r="B17" s="241">
        <f t="shared" si="0"/>
        <v>5</v>
      </c>
      <c r="C17" s="2" t="s">
        <v>373</v>
      </c>
      <c r="D17" s="59">
        <f>ROUND(D16/D15,2)</f>
        <v>1.37</v>
      </c>
      <c r="L17" s="4"/>
    </row>
    <row r="18" spans="2:12" ht="15" customHeight="1">
      <c r="B18" s="241">
        <f t="shared" si="0"/>
        <v>6</v>
      </c>
      <c r="C18" s="2" t="s">
        <v>374</v>
      </c>
      <c r="D18" s="62">
        <f>0.1*I8</f>
        <v>1356507.68</v>
      </c>
      <c r="L18" s="4"/>
    </row>
    <row r="19" spans="2:12" ht="15" customHeight="1">
      <c r="B19" s="241">
        <f t="shared" si="0"/>
        <v>7</v>
      </c>
      <c r="C19" s="2" t="s">
        <v>375</v>
      </c>
      <c r="D19" s="61">
        <f>IF(D17&lt;80%,0,IF(D17&gt;=120%,8%,((D17-80%)/10)+4%))</f>
        <v>0.08</v>
      </c>
      <c r="E19" s="61"/>
      <c r="L19" s="4"/>
    </row>
    <row r="20" spans="2:12" ht="15" customHeight="1">
      <c r="B20" s="241">
        <f t="shared" si="0"/>
        <v>8</v>
      </c>
      <c r="C20" s="2" t="s">
        <v>376</v>
      </c>
      <c r="D20" s="62">
        <f>D19*I5</f>
        <v>1032805.6</v>
      </c>
      <c r="L20" s="4"/>
    </row>
    <row r="21" spans="2:12" ht="15" customHeight="1" thickBot="1">
      <c r="B21" s="3"/>
      <c r="C21" s="63" t="s">
        <v>377</v>
      </c>
      <c r="D21" s="465">
        <f>IF(D18&lt;D20,D18,D20)</f>
        <v>1032805.6</v>
      </c>
      <c r="L21" s="4"/>
    </row>
    <row r="22" spans="2:12" ht="15" customHeight="1" thickTop="1">
      <c r="B22" s="5"/>
      <c r="C22" s="6"/>
      <c r="D22" s="6"/>
      <c r="E22" s="6"/>
      <c r="F22" s="6"/>
      <c r="G22" s="6"/>
      <c r="H22" s="6"/>
      <c r="I22" s="6"/>
      <c r="J22" s="6"/>
      <c r="K22" s="6"/>
      <c r="L22" s="7"/>
    </row>
    <row r="23" spans="2:12" ht="15" customHeight="1"/>
    <row r="24" spans="2: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sheetData>
  <sheetProtection algorithmName="SHA-512" hashValue="AWkg+/zk4nRM2udJYvjJ1mTJyzBVf63+0LSo7dspT2N4+7HUbNuXfLZmyomHm2AZ/sIM0xdIepQVR7ljipapmQ==" saltValue="/3W1yYoZa+lNRcfyGXokgg==" spinCount="100000" sheet="1" objects="1" scenarios="1" formatRows="0"/>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412D-55FE-49DA-88D2-825139F7BEFD}">
  <dimension ref="B2:W51"/>
  <sheetViews>
    <sheetView topLeftCell="A8" zoomScale="90" zoomScaleNormal="90" workbookViewId="0">
      <selection activeCell="D5" sqref="D5"/>
    </sheetView>
  </sheetViews>
  <sheetFormatPr defaultColWidth="9.140625" defaultRowHeight="15"/>
  <cols>
    <col min="1" max="1" width="9.140625" style="476"/>
    <col min="2" max="2" width="16.7109375" style="476" bestFit="1" customWidth="1"/>
    <col min="3" max="3" width="29.85546875" style="476" bestFit="1" customWidth="1"/>
    <col min="4" max="23" width="17.42578125" style="476" customWidth="1"/>
    <col min="24" max="16384" width="9.140625" style="476"/>
  </cols>
  <sheetData>
    <row r="2" spans="2:23" ht="15.75" thickBot="1"/>
    <row r="3" spans="2:23" ht="30" customHeight="1" thickBot="1">
      <c r="C3" s="735" t="s">
        <v>378</v>
      </c>
      <c r="D3" s="737" t="s">
        <v>379</v>
      </c>
      <c r="E3" s="738"/>
      <c r="F3" s="737" t="s">
        <v>380</v>
      </c>
      <c r="G3" s="738"/>
      <c r="H3" s="739" t="s">
        <v>381</v>
      </c>
      <c r="L3" s="477" t="s">
        <v>382</v>
      </c>
    </row>
    <row r="4" spans="2:23" ht="16.5" thickBot="1">
      <c r="C4" s="736"/>
      <c r="D4" s="478" t="s">
        <v>383</v>
      </c>
      <c r="E4" s="478" t="s">
        <v>384</v>
      </c>
      <c r="F4" s="479" t="s">
        <v>383</v>
      </c>
      <c r="G4" s="479" t="s">
        <v>384</v>
      </c>
      <c r="H4" s="740"/>
      <c r="K4" s="476" t="s">
        <v>385</v>
      </c>
      <c r="L4" s="480">
        <v>0</v>
      </c>
    </row>
    <row r="5" spans="2:23" ht="15.75" thickBot="1">
      <c r="C5" s="481" t="s">
        <v>386</v>
      </c>
      <c r="D5" s="482">
        <v>247706</v>
      </c>
      <c r="E5" s="482">
        <v>247706</v>
      </c>
      <c r="F5" s="482">
        <v>3662834</v>
      </c>
      <c r="G5" s="482">
        <v>3662834</v>
      </c>
      <c r="H5" s="483">
        <f>G5/E5</f>
        <v>14.787021711222174</v>
      </c>
      <c r="K5" s="476" t="s">
        <v>387</v>
      </c>
      <c r="L5" s="480">
        <v>2.7E-2</v>
      </c>
    </row>
    <row r="6" spans="2:23" ht="15.75" thickBot="1">
      <c r="C6" s="481" t="s">
        <v>388</v>
      </c>
      <c r="D6" s="482">
        <v>73115</v>
      </c>
      <c r="E6" s="482">
        <v>77455</v>
      </c>
      <c r="F6" s="482">
        <v>1443078</v>
      </c>
      <c r="G6" s="482">
        <v>1528736</v>
      </c>
      <c r="H6" s="483">
        <f t="shared" ref="H6:H14" si="0">G6/E6</f>
        <v>19.737086049964496</v>
      </c>
      <c r="K6" s="476" t="s">
        <v>389</v>
      </c>
      <c r="L6" s="480">
        <v>0.08</v>
      </c>
    </row>
    <row r="7" spans="2:23" ht="15.75" thickBot="1">
      <c r="C7" s="481" t="s">
        <v>390</v>
      </c>
      <c r="D7" s="482">
        <v>52301</v>
      </c>
      <c r="E7" s="482">
        <v>52301</v>
      </c>
      <c r="F7" s="482">
        <v>1046025</v>
      </c>
      <c r="G7" s="482">
        <v>1046025</v>
      </c>
      <c r="H7" s="483">
        <f t="shared" si="0"/>
        <v>20.00009560046653</v>
      </c>
    </row>
    <row r="8" spans="2:23" ht="15.75" thickBot="1">
      <c r="C8" s="481" t="s">
        <v>391</v>
      </c>
      <c r="D8" s="482">
        <v>1804635</v>
      </c>
      <c r="E8" s="482">
        <v>1774006</v>
      </c>
      <c r="F8" s="482">
        <v>25484325</v>
      </c>
      <c r="G8" s="482">
        <v>24801798</v>
      </c>
      <c r="H8" s="483">
        <f t="shared" si="0"/>
        <v>13.980673120609513</v>
      </c>
      <c r="K8" s="476" t="s">
        <v>290</v>
      </c>
      <c r="L8" s="484">
        <v>4.6899999999999997E-2</v>
      </c>
    </row>
    <row r="9" spans="2:23" ht="15.75" thickBot="1">
      <c r="C9" s="481" t="s">
        <v>392</v>
      </c>
      <c r="D9" s="482">
        <v>18747</v>
      </c>
      <c r="E9" s="482">
        <v>21283</v>
      </c>
      <c r="F9" s="482">
        <v>224959</v>
      </c>
      <c r="G9" s="482">
        <v>255397</v>
      </c>
      <c r="H9" s="483">
        <f t="shared" si="0"/>
        <v>12.000046985857256</v>
      </c>
    </row>
    <row r="10" spans="2:23" ht="15.75" thickBot="1">
      <c r="C10" s="481" t="s">
        <v>393</v>
      </c>
      <c r="D10" s="482">
        <v>1096289</v>
      </c>
      <c r="E10" s="482">
        <v>1096289</v>
      </c>
      <c r="F10" s="482">
        <v>1096289</v>
      </c>
      <c r="G10" s="482">
        <v>1096289</v>
      </c>
      <c r="H10" s="483">
        <f t="shared" si="0"/>
        <v>1</v>
      </c>
    </row>
    <row r="11" spans="2:23" ht="15.75" thickBot="1">
      <c r="C11" s="481" t="s">
        <v>394</v>
      </c>
      <c r="D11" s="482">
        <v>8950</v>
      </c>
      <c r="E11" s="482">
        <v>8950</v>
      </c>
      <c r="F11" s="482">
        <v>89503</v>
      </c>
      <c r="G11" s="482">
        <v>89503</v>
      </c>
      <c r="H11" s="483">
        <f t="shared" si="0"/>
        <v>10.000335195530726</v>
      </c>
    </row>
    <row r="12" spans="2:23" ht="15.75" thickBot="1">
      <c r="C12" s="485" t="s">
        <v>395</v>
      </c>
      <c r="D12" s="486">
        <v>426245</v>
      </c>
      <c r="E12" s="486">
        <v>398991</v>
      </c>
      <c r="F12" s="486">
        <v>7316509</v>
      </c>
      <c r="G12" s="486">
        <v>6848691</v>
      </c>
      <c r="H12" s="483">
        <f t="shared" si="0"/>
        <v>17.165026278788243</v>
      </c>
    </row>
    <row r="13" spans="2:23">
      <c r="C13" s="487" t="s">
        <v>396</v>
      </c>
      <c r="D13" s="488">
        <v>48031</v>
      </c>
      <c r="E13" s="488">
        <v>49170</v>
      </c>
      <c r="F13" s="488">
        <v>852945</v>
      </c>
      <c r="G13" s="488">
        <v>873175</v>
      </c>
      <c r="H13" s="489">
        <f t="shared" si="0"/>
        <v>17.758287573723816</v>
      </c>
    </row>
    <row r="14" spans="2:23">
      <c r="C14" s="487" t="s">
        <v>145</v>
      </c>
      <c r="D14" s="488">
        <v>3776020</v>
      </c>
      <c r="E14" s="488">
        <v>3726152</v>
      </c>
      <c r="F14" s="488">
        <v>41216466</v>
      </c>
      <c r="G14" s="488">
        <v>40242447</v>
      </c>
      <c r="H14" s="489">
        <f t="shared" si="0"/>
        <v>10.800001449216243</v>
      </c>
    </row>
    <row r="16" spans="2:23">
      <c r="B16" s="490"/>
      <c r="C16" s="490"/>
      <c r="D16" s="490"/>
      <c r="E16" s="490"/>
      <c r="F16" s="490"/>
      <c r="G16" s="490"/>
      <c r="H16" s="490"/>
      <c r="I16" s="490"/>
      <c r="J16" s="490"/>
      <c r="K16" s="490"/>
      <c r="L16" s="490"/>
      <c r="M16" s="490"/>
      <c r="N16" s="490"/>
      <c r="O16" s="490"/>
      <c r="P16" s="490"/>
      <c r="Q16" s="490"/>
      <c r="R16" s="490"/>
      <c r="S16" s="490"/>
      <c r="T16" s="490"/>
      <c r="U16" s="490"/>
      <c r="V16" s="490"/>
      <c r="W16" s="490"/>
    </row>
    <row r="17" spans="2:23">
      <c r="B17" s="491" t="s">
        <v>397</v>
      </c>
      <c r="C17" s="492" t="s">
        <v>385</v>
      </c>
      <c r="D17" s="491">
        <v>2022</v>
      </c>
      <c r="E17" s="491">
        <f>D17+1</f>
        <v>2023</v>
      </c>
      <c r="F17" s="491">
        <f t="shared" ref="F17:W17" si="1">E17+1</f>
        <v>2024</v>
      </c>
      <c r="G17" s="491">
        <f t="shared" si="1"/>
        <v>2025</v>
      </c>
      <c r="H17" s="491">
        <f t="shared" si="1"/>
        <v>2026</v>
      </c>
      <c r="I17" s="491">
        <f t="shared" si="1"/>
        <v>2027</v>
      </c>
      <c r="J17" s="491">
        <f t="shared" si="1"/>
        <v>2028</v>
      </c>
      <c r="K17" s="491">
        <f t="shared" si="1"/>
        <v>2029</v>
      </c>
      <c r="L17" s="491">
        <f t="shared" si="1"/>
        <v>2030</v>
      </c>
      <c r="M17" s="491">
        <f t="shared" si="1"/>
        <v>2031</v>
      </c>
      <c r="N17" s="491">
        <f t="shared" si="1"/>
        <v>2032</v>
      </c>
      <c r="O17" s="491">
        <f t="shared" si="1"/>
        <v>2033</v>
      </c>
      <c r="P17" s="491">
        <f t="shared" si="1"/>
        <v>2034</v>
      </c>
      <c r="Q17" s="491">
        <f t="shared" si="1"/>
        <v>2035</v>
      </c>
      <c r="R17" s="491">
        <f t="shared" si="1"/>
        <v>2036</v>
      </c>
      <c r="S17" s="491">
        <f t="shared" si="1"/>
        <v>2037</v>
      </c>
      <c r="T17" s="491">
        <f t="shared" si="1"/>
        <v>2038</v>
      </c>
      <c r="U17" s="491">
        <f t="shared" si="1"/>
        <v>2039</v>
      </c>
      <c r="V17" s="491">
        <f t="shared" si="1"/>
        <v>2040</v>
      </c>
      <c r="W17" s="491">
        <f t="shared" si="1"/>
        <v>2041</v>
      </c>
    </row>
    <row r="18" spans="2:23">
      <c r="B18" s="493">
        <f>NPV($L$8,D18:W18)</f>
        <v>0</v>
      </c>
      <c r="C18" s="494" t="s">
        <v>386</v>
      </c>
      <c r="D18" s="495">
        <f>IF(D$17-$D$17&lt;=$H5,$L$4*$E5,0)</f>
        <v>0</v>
      </c>
      <c r="E18" s="495">
        <f t="shared" ref="E18:W18" si="2">IF(E$17-$D$17&lt;=$H5,$L$4*$E5,0)</f>
        <v>0</v>
      </c>
      <c r="F18" s="495">
        <f t="shared" si="2"/>
        <v>0</v>
      </c>
      <c r="G18" s="495">
        <f t="shared" si="2"/>
        <v>0</v>
      </c>
      <c r="H18" s="495">
        <f t="shared" si="2"/>
        <v>0</v>
      </c>
      <c r="I18" s="495">
        <f t="shared" si="2"/>
        <v>0</v>
      </c>
      <c r="J18" s="495">
        <f t="shared" si="2"/>
        <v>0</v>
      </c>
      <c r="K18" s="495">
        <f t="shared" si="2"/>
        <v>0</v>
      </c>
      <c r="L18" s="495">
        <f t="shared" si="2"/>
        <v>0</v>
      </c>
      <c r="M18" s="495">
        <f t="shared" si="2"/>
        <v>0</v>
      </c>
      <c r="N18" s="495">
        <f t="shared" si="2"/>
        <v>0</v>
      </c>
      <c r="O18" s="495">
        <f t="shared" si="2"/>
        <v>0</v>
      </c>
      <c r="P18" s="495">
        <f t="shared" si="2"/>
        <v>0</v>
      </c>
      <c r="Q18" s="495">
        <f t="shared" si="2"/>
        <v>0</v>
      </c>
      <c r="R18" s="495">
        <f t="shared" si="2"/>
        <v>0</v>
      </c>
      <c r="S18" s="495">
        <f t="shared" si="2"/>
        <v>0</v>
      </c>
      <c r="T18" s="495">
        <f t="shared" si="2"/>
        <v>0</v>
      </c>
      <c r="U18" s="495">
        <f t="shared" si="2"/>
        <v>0</v>
      </c>
      <c r="V18" s="495">
        <f t="shared" si="2"/>
        <v>0</v>
      </c>
      <c r="W18" s="495">
        <f t="shared" si="2"/>
        <v>0</v>
      </c>
    </row>
    <row r="19" spans="2:23">
      <c r="B19" s="493">
        <f t="shared" ref="B19:B27" si="3">NPV($L$8,D19:W19)</f>
        <v>0</v>
      </c>
      <c r="C19" s="494" t="s">
        <v>388</v>
      </c>
      <c r="D19" s="495">
        <f t="shared" ref="D19:W26" si="4">IF(D$17-$D$17&lt;=$H6,$L$4*$E6,0)</f>
        <v>0</v>
      </c>
      <c r="E19" s="495">
        <f t="shared" si="4"/>
        <v>0</v>
      </c>
      <c r="F19" s="495">
        <f t="shared" si="4"/>
        <v>0</v>
      </c>
      <c r="G19" s="495">
        <f t="shared" si="4"/>
        <v>0</v>
      </c>
      <c r="H19" s="495">
        <f t="shared" si="4"/>
        <v>0</v>
      </c>
      <c r="I19" s="495">
        <f t="shared" si="4"/>
        <v>0</v>
      </c>
      <c r="J19" s="495">
        <f t="shared" si="4"/>
        <v>0</v>
      </c>
      <c r="K19" s="495">
        <f t="shared" si="4"/>
        <v>0</v>
      </c>
      <c r="L19" s="495">
        <f t="shared" si="4"/>
        <v>0</v>
      </c>
      <c r="M19" s="495">
        <f t="shared" si="4"/>
        <v>0</v>
      </c>
      <c r="N19" s="495">
        <f t="shared" si="4"/>
        <v>0</v>
      </c>
      <c r="O19" s="495">
        <f t="shared" si="4"/>
        <v>0</v>
      </c>
      <c r="P19" s="495">
        <f t="shared" si="4"/>
        <v>0</v>
      </c>
      <c r="Q19" s="495">
        <f t="shared" si="4"/>
        <v>0</v>
      </c>
      <c r="R19" s="495">
        <f t="shared" si="4"/>
        <v>0</v>
      </c>
      <c r="S19" s="495">
        <f t="shared" si="4"/>
        <v>0</v>
      </c>
      <c r="T19" s="495">
        <f t="shared" si="4"/>
        <v>0</v>
      </c>
      <c r="U19" s="495">
        <f t="shared" si="4"/>
        <v>0</v>
      </c>
      <c r="V19" s="495">
        <f t="shared" si="4"/>
        <v>0</v>
      </c>
      <c r="W19" s="495">
        <f t="shared" si="4"/>
        <v>0</v>
      </c>
    </row>
    <row r="20" spans="2:23">
      <c r="B20" s="493">
        <f t="shared" si="3"/>
        <v>0</v>
      </c>
      <c r="C20" s="494" t="s">
        <v>390</v>
      </c>
      <c r="D20" s="495">
        <f t="shared" si="4"/>
        <v>0</v>
      </c>
      <c r="E20" s="495">
        <f t="shared" si="4"/>
        <v>0</v>
      </c>
      <c r="F20" s="495">
        <f>IF(F$17-$D$17&lt;=$H7,$L$4*$E7,0)</f>
        <v>0</v>
      </c>
      <c r="G20" s="495">
        <f t="shared" si="4"/>
        <v>0</v>
      </c>
      <c r="H20" s="495">
        <f t="shared" si="4"/>
        <v>0</v>
      </c>
      <c r="I20" s="495">
        <f t="shared" si="4"/>
        <v>0</v>
      </c>
      <c r="J20" s="495">
        <f t="shared" si="4"/>
        <v>0</v>
      </c>
      <c r="K20" s="495">
        <f t="shared" si="4"/>
        <v>0</v>
      </c>
      <c r="L20" s="495">
        <f t="shared" si="4"/>
        <v>0</v>
      </c>
      <c r="M20" s="495">
        <f t="shared" si="4"/>
        <v>0</v>
      </c>
      <c r="N20" s="495">
        <f t="shared" si="4"/>
        <v>0</v>
      </c>
      <c r="O20" s="495">
        <f t="shared" si="4"/>
        <v>0</v>
      </c>
      <c r="P20" s="495">
        <f t="shared" si="4"/>
        <v>0</v>
      </c>
      <c r="Q20" s="495">
        <f t="shared" si="4"/>
        <v>0</v>
      </c>
      <c r="R20" s="495">
        <f t="shared" si="4"/>
        <v>0</v>
      </c>
      <c r="S20" s="495">
        <f t="shared" si="4"/>
        <v>0</v>
      </c>
      <c r="T20" s="495">
        <f t="shared" si="4"/>
        <v>0</v>
      </c>
      <c r="U20" s="495">
        <f t="shared" si="4"/>
        <v>0</v>
      </c>
      <c r="V20" s="495">
        <f t="shared" si="4"/>
        <v>0</v>
      </c>
      <c r="W20" s="495">
        <f t="shared" si="4"/>
        <v>0</v>
      </c>
    </row>
    <row r="21" spans="2:23">
      <c r="B21" s="493">
        <f t="shared" si="3"/>
        <v>0</v>
      </c>
      <c r="C21" s="494" t="s">
        <v>391</v>
      </c>
      <c r="D21" s="495">
        <f t="shared" si="4"/>
        <v>0</v>
      </c>
      <c r="E21" s="495">
        <f t="shared" si="4"/>
        <v>0</v>
      </c>
      <c r="F21" s="495">
        <f t="shared" si="4"/>
        <v>0</v>
      </c>
      <c r="G21" s="495">
        <f t="shared" si="4"/>
        <v>0</v>
      </c>
      <c r="H21" s="495">
        <f t="shared" si="4"/>
        <v>0</v>
      </c>
      <c r="I21" s="495">
        <f t="shared" si="4"/>
        <v>0</v>
      </c>
      <c r="J21" s="495">
        <f t="shared" si="4"/>
        <v>0</v>
      </c>
      <c r="K21" s="495">
        <f t="shared" si="4"/>
        <v>0</v>
      </c>
      <c r="L21" s="495">
        <f t="shared" si="4"/>
        <v>0</v>
      </c>
      <c r="M21" s="495">
        <f t="shared" si="4"/>
        <v>0</v>
      </c>
      <c r="N21" s="495">
        <f t="shared" si="4"/>
        <v>0</v>
      </c>
      <c r="O21" s="495">
        <f t="shared" si="4"/>
        <v>0</v>
      </c>
      <c r="P21" s="495">
        <f t="shared" si="4"/>
        <v>0</v>
      </c>
      <c r="Q21" s="495">
        <f t="shared" si="4"/>
        <v>0</v>
      </c>
      <c r="R21" s="495">
        <f t="shared" si="4"/>
        <v>0</v>
      </c>
      <c r="S21" s="495">
        <f t="shared" si="4"/>
        <v>0</v>
      </c>
      <c r="T21" s="495">
        <f t="shared" si="4"/>
        <v>0</v>
      </c>
      <c r="U21" s="495">
        <f t="shared" si="4"/>
        <v>0</v>
      </c>
      <c r="V21" s="495">
        <f t="shared" si="4"/>
        <v>0</v>
      </c>
      <c r="W21" s="495">
        <f t="shared" si="4"/>
        <v>0</v>
      </c>
    </row>
    <row r="22" spans="2:23">
      <c r="B22" s="493">
        <f t="shared" si="3"/>
        <v>0</v>
      </c>
      <c r="C22" s="494" t="s">
        <v>392</v>
      </c>
      <c r="D22" s="495">
        <f t="shared" si="4"/>
        <v>0</v>
      </c>
      <c r="E22" s="495">
        <f t="shared" si="4"/>
        <v>0</v>
      </c>
      <c r="F22" s="495">
        <f t="shared" si="4"/>
        <v>0</v>
      </c>
      <c r="G22" s="495">
        <f t="shared" si="4"/>
        <v>0</v>
      </c>
      <c r="H22" s="495">
        <f t="shared" si="4"/>
        <v>0</v>
      </c>
      <c r="I22" s="495">
        <f t="shared" si="4"/>
        <v>0</v>
      </c>
      <c r="J22" s="495">
        <f t="shared" si="4"/>
        <v>0</v>
      </c>
      <c r="K22" s="495">
        <f t="shared" si="4"/>
        <v>0</v>
      </c>
      <c r="L22" s="495">
        <f t="shared" si="4"/>
        <v>0</v>
      </c>
      <c r="M22" s="495">
        <f t="shared" si="4"/>
        <v>0</v>
      </c>
      <c r="N22" s="495">
        <f t="shared" si="4"/>
        <v>0</v>
      </c>
      <c r="O22" s="495">
        <f t="shared" si="4"/>
        <v>0</v>
      </c>
      <c r="P22" s="495">
        <f t="shared" si="4"/>
        <v>0</v>
      </c>
      <c r="Q22" s="495">
        <f t="shared" si="4"/>
        <v>0</v>
      </c>
      <c r="R22" s="495">
        <f t="shared" si="4"/>
        <v>0</v>
      </c>
      <c r="S22" s="495">
        <f t="shared" si="4"/>
        <v>0</v>
      </c>
      <c r="T22" s="495">
        <f t="shared" si="4"/>
        <v>0</v>
      </c>
      <c r="U22" s="495">
        <f t="shared" si="4"/>
        <v>0</v>
      </c>
      <c r="V22" s="495">
        <f t="shared" si="4"/>
        <v>0</v>
      </c>
      <c r="W22" s="495">
        <f t="shared" si="4"/>
        <v>0</v>
      </c>
    </row>
    <row r="23" spans="2:23">
      <c r="B23" s="493">
        <f t="shared" si="3"/>
        <v>0</v>
      </c>
      <c r="C23" s="494" t="s">
        <v>393</v>
      </c>
      <c r="D23" s="495">
        <f t="shared" si="4"/>
        <v>0</v>
      </c>
      <c r="E23" s="495">
        <f t="shared" si="4"/>
        <v>0</v>
      </c>
      <c r="F23" s="495">
        <f t="shared" si="4"/>
        <v>0</v>
      </c>
      <c r="G23" s="495">
        <f t="shared" si="4"/>
        <v>0</v>
      </c>
      <c r="H23" s="495">
        <f t="shared" si="4"/>
        <v>0</v>
      </c>
      <c r="I23" s="495">
        <f t="shared" si="4"/>
        <v>0</v>
      </c>
      <c r="J23" s="495">
        <f t="shared" si="4"/>
        <v>0</v>
      </c>
      <c r="K23" s="495">
        <f t="shared" si="4"/>
        <v>0</v>
      </c>
      <c r="L23" s="495">
        <f t="shared" si="4"/>
        <v>0</v>
      </c>
      <c r="M23" s="495">
        <f t="shared" si="4"/>
        <v>0</v>
      </c>
      <c r="N23" s="495">
        <f t="shared" si="4"/>
        <v>0</v>
      </c>
      <c r="O23" s="495">
        <f t="shared" si="4"/>
        <v>0</v>
      </c>
      <c r="P23" s="495">
        <f t="shared" si="4"/>
        <v>0</v>
      </c>
      <c r="Q23" s="495">
        <f t="shared" si="4"/>
        <v>0</v>
      </c>
      <c r="R23" s="495">
        <f t="shared" si="4"/>
        <v>0</v>
      </c>
      <c r="S23" s="495">
        <f t="shared" si="4"/>
        <v>0</v>
      </c>
      <c r="T23" s="495">
        <f t="shared" si="4"/>
        <v>0</v>
      </c>
      <c r="U23" s="495">
        <f t="shared" si="4"/>
        <v>0</v>
      </c>
      <c r="V23" s="495">
        <f t="shared" si="4"/>
        <v>0</v>
      </c>
      <c r="W23" s="495">
        <f t="shared" si="4"/>
        <v>0</v>
      </c>
    </row>
    <row r="24" spans="2:23">
      <c r="B24" s="493">
        <f t="shared" si="3"/>
        <v>0</v>
      </c>
      <c r="C24" s="494" t="s">
        <v>394</v>
      </c>
      <c r="D24" s="495">
        <f t="shared" si="4"/>
        <v>0</v>
      </c>
      <c r="E24" s="495">
        <f t="shared" si="4"/>
        <v>0</v>
      </c>
      <c r="F24" s="495">
        <f t="shared" si="4"/>
        <v>0</v>
      </c>
      <c r="G24" s="495">
        <f t="shared" si="4"/>
        <v>0</v>
      </c>
      <c r="H24" s="495">
        <f t="shared" si="4"/>
        <v>0</v>
      </c>
      <c r="I24" s="495">
        <f t="shared" si="4"/>
        <v>0</v>
      </c>
      <c r="J24" s="495">
        <f t="shared" si="4"/>
        <v>0</v>
      </c>
      <c r="K24" s="495">
        <f t="shared" si="4"/>
        <v>0</v>
      </c>
      <c r="L24" s="495">
        <f t="shared" si="4"/>
        <v>0</v>
      </c>
      <c r="M24" s="495">
        <f t="shared" si="4"/>
        <v>0</v>
      </c>
      <c r="N24" s="495">
        <f t="shared" si="4"/>
        <v>0</v>
      </c>
      <c r="O24" s="495">
        <f t="shared" si="4"/>
        <v>0</v>
      </c>
      <c r="P24" s="495">
        <f t="shared" si="4"/>
        <v>0</v>
      </c>
      <c r="Q24" s="495">
        <f t="shared" si="4"/>
        <v>0</v>
      </c>
      <c r="R24" s="495">
        <f t="shared" si="4"/>
        <v>0</v>
      </c>
      <c r="S24" s="495">
        <f t="shared" si="4"/>
        <v>0</v>
      </c>
      <c r="T24" s="495">
        <f t="shared" si="4"/>
        <v>0</v>
      </c>
      <c r="U24" s="495">
        <f t="shared" si="4"/>
        <v>0</v>
      </c>
      <c r="V24" s="495">
        <f t="shared" si="4"/>
        <v>0</v>
      </c>
      <c r="W24" s="495">
        <f t="shared" si="4"/>
        <v>0</v>
      </c>
    </row>
    <row r="25" spans="2:23">
      <c r="B25" s="493">
        <f t="shared" si="3"/>
        <v>0</v>
      </c>
      <c r="C25" s="494" t="s">
        <v>395</v>
      </c>
      <c r="D25" s="495">
        <f t="shared" si="4"/>
        <v>0</v>
      </c>
      <c r="E25" s="495">
        <f t="shared" si="4"/>
        <v>0</v>
      </c>
      <c r="F25" s="495">
        <f t="shared" si="4"/>
        <v>0</v>
      </c>
      <c r="G25" s="495">
        <f t="shared" si="4"/>
        <v>0</v>
      </c>
      <c r="H25" s="495">
        <f t="shared" si="4"/>
        <v>0</v>
      </c>
      <c r="I25" s="495">
        <f t="shared" si="4"/>
        <v>0</v>
      </c>
      <c r="J25" s="495">
        <f t="shared" si="4"/>
        <v>0</v>
      </c>
      <c r="K25" s="495">
        <f t="shared" si="4"/>
        <v>0</v>
      </c>
      <c r="L25" s="495">
        <f t="shared" si="4"/>
        <v>0</v>
      </c>
      <c r="M25" s="495">
        <f t="shared" si="4"/>
        <v>0</v>
      </c>
      <c r="N25" s="495">
        <f t="shared" si="4"/>
        <v>0</v>
      </c>
      <c r="O25" s="495">
        <f t="shared" si="4"/>
        <v>0</v>
      </c>
      <c r="P25" s="495">
        <f t="shared" si="4"/>
        <v>0</v>
      </c>
      <c r="Q25" s="495">
        <f t="shared" si="4"/>
        <v>0</v>
      </c>
      <c r="R25" s="495">
        <f t="shared" si="4"/>
        <v>0</v>
      </c>
      <c r="S25" s="495">
        <f t="shared" si="4"/>
        <v>0</v>
      </c>
      <c r="T25" s="495">
        <f t="shared" si="4"/>
        <v>0</v>
      </c>
      <c r="U25" s="495">
        <f t="shared" si="4"/>
        <v>0</v>
      </c>
      <c r="V25" s="495">
        <f t="shared" si="4"/>
        <v>0</v>
      </c>
      <c r="W25" s="495">
        <f t="shared" si="4"/>
        <v>0</v>
      </c>
    </row>
    <row r="26" spans="2:23">
      <c r="B26" s="493">
        <f t="shared" si="3"/>
        <v>0</v>
      </c>
      <c r="C26" s="494" t="s">
        <v>396</v>
      </c>
      <c r="D26" s="495">
        <f t="shared" si="4"/>
        <v>0</v>
      </c>
      <c r="E26" s="495">
        <f t="shared" si="4"/>
        <v>0</v>
      </c>
      <c r="F26" s="495">
        <f t="shared" si="4"/>
        <v>0</v>
      </c>
      <c r="G26" s="495">
        <f t="shared" si="4"/>
        <v>0</v>
      </c>
      <c r="H26" s="495">
        <f t="shared" si="4"/>
        <v>0</v>
      </c>
      <c r="I26" s="495">
        <f t="shared" si="4"/>
        <v>0</v>
      </c>
      <c r="J26" s="495">
        <f t="shared" si="4"/>
        <v>0</v>
      </c>
      <c r="K26" s="495">
        <f t="shared" si="4"/>
        <v>0</v>
      </c>
      <c r="L26" s="495">
        <f t="shared" si="4"/>
        <v>0</v>
      </c>
      <c r="M26" s="495">
        <f t="shared" si="4"/>
        <v>0</v>
      </c>
      <c r="N26" s="495">
        <f t="shared" si="4"/>
        <v>0</v>
      </c>
      <c r="O26" s="495">
        <f t="shared" si="4"/>
        <v>0</v>
      </c>
      <c r="P26" s="495">
        <f t="shared" si="4"/>
        <v>0</v>
      </c>
      <c r="Q26" s="495">
        <f t="shared" si="4"/>
        <v>0</v>
      </c>
      <c r="R26" s="495">
        <f t="shared" si="4"/>
        <v>0</v>
      </c>
      <c r="S26" s="495">
        <f t="shared" si="4"/>
        <v>0</v>
      </c>
      <c r="T26" s="495">
        <f t="shared" si="4"/>
        <v>0</v>
      </c>
      <c r="U26" s="495">
        <f t="shared" si="4"/>
        <v>0</v>
      </c>
      <c r="V26" s="495">
        <f t="shared" si="4"/>
        <v>0</v>
      </c>
      <c r="W26" s="495">
        <f t="shared" si="4"/>
        <v>0</v>
      </c>
    </row>
    <row r="27" spans="2:23">
      <c r="B27" s="493">
        <f t="shared" si="3"/>
        <v>0</v>
      </c>
      <c r="C27" s="494" t="s">
        <v>145</v>
      </c>
      <c r="D27" s="495">
        <f>SUM(D18:D26)</f>
        <v>0</v>
      </c>
      <c r="E27" s="495">
        <f t="shared" ref="E27:W27" si="5">SUM(E18:E26)</f>
        <v>0</v>
      </c>
      <c r="F27" s="495">
        <f t="shared" si="5"/>
        <v>0</v>
      </c>
      <c r="G27" s="495">
        <f t="shared" si="5"/>
        <v>0</v>
      </c>
      <c r="H27" s="495">
        <f t="shared" si="5"/>
        <v>0</v>
      </c>
      <c r="I27" s="495">
        <f t="shared" si="5"/>
        <v>0</v>
      </c>
      <c r="J27" s="495">
        <f t="shared" si="5"/>
        <v>0</v>
      </c>
      <c r="K27" s="495">
        <f t="shared" si="5"/>
        <v>0</v>
      </c>
      <c r="L27" s="495">
        <f t="shared" si="5"/>
        <v>0</v>
      </c>
      <c r="M27" s="495">
        <f t="shared" si="5"/>
        <v>0</v>
      </c>
      <c r="N27" s="495">
        <f t="shared" si="5"/>
        <v>0</v>
      </c>
      <c r="O27" s="495">
        <f t="shared" si="5"/>
        <v>0</v>
      </c>
      <c r="P27" s="495">
        <f t="shared" si="5"/>
        <v>0</v>
      </c>
      <c r="Q27" s="495">
        <f t="shared" si="5"/>
        <v>0</v>
      </c>
      <c r="R27" s="495">
        <f t="shared" si="5"/>
        <v>0</v>
      </c>
      <c r="S27" s="495">
        <f t="shared" si="5"/>
        <v>0</v>
      </c>
      <c r="T27" s="495">
        <f t="shared" si="5"/>
        <v>0</v>
      </c>
      <c r="U27" s="495">
        <f t="shared" si="5"/>
        <v>0</v>
      </c>
      <c r="V27" s="495">
        <f t="shared" si="5"/>
        <v>0</v>
      </c>
      <c r="W27" s="495">
        <f t="shared" si="5"/>
        <v>0</v>
      </c>
    </row>
    <row r="28" spans="2:23">
      <c r="D28" s="496"/>
      <c r="R28" s="496"/>
      <c r="S28" s="496"/>
      <c r="V28" s="496"/>
      <c r="W28" s="496"/>
    </row>
    <row r="29" spans="2:23">
      <c r="B29" s="494" t="s">
        <v>397</v>
      </c>
      <c r="C29" s="497" t="s">
        <v>387</v>
      </c>
      <c r="D29" s="494">
        <v>2022</v>
      </c>
      <c r="E29" s="494">
        <f>D29+1</f>
        <v>2023</v>
      </c>
      <c r="F29" s="494">
        <f t="shared" ref="F29:W29" si="6">E29+1</f>
        <v>2024</v>
      </c>
      <c r="G29" s="494">
        <f t="shared" si="6"/>
        <v>2025</v>
      </c>
      <c r="H29" s="494">
        <f t="shared" si="6"/>
        <v>2026</v>
      </c>
      <c r="I29" s="494">
        <f t="shared" si="6"/>
        <v>2027</v>
      </c>
      <c r="J29" s="494">
        <f t="shared" si="6"/>
        <v>2028</v>
      </c>
      <c r="K29" s="494">
        <f t="shared" si="6"/>
        <v>2029</v>
      </c>
      <c r="L29" s="494">
        <f t="shared" si="6"/>
        <v>2030</v>
      </c>
      <c r="M29" s="494">
        <f t="shared" si="6"/>
        <v>2031</v>
      </c>
      <c r="N29" s="494">
        <f t="shared" si="6"/>
        <v>2032</v>
      </c>
      <c r="O29" s="494">
        <f t="shared" si="6"/>
        <v>2033</v>
      </c>
      <c r="P29" s="494">
        <f t="shared" si="6"/>
        <v>2034</v>
      </c>
      <c r="Q29" s="494">
        <f t="shared" si="6"/>
        <v>2035</v>
      </c>
      <c r="R29" s="494">
        <f t="shared" si="6"/>
        <v>2036</v>
      </c>
      <c r="S29" s="494">
        <f t="shared" si="6"/>
        <v>2037</v>
      </c>
      <c r="T29" s="494">
        <f t="shared" si="6"/>
        <v>2038</v>
      </c>
      <c r="U29" s="494">
        <f t="shared" si="6"/>
        <v>2039</v>
      </c>
      <c r="V29" s="494">
        <f t="shared" si="6"/>
        <v>2040</v>
      </c>
      <c r="W29" s="494">
        <f t="shared" si="6"/>
        <v>2041</v>
      </c>
    </row>
    <row r="30" spans="2:23">
      <c r="B30" s="493">
        <f>NPV($L$8,D30:W30)</f>
        <v>70181.361096825058</v>
      </c>
      <c r="C30" s="494" t="s">
        <v>386</v>
      </c>
      <c r="D30" s="495">
        <f t="shared" ref="D30:W38" si="7">IF(AND(E$29-$D$29&gt;0,E$29-$D$29&lt;=ROUNDDOWN($H5,0)),$L$5*$E5,IF(AND(D$29-$D$29-$H5&lt;1,D$29-$D$29-$H5&lt;0),$E5*$L$5*($H5-ROUNDDOWN($H5,0)),0))</f>
        <v>6688.0619999999999</v>
      </c>
      <c r="E30" s="495">
        <f t="shared" si="7"/>
        <v>6688.0619999999999</v>
      </c>
      <c r="F30" s="495">
        <f t="shared" si="7"/>
        <v>6688.0619999999999</v>
      </c>
      <c r="G30" s="495">
        <f t="shared" si="7"/>
        <v>6688.0619999999999</v>
      </c>
      <c r="H30" s="495">
        <f t="shared" si="7"/>
        <v>6688.0619999999999</v>
      </c>
      <c r="I30" s="495">
        <f t="shared" si="7"/>
        <v>6688.0619999999999</v>
      </c>
      <c r="J30" s="495">
        <f t="shared" si="7"/>
        <v>6688.0619999999999</v>
      </c>
      <c r="K30" s="495">
        <f t="shared" si="7"/>
        <v>6688.0619999999999</v>
      </c>
      <c r="L30" s="495">
        <f t="shared" si="7"/>
        <v>6688.0619999999999</v>
      </c>
      <c r="M30" s="495">
        <f t="shared" si="7"/>
        <v>6688.0619999999999</v>
      </c>
      <c r="N30" s="495">
        <f t="shared" si="7"/>
        <v>6688.0619999999999</v>
      </c>
      <c r="O30" s="495">
        <f t="shared" si="7"/>
        <v>6688.0619999999999</v>
      </c>
      <c r="P30" s="495">
        <f t="shared" si="7"/>
        <v>6688.0619999999999</v>
      </c>
      <c r="Q30" s="495">
        <f t="shared" si="7"/>
        <v>6688.0619999999999</v>
      </c>
      <c r="R30" s="495">
        <f t="shared" si="7"/>
        <v>5263.6499999999942</v>
      </c>
      <c r="S30" s="495">
        <f t="shared" si="7"/>
        <v>0</v>
      </c>
      <c r="T30" s="495">
        <f t="shared" si="7"/>
        <v>0</v>
      </c>
      <c r="U30" s="495">
        <f t="shared" si="7"/>
        <v>0</v>
      </c>
      <c r="V30" s="495">
        <f t="shared" si="7"/>
        <v>0</v>
      </c>
      <c r="W30" s="495">
        <f t="shared" si="7"/>
        <v>0</v>
      </c>
    </row>
    <row r="31" spans="2:23">
      <c r="B31" s="493">
        <f t="shared" ref="B31:B39" si="8">NPV($L$8,D31:W31)</f>
        <v>26541.064491676087</v>
      </c>
      <c r="C31" s="494" t="s">
        <v>388</v>
      </c>
      <c r="D31" s="495">
        <f t="shared" si="7"/>
        <v>2091.2849999999999</v>
      </c>
      <c r="E31" s="495">
        <f t="shared" si="7"/>
        <v>2091.2849999999999</v>
      </c>
      <c r="F31" s="495">
        <f t="shared" si="7"/>
        <v>2091.2849999999999</v>
      </c>
      <c r="G31" s="495">
        <f t="shared" si="7"/>
        <v>2091.2849999999999</v>
      </c>
      <c r="H31" s="495">
        <f t="shared" si="7"/>
        <v>2091.2849999999999</v>
      </c>
      <c r="I31" s="495">
        <f t="shared" si="7"/>
        <v>2091.2849999999999</v>
      </c>
      <c r="J31" s="495">
        <f t="shared" si="7"/>
        <v>2091.2849999999999</v>
      </c>
      <c r="K31" s="495">
        <f t="shared" si="7"/>
        <v>2091.2849999999999</v>
      </c>
      <c r="L31" s="495">
        <f t="shared" si="7"/>
        <v>2091.2849999999999</v>
      </c>
      <c r="M31" s="495">
        <f t="shared" si="7"/>
        <v>2091.2849999999999</v>
      </c>
      <c r="N31" s="495">
        <f t="shared" si="7"/>
        <v>2091.2849999999999</v>
      </c>
      <c r="O31" s="495">
        <f t="shared" si="7"/>
        <v>2091.2849999999999</v>
      </c>
      <c r="P31" s="495">
        <f t="shared" si="7"/>
        <v>2091.2849999999999</v>
      </c>
      <c r="Q31" s="495">
        <f t="shared" si="7"/>
        <v>2091.2849999999999</v>
      </c>
      <c r="R31" s="495">
        <f t="shared" si="7"/>
        <v>2091.2849999999999</v>
      </c>
      <c r="S31" s="495">
        <f t="shared" si="7"/>
        <v>2091.2849999999999</v>
      </c>
      <c r="T31" s="495">
        <f t="shared" si="7"/>
        <v>2091.2849999999999</v>
      </c>
      <c r="U31" s="495">
        <f t="shared" si="7"/>
        <v>2091.2849999999999</v>
      </c>
      <c r="V31" s="495">
        <f t="shared" si="7"/>
        <v>2091.2849999999999</v>
      </c>
      <c r="W31" s="495">
        <f t="shared" si="7"/>
        <v>1541.4570000000015</v>
      </c>
    </row>
    <row r="32" spans="2:23">
      <c r="B32" s="493">
        <f t="shared" si="8"/>
        <v>17505.553835040115</v>
      </c>
      <c r="C32" s="494" t="s">
        <v>390</v>
      </c>
      <c r="D32" s="495">
        <f t="shared" si="7"/>
        <v>1412.127</v>
      </c>
      <c r="E32" s="495">
        <f t="shared" si="7"/>
        <v>1412.127</v>
      </c>
      <c r="F32" s="495">
        <f t="shared" si="7"/>
        <v>1412.127</v>
      </c>
      <c r="G32" s="495">
        <f t="shared" si="7"/>
        <v>1412.127</v>
      </c>
      <c r="H32" s="495">
        <f t="shared" si="7"/>
        <v>1412.127</v>
      </c>
      <c r="I32" s="495">
        <f t="shared" si="7"/>
        <v>1412.127</v>
      </c>
      <c r="J32" s="495">
        <f t="shared" si="7"/>
        <v>1412.127</v>
      </c>
      <c r="K32" s="495">
        <f t="shared" si="7"/>
        <v>1412.127</v>
      </c>
      <c r="L32" s="495">
        <f t="shared" si="7"/>
        <v>1412.127</v>
      </c>
      <c r="M32" s="495">
        <f t="shared" si="7"/>
        <v>1412.127</v>
      </c>
      <c r="N32" s="495">
        <f t="shared" si="7"/>
        <v>1412.127</v>
      </c>
      <c r="O32" s="495">
        <f t="shared" si="7"/>
        <v>1412.127</v>
      </c>
      <c r="P32" s="495">
        <f t="shared" si="7"/>
        <v>1412.127</v>
      </c>
      <c r="Q32" s="495">
        <f t="shared" si="7"/>
        <v>1412.127</v>
      </c>
      <c r="R32" s="495">
        <f t="shared" si="7"/>
        <v>1412.127</v>
      </c>
      <c r="S32" s="495">
        <f t="shared" si="7"/>
        <v>1412.127</v>
      </c>
      <c r="T32" s="495">
        <f t="shared" si="7"/>
        <v>1412.127</v>
      </c>
      <c r="U32" s="495">
        <f t="shared" si="7"/>
        <v>1412.127</v>
      </c>
      <c r="V32" s="495">
        <f t="shared" si="7"/>
        <v>1412.127</v>
      </c>
      <c r="W32" s="495">
        <f t="shared" si="7"/>
        <v>0.13499999999931031</v>
      </c>
    </row>
    <row r="33" spans="2:23">
      <c r="B33" s="493">
        <f t="shared" si="8"/>
        <v>483178.1923965491</v>
      </c>
      <c r="C33" s="494" t="s">
        <v>391</v>
      </c>
      <c r="D33" s="495">
        <f t="shared" si="7"/>
        <v>47898.161999999997</v>
      </c>
      <c r="E33" s="495">
        <f t="shared" si="7"/>
        <v>47898.161999999997</v>
      </c>
      <c r="F33" s="495">
        <f t="shared" si="7"/>
        <v>47898.161999999997</v>
      </c>
      <c r="G33" s="495">
        <f t="shared" si="7"/>
        <v>47898.161999999997</v>
      </c>
      <c r="H33" s="495">
        <f t="shared" si="7"/>
        <v>47898.161999999997</v>
      </c>
      <c r="I33" s="495">
        <f t="shared" si="7"/>
        <v>47898.161999999997</v>
      </c>
      <c r="J33" s="495">
        <f t="shared" si="7"/>
        <v>47898.161999999997</v>
      </c>
      <c r="K33" s="495">
        <f t="shared" si="7"/>
        <v>47898.161999999997</v>
      </c>
      <c r="L33" s="495">
        <f t="shared" si="7"/>
        <v>47898.161999999997</v>
      </c>
      <c r="M33" s="495">
        <f t="shared" si="7"/>
        <v>47898.161999999997</v>
      </c>
      <c r="N33" s="495">
        <f t="shared" si="7"/>
        <v>47898.161999999997</v>
      </c>
      <c r="O33" s="495">
        <f>IF(AND(P$29-$D$29&gt;0,P$29-$D$29&lt;=ROUNDDOWN($H8,0)),$L$5*$E8,IF(AND(O$29-$D$29-$H8&lt;1,O$29-$D$29-$H8&lt;0),$E8*$L$5*($H8-ROUNDDOWN($H8,0)),0))</f>
        <v>47898.161999999997</v>
      </c>
      <c r="P33" s="495">
        <f t="shared" si="7"/>
        <v>47898.161999999997</v>
      </c>
      <c r="Q33" s="495">
        <f t="shared" si="7"/>
        <v>46972.439999999988</v>
      </c>
      <c r="R33" s="495">
        <f t="shared" si="7"/>
        <v>0</v>
      </c>
      <c r="S33" s="495">
        <f t="shared" si="7"/>
        <v>0</v>
      </c>
      <c r="T33" s="495">
        <f t="shared" si="7"/>
        <v>0</v>
      </c>
      <c r="U33" s="495">
        <f t="shared" si="7"/>
        <v>0</v>
      </c>
      <c r="V33" s="495">
        <f t="shared" si="7"/>
        <v>0</v>
      </c>
      <c r="W33" s="495">
        <f t="shared" si="7"/>
        <v>0</v>
      </c>
    </row>
    <row r="34" spans="2:23">
      <c r="B34" s="493">
        <f t="shared" si="8"/>
        <v>5183.4330943734767</v>
      </c>
      <c r="C34" s="494" t="s">
        <v>392</v>
      </c>
      <c r="D34" s="495">
        <f t="shared" si="7"/>
        <v>574.64099999999996</v>
      </c>
      <c r="E34" s="495">
        <f t="shared" si="7"/>
        <v>574.64099999999996</v>
      </c>
      <c r="F34" s="495">
        <f t="shared" si="7"/>
        <v>574.64099999999996</v>
      </c>
      <c r="G34" s="495">
        <f t="shared" si="7"/>
        <v>574.64099999999996</v>
      </c>
      <c r="H34" s="495">
        <f t="shared" si="7"/>
        <v>574.64099999999996</v>
      </c>
      <c r="I34" s="495">
        <f t="shared" si="7"/>
        <v>574.64099999999996</v>
      </c>
      <c r="J34" s="495">
        <f t="shared" si="7"/>
        <v>574.64099999999996</v>
      </c>
      <c r="K34" s="495">
        <f t="shared" si="7"/>
        <v>574.64099999999996</v>
      </c>
      <c r="L34" s="495">
        <f t="shared" si="7"/>
        <v>574.64099999999996</v>
      </c>
      <c r="M34" s="495">
        <f t="shared" si="7"/>
        <v>574.64099999999996</v>
      </c>
      <c r="N34" s="495">
        <f t="shared" si="7"/>
        <v>574.64099999999996</v>
      </c>
      <c r="O34" s="495">
        <f t="shared" si="7"/>
        <v>574.64099999999996</v>
      </c>
      <c r="P34" s="495">
        <f t="shared" si="7"/>
        <v>2.6999999999725178E-2</v>
      </c>
      <c r="Q34" s="495">
        <f t="shared" si="7"/>
        <v>0</v>
      </c>
      <c r="R34" s="495">
        <f t="shared" si="7"/>
        <v>0</v>
      </c>
      <c r="S34" s="495">
        <f t="shared" si="7"/>
        <v>0</v>
      </c>
      <c r="T34" s="495">
        <f t="shared" si="7"/>
        <v>0</v>
      </c>
      <c r="U34" s="495">
        <f t="shared" si="7"/>
        <v>0</v>
      </c>
      <c r="V34" s="495">
        <f t="shared" si="7"/>
        <v>0</v>
      </c>
      <c r="W34" s="495">
        <f t="shared" si="7"/>
        <v>0</v>
      </c>
    </row>
    <row r="35" spans="2:23">
      <c r="B35" s="493">
        <f t="shared" si="8"/>
        <v>28273.763492215112</v>
      </c>
      <c r="C35" s="494" t="s">
        <v>393</v>
      </c>
      <c r="D35" s="495">
        <f t="shared" si="7"/>
        <v>29599.803</v>
      </c>
      <c r="E35" s="495">
        <f t="shared" si="7"/>
        <v>0</v>
      </c>
      <c r="F35" s="495">
        <f t="shared" si="7"/>
        <v>0</v>
      </c>
      <c r="G35" s="495">
        <f t="shared" si="7"/>
        <v>0</v>
      </c>
      <c r="H35" s="495">
        <f t="shared" si="7"/>
        <v>0</v>
      </c>
      <c r="I35" s="495">
        <f t="shared" si="7"/>
        <v>0</v>
      </c>
      <c r="J35" s="495">
        <f t="shared" si="7"/>
        <v>0</v>
      </c>
      <c r="K35" s="495">
        <f t="shared" si="7"/>
        <v>0</v>
      </c>
      <c r="L35" s="495">
        <f t="shared" si="7"/>
        <v>0</v>
      </c>
      <c r="M35" s="495">
        <f t="shared" si="7"/>
        <v>0</v>
      </c>
      <c r="N35" s="495">
        <f t="shared" si="7"/>
        <v>0</v>
      </c>
      <c r="O35" s="495">
        <f t="shared" si="7"/>
        <v>0</v>
      </c>
      <c r="P35" s="495">
        <f t="shared" si="7"/>
        <v>0</v>
      </c>
      <c r="Q35" s="495">
        <f t="shared" si="7"/>
        <v>0</v>
      </c>
      <c r="R35" s="495">
        <f t="shared" si="7"/>
        <v>0</v>
      </c>
      <c r="S35" s="495">
        <f t="shared" si="7"/>
        <v>0</v>
      </c>
      <c r="T35" s="495">
        <f t="shared" si="7"/>
        <v>0</v>
      </c>
      <c r="U35" s="495">
        <f t="shared" si="7"/>
        <v>0</v>
      </c>
      <c r="V35" s="495">
        <f t="shared" si="7"/>
        <v>0</v>
      </c>
      <c r="W35" s="495">
        <f t="shared" si="7"/>
        <v>0</v>
      </c>
    </row>
    <row r="36" spans="2:23">
      <c r="B36" s="493">
        <f t="shared" si="8"/>
        <v>1894.419338842257</v>
      </c>
      <c r="C36" s="494" t="s">
        <v>394</v>
      </c>
      <c r="D36" s="495">
        <f t="shared" si="7"/>
        <v>241.65</v>
      </c>
      <c r="E36" s="495">
        <f t="shared" si="7"/>
        <v>241.65</v>
      </c>
      <c r="F36" s="495">
        <f t="shared" si="7"/>
        <v>241.65</v>
      </c>
      <c r="G36" s="495">
        <f t="shared" si="7"/>
        <v>241.65</v>
      </c>
      <c r="H36" s="495">
        <f t="shared" si="7"/>
        <v>241.65</v>
      </c>
      <c r="I36" s="495">
        <f t="shared" si="7"/>
        <v>241.65</v>
      </c>
      <c r="J36" s="495">
        <f t="shared" si="7"/>
        <v>241.65</v>
      </c>
      <c r="K36" s="495">
        <f t="shared" si="7"/>
        <v>241.65</v>
      </c>
      <c r="L36" s="495">
        <f t="shared" si="7"/>
        <v>241.65</v>
      </c>
      <c r="M36" s="495">
        <f t="shared" si="7"/>
        <v>241.65</v>
      </c>
      <c r="N36" s="495">
        <f t="shared" si="7"/>
        <v>8.0999999999837605E-2</v>
      </c>
      <c r="O36" s="495">
        <f t="shared" si="7"/>
        <v>0</v>
      </c>
      <c r="P36" s="495">
        <f t="shared" si="7"/>
        <v>0</v>
      </c>
      <c r="Q36" s="495">
        <f t="shared" si="7"/>
        <v>0</v>
      </c>
      <c r="R36" s="495">
        <f t="shared" si="7"/>
        <v>0</v>
      </c>
      <c r="S36" s="495">
        <f t="shared" si="7"/>
        <v>0</v>
      </c>
      <c r="T36" s="495">
        <f t="shared" si="7"/>
        <v>0</v>
      </c>
      <c r="U36" s="495">
        <f t="shared" si="7"/>
        <v>0</v>
      </c>
      <c r="V36" s="495">
        <f t="shared" si="7"/>
        <v>0</v>
      </c>
      <c r="W36" s="495">
        <f t="shared" si="7"/>
        <v>0</v>
      </c>
    </row>
    <row r="37" spans="2:23">
      <c r="B37" s="493">
        <f t="shared" si="8"/>
        <v>125093.5961717381</v>
      </c>
      <c r="C37" s="494" t="s">
        <v>395</v>
      </c>
      <c r="D37" s="495">
        <f t="shared" si="7"/>
        <v>10772.757</v>
      </c>
      <c r="E37" s="495">
        <f t="shared" si="7"/>
        <v>10772.757</v>
      </c>
      <c r="F37" s="495">
        <f t="shared" si="7"/>
        <v>10772.757</v>
      </c>
      <c r="G37" s="495">
        <f t="shared" si="7"/>
        <v>10772.757</v>
      </c>
      <c r="H37" s="495">
        <f t="shared" si="7"/>
        <v>10772.757</v>
      </c>
      <c r="I37" s="495">
        <f t="shared" si="7"/>
        <v>10772.757</v>
      </c>
      <c r="J37" s="495">
        <f t="shared" si="7"/>
        <v>10772.757</v>
      </c>
      <c r="K37" s="495">
        <f t="shared" si="7"/>
        <v>10772.757</v>
      </c>
      <c r="L37" s="495">
        <f t="shared" si="7"/>
        <v>10772.757</v>
      </c>
      <c r="M37" s="495">
        <f t="shared" si="7"/>
        <v>10772.757</v>
      </c>
      <c r="N37" s="495">
        <f t="shared" si="7"/>
        <v>10772.757</v>
      </c>
      <c r="O37" s="495">
        <f t="shared" si="7"/>
        <v>10772.757</v>
      </c>
      <c r="P37" s="495">
        <f t="shared" si="7"/>
        <v>10772.757</v>
      </c>
      <c r="Q37" s="495">
        <f t="shared" si="7"/>
        <v>10772.757</v>
      </c>
      <c r="R37" s="495">
        <f t="shared" si="7"/>
        <v>10772.757</v>
      </c>
      <c r="S37" s="495">
        <f t="shared" si="7"/>
        <v>10772.757</v>
      </c>
      <c r="T37" s="495">
        <f t="shared" si="7"/>
        <v>10772.757</v>
      </c>
      <c r="U37" s="495">
        <f t="shared" si="7"/>
        <v>1777.7879999999991</v>
      </c>
      <c r="V37" s="495">
        <f t="shared" si="7"/>
        <v>0</v>
      </c>
      <c r="W37" s="495">
        <f t="shared" si="7"/>
        <v>0</v>
      </c>
    </row>
    <row r="38" spans="2:23">
      <c r="B38" s="493">
        <f t="shared" si="8"/>
        <v>15761.173978988141</v>
      </c>
      <c r="C38" s="494" t="s">
        <v>396</v>
      </c>
      <c r="D38" s="495">
        <f t="shared" si="7"/>
        <v>1327.59</v>
      </c>
      <c r="E38" s="495">
        <f t="shared" si="7"/>
        <v>1327.59</v>
      </c>
      <c r="F38" s="495">
        <f t="shared" si="7"/>
        <v>1327.59</v>
      </c>
      <c r="G38" s="495">
        <f t="shared" si="7"/>
        <v>1327.59</v>
      </c>
      <c r="H38" s="495">
        <f t="shared" si="7"/>
        <v>1327.59</v>
      </c>
      <c r="I38" s="495">
        <f t="shared" si="7"/>
        <v>1327.59</v>
      </c>
      <c r="J38" s="495">
        <f t="shared" si="7"/>
        <v>1327.59</v>
      </c>
      <c r="K38" s="495">
        <f t="shared" si="7"/>
        <v>1327.59</v>
      </c>
      <c r="L38" s="495">
        <f t="shared" si="7"/>
        <v>1327.59</v>
      </c>
      <c r="M38" s="495">
        <f t="shared" si="7"/>
        <v>1327.59</v>
      </c>
      <c r="N38" s="495">
        <f t="shared" si="7"/>
        <v>1327.59</v>
      </c>
      <c r="O38" s="495">
        <f t="shared" si="7"/>
        <v>1327.59</v>
      </c>
      <c r="P38" s="495">
        <f t="shared" si="7"/>
        <v>1327.59</v>
      </c>
      <c r="Q38" s="495">
        <f t="shared" si="7"/>
        <v>1327.59</v>
      </c>
      <c r="R38" s="495">
        <f t="shared" si="7"/>
        <v>1327.59</v>
      </c>
      <c r="S38" s="495">
        <f t="shared" si="7"/>
        <v>1327.59</v>
      </c>
      <c r="T38" s="495">
        <f t="shared" si="7"/>
        <v>1327.59</v>
      </c>
      <c r="U38" s="495">
        <f t="shared" si="7"/>
        <v>1006.6950000000011</v>
      </c>
      <c r="V38" s="495">
        <f t="shared" si="7"/>
        <v>0</v>
      </c>
      <c r="W38" s="495">
        <f t="shared" si="7"/>
        <v>0</v>
      </c>
    </row>
    <row r="39" spans="2:23">
      <c r="B39" s="493">
        <f t="shared" si="8"/>
        <v>773612.55789624783</v>
      </c>
      <c r="C39" s="494" t="s">
        <v>145</v>
      </c>
      <c r="D39" s="495">
        <f>SUM(D30:D38)</f>
        <v>100606.07699999999</v>
      </c>
      <c r="E39" s="495">
        <f t="shared" ref="E39:W39" si="9">SUM(E30:E38)</f>
        <v>71006.274000000005</v>
      </c>
      <c r="F39" s="495">
        <f t="shared" si="9"/>
        <v>71006.274000000005</v>
      </c>
      <c r="G39" s="495">
        <f t="shared" si="9"/>
        <v>71006.274000000005</v>
      </c>
      <c r="H39" s="495">
        <f t="shared" si="9"/>
        <v>71006.274000000005</v>
      </c>
      <c r="I39" s="495">
        <f t="shared" si="9"/>
        <v>71006.274000000005</v>
      </c>
      <c r="J39" s="495">
        <f t="shared" si="9"/>
        <v>71006.274000000005</v>
      </c>
      <c r="K39" s="495">
        <f t="shared" si="9"/>
        <v>71006.274000000005</v>
      </c>
      <c r="L39" s="495">
        <f t="shared" si="9"/>
        <v>71006.274000000005</v>
      </c>
      <c r="M39" s="495">
        <f t="shared" si="9"/>
        <v>71006.274000000005</v>
      </c>
      <c r="N39" s="495">
        <f t="shared" si="9"/>
        <v>70764.705000000002</v>
      </c>
      <c r="O39" s="495">
        <f t="shared" si="9"/>
        <v>70764.623999999996</v>
      </c>
      <c r="P39" s="495">
        <f t="shared" si="9"/>
        <v>70190.009999999995</v>
      </c>
      <c r="Q39" s="495">
        <f t="shared" si="9"/>
        <v>69264.260999999984</v>
      </c>
      <c r="R39" s="495">
        <f t="shared" si="9"/>
        <v>20867.408999999996</v>
      </c>
      <c r="S39" s="495">
        <f t="shared" si="9"/>
        <v>15603.759</v>
      </c>
      <c r="T39" s="495">
        <f t="shared" si="9"/>
        <v>15603.759</v>
      </c>
      <c r="U39" s="495">
        <f t="shared" si="9"/>
        <v>6287.8950000000004</v>
      </c>
      <c r="V39" s="495">
        <f t="shared" si="9"/>
        <v>3503.4119999999998</v>
      </c>
      <c r="W39" s="495">
        <f t="shared" si="9"/>
        <v>1541.5920000000008</v>
      </c>
    </row>
    <row r="41" spans="2:23">
      <c r="B41" s="494" t="s">
        <v>397</v>
      </c>
      <c r="C41" s="497" t="s">
        <v>389</v>
      </c>
      <c r="D41" s="494">
        <v>2022</v>
      </c>
      <c r="E41" s="494">
        <f>D41+1</f>
        <v>2023</v>
      </c>
      <c r="F41" s="494">
        <f t="shared" ref="F41:W41" si="10">E41+1</f>
        <v>2024</v>
      </c>
      <c r="G41" s="494">
        <f t="shared" si="10"/>
        <v>2025</v>
      </c>
      <c r="H41" s="494">
        <f t="shared" si="10"/>
        <v>2026</v>
      </c>
      <c r="I41" s="494">
        <f t="shared" si="10"/>
        <v>2027</v>
      </c>
      <c r="J41" s="494">
        <f t="shared" si="10"/>
        <v>2028</v>
      </c>
      <c r="K41" s="494">
        <f t="shared" si="10"/>
        <v>2029</v>
      </c>
      <c r="L41" s="494">
        <f t="shared" si="10"/>
        <v>2030</v>
      </c>
      <c r="M41" s="494">
        <f t="shared" si="10"/>
        <v>2031</v>
      </c>
      <c r="N41" s="494">
        <f t="shared" si="10"/>
        <v>2032</v>
      </c>
      <c r="O41" s="494">
        <f t="shared" si="10"/>
        <v>2033</v>
      </c>
      <c r="P41" s="494">
        <f t="shared" si="10"/>
        <v>2034</v>
      </c>
      <c r="Q41" s="494">
        <f t="shared" si="10"/>
        <v>2035</v>
      </c>
      <c r="R41" s="494">
        <f t="shared" si="10"/>
        <v>2036</v>
      </c>
      <c r="S41" s="494">
        <f t="shared" si="10"/>
        <v>2037</v>
      </c>
      <c r="T41" s="494">
        <f t="shared" si="10"/>
        <v>2038</v>
      </c>
      <c r="U41" s="494">
        <f t="shared" si="10"/>
        <v>2039</v>
      </c>
      <c r="V41" s="494">
        <f t="shared" si="10"/>
        <v>2040</v>
      </c>
      <c r="W41" s="494">
        <f t="shared" si="10"/>
        <v>2041</v>
      </c>
    </row>
    <row r="42" spans="2:23">
      <c r="B42" s="493">
        <f>NPV($L$8,D42:W42)</f>
        <v>207944.77362022243</v>
      </c>
      <c r="C42" s="494" t="s">
        <v>386</v>
      </c>
      <c r="D42" s="495">
        <f>IF(AND(E$41-$D$41&gt;0,E$41-$D$41&lt;=ROUNDDOWN($H5,0)),$L$6*$E5,IF(AND(D$41-$D$41-$H5&lt;1,D$41-$D$41-$H5&lt;0),$E5*$L$6*($H5-ROUNDDOWN($H5,0)),0))</f>
        <v>19816.48</v>
      </c>
      <c r="E42" s="495">
        <f t="shared" ref="E42:W42" si="11">IF(AND(F$41-$D$41&gt;0,F$41-$D$41&lt;=ROUNDDOWN($H5,0)),$L$6*$E5,IF(AND(E$41-$D$41-$H5&lt;1,E$41-$D$41-$H5&lt;0),$E5*$L$6*($H5-ROUNDDOWN($H5,0)),0))</f>
        <v>19816.48</v>
      </c>
      <c r="F42" s="495">
        <f t="shared" si="11"/>
        <v>19816.48</v>
      </c>
      <c r="G42" s="495">
        <f t="shared" si="11"/>
        <v>19816.48</v>
      </c>
      <c r="H42" s="495">
        <f t="shared" si="11"/>
        <v>19816.48</v>
      </c>
      <c r="I42" s="495">
        <f t="shared" si="11"/>
        <v>19816.48</v>
      </c>
      <c r="J42" s="495">
        <f t="shared" si="11"/>
        <v>19816.48</v>
      </c>
      <c r="K42" s="495">
        <f t="shared" si="11"/>
        <v>19816.48</v>
      </c>
      <c r="L42" s="495">
        <f t="shared" si="11"/>
        <v>19816.48</v>
      </c>
      <c r="M42" s="495">
        <f t="shared" si="11"/>
        <v>19816.48</v>
      </c>
      <c r="N42" s="495">
        <f t="shared" si="11"/>
        <v>19816.48</v>
      </c>
      <c r="O42" s="495">
        <f t="shared" si="11"/>
        <v>19816.48</v>
      </c>
      <c r="P42" s="495">
        <f t="shared" si="11"/>
        <v>19816.48</v>
      </c>
      <c r="Q42" s="495">
        <f t="shared" si="11"/>
        <v>19816.48</v>
      </c>
      <c r="R42" s="495">
        <f t="shared" si="11"/>
        <v>15595.999999999982</v>
      </c>
      <c r="S42" s="495">
        <f t="shared" si="11"/>
        <v>0</v>
      </c>
      <c r="T42" s="495">
        <f t="shared" si="11"/>
        <v>0</v>
      </c>
      <c r="U42" s="495">
        <f t="shared" si="11"/>
        <v>0</v>
      </c>
      <c r="V42" s="495">
        <f t="shared" si="11"/>
        <v>0</v>
      </c>
      <c r="W42" s="495">
        <f t="shared" si="11"/>
        <v>0</v>
      </c>
    </row>
    <row r="43" spans="2:23">
      <c r="B43" s="493">
        <f t="shared" ref="B43:B51" si="12">NPV($L$8,D43:W43)</f>
        <v>78640.191086447681</v>
      </c>
      <c r="C43" s="494" t="s">
        <v>388</v>
      </c>
      <c r="D43" s="495">
        <f t="shared" ref="D43:W50" si="13">IF(AND(E$41-$D$41&gt;0,E$41-$D$41&lt;=ROUNDDOWN($H6,0)),$L$6*$E6,IF(AND(D$41-$D$41-$H6&lt;1,D$41-$D$41-$H6&lt;0),$E6*$L$6*($H6-ROUNDDOWN($H6,0)),0))</f>
        <v>6196.4000000000005</v>
      </c>
      <c r="E43" s="495">
        <f t="shared" si="13"/>
        <v>6196.4000000000005</v>
      </c>
      <c r="F43" s="495">
        <f t="shared" si="13"/>
        <v>6196.4000000000005</v>
      </c>
      <c r="G43" s="495">
        <f t="shared" si="13"/>
        <v>6196.4000000000005</v>
      </c>
      <c r="H43" s="495">
        <f t="shared" si="13"/>
        <v>6196.4000000000005</v>
      </c>
      <c r="I43" s="495">
        <f t="shared" si="13"/>
        <v>6196.4000000000005</v>
      </c>
      <c r="J43" s="495">
        <f t="shared" si="13"/>
        <v>6196.4000000000005</v>
      </c>
      <c r="K43" s="495">
        <f t="shared" si="13"/>
        <v>6196.4000000000005</v>
      </c>
      <c r="L43" s="495">
        <f t="shared" si="13"/>
        <v>6196.4000000000005</v>
      </c>
      <c r="M43" s="495">
        <f t="shared" si="13"/>
        <v>6196.4000000000005</v>
      </c>
      <c r="N43" s="495">
        <f t="shared" si="13"/>
        <v>6196.4000000000005</v>
      </c>
      <c r="O43" s="495">
        <f t="shared" si="13"/>
        <v>6196.4000000000005</v>
      </c>
      <c r="P43" s="495">
        <f t="shared" si="13"/>
        <v>6196.4000000000005</v>
      </c>
      <c r="Q43" s="495">
        <f t="shared" si="13"/>
        <v>6196.4000000000005</v>
      </c>
      <c r="R43" s="495">
        <f t="shared" si="13"/>
        <v>6196.4000000000005</v>
      </c>
      <c r="S43" s="495">
        <f t="shared" si="13"/>
        <v>6196.4000000000005</v>
      </c>
      <c r="T43" s="495">
        <f t="shared" si="13"/>
        <v>6196.4000000000005</v>
      </c>
      <c r="U43" s="495">
        <f t="shared" si="13"/>
        <v>6196.4000000000005</v>
      </c>
      <c r="V43" s="495">
        <f t="shared" si="13"/>
        <v>6196.4000000000005</v>
      </c>
      <c r="W43" s="495">
        <f t="shared" si="13"/>
        <v>4567.2800000000052</v>
      </c>
    </row>
    <row r="44" spans="2:23">
      <c r="B44" s="493">
        <f t="shared" si="12"/>
        <v>51868.307659378115</v>
      </c>
      <c r="C44" s="494" t="s">
        <v>390</v>
      </c>
      <c r="D44" s="495">
        <f t="shared" si="13"/>
        <v>4184.08</v>
      </c>
      <c r="E44" s="495">
        <f t="shared" si="13"/>
        <v>4184.08</v>
      </c>
      <c r="F44" s="495">
        <f t="shared" si="13"/>
        <v>4184.08</v>
      </c>
      <c r="G44" s="495">
        <f t="shared" si="13"/>
        <v>4184.08</v>
      </c>
      <c r="H44" s="495">
        <f t="shared" si="13"/>
        <v>4184.08</v>
      </c>
      <c r="I44" s="495">
        <f t="shared" si="13"/>
        <v>4184.08</v>
      </c>
      <c r="J44" s="495">
        <f t="shared" si="13"/>
        <v>4184.08</v>
      </c>
      <c r="K44" s="495">
        <f t="shared" si="13"/>
        <v>4184.08</v>
      </c>
      <c r="L44" s="495">
        <f t="shared" si="13"/>
        <v>4184.08</v>
      </c>
      <c r="M44" s="495">
        <f t="shared" si="13"/>
        <v>4184.08</v>
      </c>
      <c r="N44" s="495">
        <f t="shared" si="13"/>
        <v>4184.08</v>
      </c>
      <c r="O44" s="495">
        <f t="shared" si="13"/>
        <v>4184.08</v>
      </c>
      <c r="P44" s="495">
        <f t="shared" si="13"/>
        <v>4184.08</v>
      </c>
      <c r="Q44" s="495">
        <f t="shared" si="13"/>
        <v>4184.08</v>
      </c>
      <c r="R44" s="495">
        <f t="shared" si="13"/>
        <v>4184.08</v>
      </c>
      <c r="S44" s="495">
        <f t="shared" si="13"/>
        <v>4184.08</v>
      </c>
      <c r="T44" s="495">
        <f t="shared" si="13"/>
        <v>4184.08</v>
      </c>
      <c r="U44" s="495">
        <f t="shared" si="13"/>
        <v>4184.08</v>
      </c>
      <c r="V44" s="495">
        <f t="shared" si="13"/>
        <v>4184.08</v>
      </c>
      <c r="W44" s="495">
        <f t="shared" si="13"/>
        <v>0.39999999999795649</v>
      </c>
    </row>
    <row r="45" spans="2:23">
      <c r="B45" s="493">
        <f t="shared" si="12"/>
        <v>1431639.0885823683</v>
      </c>
      <c r="C45" s="494" t="s">
        <v>391</v>
      </c>
      <c r="D45" s="495">
        <f t="shared" si="13"/>
        <v>141920.48000000001</v>
      </c>
      <c r="E45" s="495">
        <f t="shared" si="13"/>
        <v>141920.48000000001</v>
      </c>
      <c r="F45" s="495">
        <f t="shared" si="13"/>
        <v>141920.48000000001</v>
      </c>
      <c r="G45" s="495">
        <f t="shared" si="13"/>
        <v>141920.48000000001</v>
      </c>
      <c r="H45" s="495">
        <f t="shared" si="13"/>
        <v>141920.48000000001</v>
      </c>
      <c r="I45" s="495">
        <f t="shared" si="13"/>
        <v>141920.48000000001</v>
      </c>
      <c r="J45" s="495">
        <f t="shared" si="13"/>
        <v>141920.48000000001</v>
      </c>
      <c r="K45" s="495">
        <f t="shared" si="13"/>
        <v>141920.48000000001</v>
      </c>
      <c r="L45" s="495">
        <f t="shared" si="13"/>
        <v>141920.48000000001</v>
      </c>
      <c r="M45" s="495">
        <f t="shared" si="13"/>
        <v>141920.48000000001</v>
      </c>
      <c r="N45" s="495">
        <f t="shared" si="13"/>
        <v>141920.48000000001</v>
      </c>
      <c r="O45" s="495">
        <f t="shared" si="13"/>
        <v>141920.48000000001</v>
      </c>
      <c r="P45" s="495">
        <f t="shared" si="13"/>
        <v>141920.48000000001</v>
      </c>
      <c r="Q45" s="495">
        <f t="shared" si="13"/>
        <v>139177.59999999998</v>
      </c>
      <c r="R45" s="495">
        <f t="shared" si="13"/>
        <v>0</v>
      </c>
      <c r="S45" s="495">
        <f t="shared" si="13"/>
        <v>0</v>
      </c>
      <c r="T45" s="495">
        <f t="shared" si="13"/>
        <v>0</v>
      </c>
      <c r="U45" s="495">
        <f t="shared" si="13"/>
        <v>0</v>
      </c>
      <c r="V45" s="495">
        <f t="shared" si="13"/>
        <v>0</v>
      </c>
      <c r="W45" s="495">
        <f t="shared" si="13"/>
        <v>0</v>
      </c>
    </row>
    <row r="46" spans="2:23">
      <c r="B46" s="493">
        <f t="shared" si="12"/>
        <v>15358.320279625121</v>
      </c>
      <c r="C46" s="494" t="s">
        <v>392</v>
      </c>
      <c r="D46" s="495">
        <f t="shared" si="13"/>
        <v>1702.64</v>
      </c>
      <c r="E46" s="495">
        <f t="shared" si="13"/>
        <v>1702.64</v>
      </c>
      <c r="F46" s="495">
        <f t="shared" si="13"/>
        <v>1702.64</v>
      </c>
      <c r="G46" s="495">
        <f t="shared" si="13"/>
        <v>1702.64</v>
      </c>
      <c r="H46" s="495">
        <f t="shared" si="13"/>
        <v>1702.64</v>
      </c>
      <c r="I46" s="495">
        <f t="shared" si="13"/>
        <v>1702.64</v>
      </c>
      <c r="J46" s="495">
        <f t="shared" si="13"/>
        <v>1702.64</v>
      </c>
      <c r="K46" s="495">
        <f t="shared" si="13"/>
        <v>1702.64</v>
      </c>
      <c r="L46" s="495">
        <f t="shared" si="13"/>
        <v>1702.64</v>
      </c>
      <c r="M46" s="495">
        <f t="shared" si="13"/>
        <v>1702.64</v>
      </c>
      <c r="N46" s="495">
        <f t="shared" si="13"/>
        <v>1702.64</v>
      </c>
      <c r="O46" s="495">
        <f t="shared" si="13"/>
        <v>1702.64</v>
      </c>
      <c r="P46" s="495">
        <f t="shared" si="13"/>
        <v>7.9999999999185722E-2</v>
      </c>
      <c r="Q46" s="495">
        <f t="shared" si="13"/>
        <v>0</v>
      </c>
      <c r="R46" s="495">
        <f t="shared" si="13"/>
        <v>0</v>
      </c>
      <c r="S46" s="495">
        <f t="shared" si="13"/>
        <v>0</v>
      </c>
      <c r="T46" s="495">
        <f t="shared" si="13"/>
        <v>0</v>
      </c>
      <c r="U46" s="495">
        <f t="shared" si="13"/>
        <v>0</v>
      </c>
      <c r="V46" s="495">
        <f t="shared" si="13"/>
        <v>0</v>
      </c>
      <c r="W46" s="495">
        <f t="shared" si="13"/>
        <v>0</v>
      </c>
    </row>
    <row r="47" spans="2:23">
      <c r="B47" s="493">
        <f t="shared" si="12"/>
        <v>83774.114051007738</v>
      </c>
      <c r="C47" s="494" t="s">
        <v>393</v>
      </c>
      <c r="D47" s="495">
        <f t="shared" si="13"/>
        <v>87703.12</v>
      </c>
      <c r="E47" s="495">
        <f t="shared" si="13"/>
        <v>0</v>
      </c>
      <c r="F47" s="495">
        <f t="shared" si="13"/>
        <v>0</v>
      </c>
      <c r="G47" s="495">
        <f t="shared" si="13"/>
        <v>0</v>
      </c>
      <c r="H47" s="495">
        <f t="shared" si="13"/>
        <v>0</v>
      </c>
      <c r="I47" s="495">
        <f t="shared" si="13"/>
        <v>0</v>
      </c>
      <c r="J47" s="495">
        <f t="shared" si="13"/>
        <v>0</v>
      </c>
      <c r="K47" s="495">
        <f t="shared" si="13"/>
        <v>0</v>
      </c>
      <c r="L47" s="495">
        <f t="shared" si="13"/>
        <v>0</v>
      </c>
      <c r="M47" s="495">
        <f t="shared" si="13"/>
        <v>0</v>
      </c>
      <c r="N47" s="495">
        <f t="shared" si="13"/>
        <v>0</v>
      </c>
      <c r="O47" s="495">
        <f t="shared" si="13"/>
        <v>0</v>
      </c>
      <c r="P47" s="495">
        <f t="shared" si="13"/>
        <v>0</v>
      </c>
      <c r="Q47" s="495">
        <f t="shared" si="13"/>
        <v>0</v>
      </c>
      <c r="R47" s="495">
        <f t="shared" si="13"/>
        <v>0</v>
      </c>
      <c r="S47" s="495">
        <f t="shared" si="13"/>
        <v>0</v>
      </c>
      <c r="T47" s="495">
        <f t="shared" si="13"/>
        <v>0</v>
      </c>
      <c r="U47" s="495">
        <f t="shared" si="13"/>
        <v>0</v>
      </c>
      <c r="V47" s="495">
        <f t="shared" si="13"/>
        <v>0</v>
      </c>
      <c r="W47" s="495">
        <f t="shared" si="13"/>
        <v>0</v>
      </c>
    </row>
    <row r="48" spans="2:23">
      <c r="B48" s="493">
        <f t="shared" si="12"/>
        <v>5613.0943373103901</v>
      </c>
      <c r="C48" s="494" t="s">
        <v>394</v>
      </c>
      <c r="D48" s="495">
        <f t="shared" si="13"/>
        <v>716</v>
      </c>
      <c r="E48" s="495">
        <f t="shared" si="13"/>
        <v>716</v>
      </c>
      <c r="F48" s="495">
        <f t="shared" si="13"/>
        <v>716</v>
      </c>
      <c r="G48" s="495">
        <f t="shared" si="13"/>
        <v>716</v>
      </c>
      <c r="H48" s="495">
        <f t="shared" si="13"/>
        <v>716</v>
      </c>
      <c r="I48" s="495">
        <f t="shared" si="13"/>
        <v>716</v>
      </c>
      <c r="J48" s="495">
        <f t="shared" si="13"/>
        <v>716</v>
      </c>
      <c r="K48" s="495">
        <f t="shared" si="13"/>
        <v>716</v>
      </c>
      <c r="L48" s="495">
        <f t="shared" si="13"/>
        <v>716</v>
      </c>
      <c r="M48" s="495">
        <f t="shared" si="13"/>
        <v>716</v>
      </c>
      <c r="N48" s="495">
        <f t="shared" si="13"/>
        <v>0.23999999999951882</v>
      </c>
      <c r="O48" s="495">
        <f t="shared" si="13"/>
        <v>0</v>
      </c>
      <c r="P48" s="495">
        <f t="shared" si="13"/>
        <v>0</v>
      </c>
      <c r="Q48" s="495">
        <f t="shared" si="13"/>
        <v>0</v>
      </c>
      <c r="R48" s="495">
        <f t="shared" si="13"/>
        <v>0</v>
      </c>
      <c r="S48" s="495">
        <f t="shared" si="13"/>
        <v>0</v>
      </c>
      <c r="T48" s="495">
        <f t="shared" si="13"/>
        <v>0</v>
      </c>
      <c r="U48" s="495">
        <f t="shared" si="13"/>
        <v>0</v>
      </c>
      <c r="V48" s="495">
        <f t="shared" si="13"/>
        <v>0</v>
      </c>
      <c r="W48" s="495">
        <f t="shared" si="13"/>
        <v>0</v>
      </c>
    </row>
    <row r="49" spans="2:23">
      <c r="B49" s="493">
        <f t="shared" si="12"/>
        <v>370647.69236070558</v>
      </c>
      <c r="C49" s="494" t="s">
        <v>395</v>
      </c>
      <c r="D49" s="495">
        <f t="shared" si="13"/>
        <v>31919.280000000002</v>
      </c>
      <c r="E49" s="495">
        <f t="shared" si="13"/>
        <v>31919.280000000002</v>
      </c>
      <c r="F49" s="495">
        <f t="shared" si="13"/>
        <v>31919.280000000002</v>
      </c>
      <c r="G49" s="495">
        <f t="shared" si="13"/>
        <v>31919.280000000002</v>
      </c>
      <c r="H49" s="495">
        <f t="shared" si="13"/>
        <v>31919.280000000002</v>
      </c>
      <c r="I49" s="495">
        <f t="shared" si="13"/>
        <v>31919.280000000002</v>
      </c>
      <c r="J49" s="495">
        <f t="shared" si="13"/>
        <v>31919.280000000002</v>
      </c>
      <c r="K49" s="495">
        <f t="shared" si="13"/>
        <v>31919.280000000002</v>
      </c>
      <c r="L49" s="495">
        <f t="shared" si="13"/>
        <v>31919.280000000002</v>
      </c>
      <c r="M49" s="495">
        <f t="shared" si="13"/>
        <v>31919.280000000002</v>
      </c>
      <c r="N49" s="495">
        <f t="shared" si="13"/>
        <v>31919.280000000002</v>
      </c>
      <c r="O49" s="495">
        <f t="shared" si="13"/>
        <v>31919.280000000002</v>
      </c>
      <c r="P49" s="495">
        <f t="shared" si="13"/>
        <v>31919.280000000002</v>
      </c>
      <c r="Q49" s="495">
        <f t="shared" si="13"/>
        <v>31919.280000000002</v>
      </c>
      <c r="R49" s="495">
        <f t="shared" si="13"/>
        <v>31919.280000000002</v>
      </c>
      <c r="S49" s="495">
        <f t="shared" si="13"/>
        <v>31919.280000000002</v>
      </c>
      <c r="T49" s="495">
        <f t="shared" si="13"/>
        <v>31919.280000000002</v>
      </c>
      <c r="U49" s="495">
        <f t="shared" si="13"/>
        <v>5267.5199999999986</v>
      </c>
      <c r="V49" s="495">
        <f t="shared" si="13"/>
        <v>0</v>
      </c>
      <c r="W49" s="495">
        <f t="shared" si="13"/>
        <v>0</v>
      </c>
    </row>
    <row r="50" spans="2:23">
      <c r="B50" s="493">
        <f t="shared" si="12"/>
        <v>46699.77475255746</v>
      </c>
      <c r="C50" s="494" t="s">
        <v>396</v>
      </c>
      <c r="D50" s="495">
        <f t="shared" si="13"/>
        <v>3933.6</v>
      </c>
      <c r="E50" s="495">
        <f t="shared" si="13"/>
        <v>3933.6</v>
      </c>
      <c r="F50" s="495">
        <f t="shared" si="13"/>
        <v>3933.6</v>
      </c>
      <c r="G50" s="495">
        <f t="shared" si="13"/>
        <v>3933.6</v>
      </c>
      <c r="H50" s="495">
        <f t="shared" si="13"/>
        <v>3933.6</v>
      </c>
      <c r="I50" s="495">
        <f t="shared" si="13"/>
        <v>3933.6</v>
      </c>
      <c r="J50" s="495">
        <f t="shared" si="13"/>
        <v>3933.6</v>
      </c>
      <c r="K50" s="495">
        <f t="shared" si="13"/>
        <v>3933.6</v>
      </c>
      <c r="L50" s="495">
        <f t="shared" si="13"/>
        <v>3933.6</v>
      </c>
      <c r="M50" s="495">
        <f t="shared" si="13"/>
        <v>3933.6</v>
      </c>
      <c r="N50" s="495">
        <f t="shared" si="13"/>
        <v>3933.6</v>
      </c>
      <c r="O50" s="495">
        <f t="shared" si="13"/>
        <v>3933.6</v>
      </c>
      <c r="P50" s="495">
        <f t="shared" si="13"/>
        <v>3933.6</v>
      </c>
      <c r="Q50" s="495">
        <f t="shared" si="13"/>
        <v>3933.6</v>
      </c>
      <c r="R50" s="495">
        <f t="shared" si="13"/>
        <v>3933.6</v>
      </c>
      <c r="S50" s="495">
        <f t="shared" si="13"/>
        <v>3933.6</v>
      </c>
      <c r="T50" s="495">
        <f t="shared" si="13"/>
        <v>3933.6</v>
      </c>
      <c r="U50" s="495">
        <f t="shared" si="13"/>
        <v>2982.8000000000034</v>
      </c>
      <c r="V50" s="495">
        <f t="shared" si="13"/>
        <v>0</v>
      </c>
      <c r="W50" s="495">
        <f t="shared" si="13"/>
        <v>0</v>
      </c>
    </row>
    <row r="51" spans="2:23">
      <c r="B51" s="493">
        <f t="shared" si="12"/>
        <v>2292185.356729622</v>
      </c>
      <c r="C51" s="494" t="s">
        <v>145</v>
      </c>
      <c r="D51" s="495">
        <f>SUM(D42:D50)</f>
        <v>298092.08</v>
      </c>
      <c r="E51" s="495">
        <f t="shared" ref="E51:W51" si="14">SUM(E42:E50)</f>
        <v>210388.96000000002</v>
      </c>
      <c r="F51" s="495">
        <f t="shared" si="14"/>
        <v>210388.96000000002</v>
      </c>
      <c r="G51" s="495">
        <f t="shared" si="14"/>
        <v>210388.96000000002</v>
      </c>
      <c r="H51" s="495">
        <f t="shared" si="14"/>
        <v>210388.96000000002</v>
      </c>
      <c r="I51" s="495">
        <f t="shared" si="14"/>
        <v>210388.96000000002</v>
      </c>
      <c r="J51" s="495">
        <f t="shared" si="14"/>
        <v>210388.96000000002</v>
      </c>
      <c r="K51" s="495">
        <f t="shared" si="14"/>
        <v>210388.96000000002</v>
      </c>
      <c r="L51" s="495">
        <f t="shared" si="14"/>
        <v>210388.96000000002</v>
      </c>
      <c r="M51" s="495">
        <f t="shared" si="14"/>
        <v>210388.96000000002</v>
      </c>
      <c r="N51" s="495">
        <f t="shared" si="14"/>
        <v>209673.2</v>
      </c>
      <c r="O51" s="495">
        <f t="shared" si="14"/>
        <v>209672.96000000002</v>
      </c>
      <c r="P51" s="495">
        <f t="shared" si="14"/>
        <v>207970.4</v>
      </c>
      <c r="Q51" s="495">
        <f t="shared" si="14"/>
        <v>205227.43999999997</v>
      </c>
      <c r="R51" s="495">
        <f t="shared" si="14"/>
        <v>61829.359999999979</v>
      </c>
      <c r="S51" s="495">
        <f t="shared" si="14"/>
        <v>46233.36</v>
      </c>
      <c r="T51" s="495">
        <f t="shared" si="14"/>
        <v>46233.36</v>
      </c>
      <c r="U51" s="495">
        <f t="shared" si="14"/>
        <v>18630.800000000003</v>
      </c>
      <c r="V51" s="495">
        <f t="shared" si="14"/>
        <v>10380.48</v>
      </c>
      <c r="W51" s="495">
        <f t="shared" si="14"/>
        <v>4567.680000000003</v>
      </c>
    </row>
  </sheetData>
  <mergeCells count="4">
    <mergeCell ref="C3:C4"/>
    <mergeCell ref="D3:E3"/>
    <mergeCell ref="F3:G3"/>
    <mergeCell ref="H3:H4"/>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K108"/>
  <sheetViews>
    <sheetView showGridLines="0" showRowColHeaders="0" zoomScale="110" zoomScaleNormal="110" workbookViewId="0">
      <pane ySplit="2" topLeftCell="A3" activePane="bottomLeft" state="frozen"/>
      <selection pane="bottomLeft" activeCell="C24" sqref="C24"/>
    </sheetView>
  </sheetViews>
  <sheetFormatPr defaultColWidth="9.140625" defaultRowHeight="12.75"/>
  <cols>
    <col min="1" max="1" width="1" style="2" customWidth="1"/>
    <col min="2" max="2" width="3.7109375" style="2" customWidth="1"/>
    <col min="3" max="3" width="7.85546875" style="2" customWidth="1"/>
    <col min="4" max="4" width="10" style="2" customWidth="1"/>
    <col min="5" max="6" width="18" style="2" customWidth="1"/>
    <col min="7" max="7" width="11.28515625" style="2" customWidth="1"/>
    <col min="8" max="8" width="18" style="2" customWidth="1"/>
    <col min="9" max="9" width="11.42578125" style="2" customWidth="1"/>
    <col min="10" max="10" width="9.140625" style="2"/>
    <col min="11" max="11" width="25.5703125" style="2" customWidth="1"/>
    <col min="12" max="12" width="1" style="2" customWidth="1"/>
    <col min="13" max="13" width="16" style="2" customWidth="1"/>
    <col min="14" max="16384" width="9.140625" style="2"/>
  </cols>
  <sheetData>
    <row r="1" spans="2:11" ht="28.5" customHeight="1"/>
    <row r="2" spans="2:11" ht="64.5" customHeight="1">
      <c r="B2" s="400"/>
      <c r="C2" s="614"/>
      <c r="D2" s="614"/>
      <c r="E2" s="614"/>
      <c r="F2" s="614"/>
      <c r="G2" s="614"/>
      <c r="H2" s="614"/>
      <c r="I2" s="614"/>
      <c r="J2" s="614"/>
      <c r="K2" s="401"/>
    </row>
    <row r="3" spans="2:11" ht="7.5" customHeight="1">
      <c r="B3" s="609"/>
      <c r="C3" s="610"/>
      <c r="D3" s="610"/>
      <c r="E3" s="610"/>
      <c r="F3" s="610"/>
      <c r="G3" s="610"/>
      <c r="H3" s="610"/>
      <c r="I3" s="610"/>
      <c r="J3" s="610"/>
      <c r="K3" s="611"/>
    </row>
    <row r="4" spans="2:11" ht="14.25" customHeight="1">
      <c r="B4" s="3"/>
      <c r="E4" s="267"/>
      <c r="F4" s="268"/>
      <c r="G4" s="268"/>
      <c r="H4" s="268"/>
      <c r="I4" s="268"/>
      <c r="K4" s="4"/>
    </row>
    <row r="5" spans="2:11" ht="27" customHeight="1">
      <c r="B5" s="3"/>
      <c r="C5" s="269"/>
      <c r="E5" s="270"/>
      <c r="F5" s="270"/>
      <c r="G5" s="270"/>
      <c r="H5" s="270"/>
      <c r="I5" s="270"/>
      <c r="K5" s="4"/>
    </row>
    <row r="6" spans="2:11" ht="12.75" customHeight="1">
      <c r="B6" s="3"/>
      <c r="E6" s="270"/>
      <c r="F6" s="270"/>
      <c r="G6" s="271"/>
      <c r="H6" s="270"/>
      <c r="I6" s="271"/>
      <c r="K6" s="4"/>
    </row>
    <row r="7" spans="2:11" ht="15" customHeight="1">
      <c r="B7" s="3"/>
      <c r="E7" s="231"/>
      <c r="F7" s="231"/>
      <c r="G7" s="272"/>
      <c r="H7" s="231"/>
      <c r="I7" s="272"/>
      <c r="K7" s="4"/>
    </row>
    <row r="8" spans="2:11" ht="15" customHeight="1">
      <c r="B8" s="3"/>
      <c r="E8" s="231"/>
      <c r="F8" s="231"/>
      <c r="G8" s="272"/>
      <c r="H8" s="231"/>
      <c r="I8" s="272"/>
      <c r="K8" s="4"/>
    </row>
    <row r="9" spans="2:11" ht="15" customHeight="1">
      <c r="B9" s="3"/>
      <c r="E9" s="231"/>
      <c r="F9" s="231"/>
      <c r="G9" s="272"/>
      <c r="H9" s="231"/>
      <c r="I9" s="272"/>
      <c r="K9" s="4"/>
    </row>
    <row r="10" spans="2:11" ht="15" customHeight="1">
      <c r="B10" s="3"/>
      <c r="E10" s="687" t="s">
        <v>257</v>
      </c>
      <c r="F10" s="687"/>
      <c r="G10" s="687"/>
      <c r="H10" s="687"/>
      <c r="I10" s="687"/>
      <c r="J10" s="687"/>
      <c r="K10" s="4"/>
    </row>
    <row r="11" spans="2:11" ht="15" customHeight="1">
      <c r="B11" s="3"/>
      <c r="E11" s="231"/>
      <c r="F11" s="231"/>
      <c r="G11" s="272"/>
      <c r="H11" s="231"/>
      <c r="I11" s="272"/>
      <c r="K11" s="4"/>
    </row>
    <row r="12" spans="2:11" ht="15" customHeight="1">
      <c r="B12" s="3"/>
      <c r="K12" s="4"/>
    </row>
    <row r="13" spans="2:11" ht="14.25" customHeight="1">
      <c r="B13" s="3"/>
      <c r="E13" s="267"/>
      <c r="F13" s="268"/>
      <c r="G13" s="268"/>
      <c r="H13" s="268"/>
      <c r="I13" s="268"/>
      <c r="K13" s="4"/>
    </row>
    <row r="14" spans="2:11" ht="39" customHeight="1">
      <c r="B14" s="3"/>
      <c r="C14" s="269"/>
      <c r="E14" s="270"/>
      <c r="F14" s="270"/>
      <c r="G14" s="270"/>
      <c r="H14" s="270"/>
      <c r="I14" s="270"/>
      <c r="K14" s="4"/>
    </row>
    <row r="15" spans="2:11" ht="9.75" customHeight="1">
      <c r="B15" s="3"/>
      <c r="E15" s="270"/>
      <c r="F15" s="270"/>
      <c r="G15" s="271"/>
      <c r="H15" s="270"/>
      <c r="I15" s="271"/>
      <c r="K15" s="4"/>
    </row>
    <row r="16" spans="2:11" ht="15" customHeight="1">
      <c r="B16" s="3"/>
      <c r="E16" s="273"/>
      <c r="F16" s="273"/>
      <c r="G16" s="272"/>
      <c r="H16" s="273"/>
      <c r="I16" s="272"/>
      <c r="K16" s="4"/>
    </row>
    <row r="17" spans="2:11" ht="15" customHeight="1">
      <c r="B17" s="3"/>
      <c r="E17" s="273"/>
      <c r="F17" s="273"/>
      <c r="G17" s="272"/>
      <c r="H17" s="273"/>
      <c r="I17" s="272"/>
      <c r="K17" s="4"/>
    </row>
    <row r="18" spans="2:11" ht="15" customHeight="1">
      <c r="B18" s="3"/>
      <c r="E18" s="273"/>
      <c r="F18" s="273"/>
      <c r="G18" s="272"/>
      <c r="H18" s="273"/>
      <c r="I18" s="272"/>
      <c r="K18" s="4"/>
    </row>
    <row r="19" spans="2:11" ht="15" customHeight="1">
      <c r="B19" s="3"/>
      <c r="E19" s="273"/>
      <c r="F19" s="273"/>
      <c r="G19" s="272"/>
      <c r="H19" s="273"/>
      <c r="I19" s="272"/>
      <c r="K19" s="4"/>
    </row>
    <row r="20" spans="2:11" ht="15" customHeight="1">
      <c r="B20" s="3"/>
      <c r="E20" s="273"/>
      <c r="F20" s="273"/>
      <c r="G20" s="272"/>
      <c r="H20" s="273"/>
      <c r="I20" s="272"/>
      <c r="K20" s="4"/>
    </row>
    <row r="21" spans="2:11" ht="15" customHeight="1">
      <c r="B21" s="5"/>
      <c r="C21" s="6"/>
      <c r="D21" s="6"/>
      <c r="E21" s="6"/>
      <c r="F21" s="6"/>
      <c r="G21" s="6"/>
      <c r="H21" s="6"/>
      <c r="I21" s="6"/>
      <c r="J21" s="6"/>
      <c r="K21" s="7"/>
    </row>
    <row r="22" spans="2:11" ht="1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sheetData>
  <sheetProtection algorithmName="SHA-512" hashValue="YZfvYd75zEfpRPT0nCqZcQ0NQjwUYFbG57Z9pCjqItDU7+lGMOHwjnD/9+bzZZdvMY6UOWMU+rao8qCgnGZ+vg==" saltValue="9ZYWqkEjNiRh3RWsVfwGIQ==" spinCount="100000" sheet="1" formatRows="0"/>
  <mergeCells count="1">
    <mergeCell ref="E10:J10"/>
  </mergeCells>
  <pageMargins left="0.25" right="0.25" top="0.25" bottom="0.25" header="0.3" footer="0.3"/>
  <pageSetup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1:Y56"/>
  <sheetViews>
    <sheetView showGridLines="0" zoomScale="90" zoomScaleNormal="90" workbookViewId="0">
      <pane xSplit="3" ySplit="4" topLeftCell="H5" activePane="bottomRight" state="frozen"/>
      <selection pane="topRight" activeCell="D1" sqref="D1"/>
      <selection pane="bottomLeft" activeCell="A5" sqref="A5"/>
      <selection pane="bottomRight" activeCell="W12" sqref="W12"/>
    </sheetView>
  </sheetViews>
  <sheetFormatPr defaultColWidth="9.140625" defaultRowHeight="12.75"/>
  <cols>
    <col min="1" max="1" width="1" style="2" customWidth="1"/>
    <col min="2" max="2" width="4" style="2" customWidth="1"/>
    <col min="3" max="3" width="35.7109375" style="2" customWidth="1"/>
    <col min="4" max="4" width="15" style="2" customWidth="1"/>
    <col min="5" max="5" width="4" style="2" customWidth="1"/>
    <col min="6" max="6" width="12" style="2" bestFit="1" customWidth="1"/>
    <col min="7" max="7" width="11" style="2" bestFit="1" customWidth="1"/>
    <col min="8" max="8" width="12" style="2" bestFit="1" customWidth="1"/>
    <col min="9" max="9" width="11.85546875" style="2" customWidth="1"/>
    <col min="10" max="10" width="1.7109375" style="2" customWidth="1"/>
    <col min="11" max="14" width="9.42578125" style="2" bestFit="1" customWidth="1"/>
    <col min="15" max="15" width="1.7109375" style="2" customWidth="1"/>
    <col min="16" max="19" width="10.7109375" style="2" customWidth="1"/>
    <col min="20" max="20" width="1.7109375" style="2" customWidth="1"/>
    <col min="21" max="24" width="10.7109375" style="2" customWidth="1"/>
    <col min="25" max="25" width="1.5703125" style="2" customWidth="1"/>
    <col min="26" max="26" width="1" style="2" customWidth="1"/>
    <col min="27" max="16384" width="9.140625" style="2"/>
  </cols>
  <sheetData>
    <row r="1" spans="2:25" ht="5.0999999999999996" customHeight="1" thickBot="1"/>
    <row r="2" spans="2:25" ht="38.25" customHeight="1">
      <c r="B2" s="722" t="s">
        <v>398</v>
      </c>
      <c r="C2" s="722"/>
      <c r="D2" s="722"/>
      <c r="E2" s="722"/>
      <c r="F2" s="722"/>
      <c r="G2" s="722"/>
      <c r="H2" s="722"/>
      <c r="I2" s="722"/>
      <c r="J2" s="722"/>
      <c r="K2" s="722"/>
      <c r="L2" s="722"/>
      <c r="M2" s="722"/>
      <c r="N2" s="722"/>
      <c r="O2" s="722"/>
      <c r="P2" s="722"/>
      <c r="Q2" s="722"/>
      <c r="R2" s="722"/>
      <c r="S2" s="722"/>
      <c r="T2" s="722"/>
      <c r="U2" s="722"/>
      <c r="V2" s="722"/>
      <c r="W2" s="722"/>
      <c r="X2" s="722"/>
      <c r="Y2" s="722"/>
    </row>
    <row r="3" spans="2:25" ht="72.75" customHeight="1">
      <c r="B3" s="609"/>
      <c r="C3" s="610"/>
      <c r="D3" s="610"/>
      <c r="E3" s="610"/>
      <c r="F3" s="610"/>
      <c r="G3" s="610"/>
      <c r="H3" s="610"/>
      <c r="I3" s="610"/>
      <c r="J3" s="610"/>
      <c r="K3" s="610"/>
      <c r="L3" s="610"/>
      <c r="M3" s="610"/>
      <c r="N3" s="610"/>
      <c r="O3" s="610"/>
      <c r="P3" s="610"/>
      <c r="Q3" s="610"/>
      <c r="R3" s="610"/>
      <c r="S3" s="610"/>
      <c r="T3" s="610"/>
      <c r="U3" s="610"/>
      <c r="V3" s="610"/>
      <c r="W3" s="610"/>
      <c r="X3" s="610"/>
      <c r="Y3" s="611"/>
    </row>
    <row r="4" spans="2:25" ht="18.75" customHeight="1">
      <c r="B4" s="3"/>
      <c r="Y4" s="4"/>
    </row>
    <row r="5" spans="2:25" ht="20.25" customHeight="1">
      <c r="B5" s="3"/>
      <c r="Y5" s="4"/>
    </row>
    <row r="6" spans="2:25" ht="19.5" thickBot="1">
      <c r="B6" s="3"/>
      <c r="C6" s="747" t="s">
        <v>357</v>
      </c>
      <c r="D6" s="747"/>
      <c r="E6" s="562"/>
      <c r="F6" s="741" t="s">
        <v>399</v>
      </c>
      <c r="G6" s="741"/>
      <c r="H6" s="741"/>
      <c r="I6" s="741"/>
      <c r="K6" s="741" t="str">
        <f>"Annual Net Energy Savings ("&amp;Energy_1&amp;")"</f>
        <v>Annual Net Energy Savings (Therms)</v>
      </c>
      <c r="L6" s="741"/>
      <c r="M6" s="741"/>
      <c r="N6" s="741"/>
      <c r="P6" s="741" t="str">
        <f>"Annual Net Demand Savings ("&amp;Demand_1&amp;")"</f>
        <v>Annual Net Demand Savings (Therms)</v>
      </c>
      <c r="Q6" s="741"/>
      <c r="R6" s="741"/>
      <c r="S6" s="741"/>
      <c r="U6" s="741" t="s">
        <v>400</v>
      </c>
      <c r="V6" s="741"/>
      <c r="W6" s="741"/>
      <c r="X6" s="741"/>
      <c r="Y6" s="4"/>
    </row>
    <row r="7" spans="2:25">
      <c r="B7" s="3"/>
      <c r="F7" s="742">
        <f>Prg_Year-2</f>
        <v>2023</v>
      </c>
      <c r="G7" s="743"/>
      <c r="H7" s="742">
        <f>F7+1</f>
        <v>2024</v>
      </c>
      <c r="I7" s="743"/>
      <c r="K7" s="742">
        <f>F7</f>
        <v>2023</v>
      </c>
      <c r="L7" s="743"/>
      <c r="M7" s="742">
        <f>H7</f>
        <v>2024</v>
      </c>
      <c r="N7" s="743"/>
      <c r="P7" s="742">
        <f>K7</f>
        <v>2023</v>
      </c>
      <c r="Q7" s="743"/>
      <c r="R7" s="742">
        <f>M7</f>
        <v>2024</v>
      </c>
      <c r="S7" s="743"/>
      <c r="U7" s="742">
        <f>P7</f>
        <v>2023</v>
      </c>
      <c r="V7" s="743"/>
      <c r="W7" s="742">
        <f>R7</f>
        <v>2024</v>
      </c>
      <c r="X7" s="743"/>
      <c r="Y7" s="4"/>
    </row>
    <row r="8" spans="2:25" ht="12.75" customHeight="1" thickBot="1">
      <c r="B8" s="16"/>
      <c r="C8" s="8" t="s">
        <v>85</v>
      </c>
      <c r="D8" s="8" t="s">
        <v>86</v>
      </c>
      <c r="E8" s="8"/>
      <c r="F8" s="111" t="s">
        <v>401</v>
      </c>
      <c r="G8" s="112" t="s">
        <v>402</v>
      </c>
      <c r="H8" s="111" t="s">
        <v>401</v>
      </c>
      <c r="I8" s="112" t="s">
        <v>402</v>
      </c>
      <c r="J8" s="8"/>
      <c r="K8" s="617" t="s">
        <v>403</v>
      </c>
      <c r="L8" s="618" t="s">
        <v>404</v>
      </c>
      <c r="M8" s="617" t="s">
        <v>403</v>
      </c>
      <c r="N8" s="618" t="s">
        <v>404</v>
      </c>
      <c r="O8" s="8"/>
      <c r="P8" s="617" t="s">
        <v>403</v>
      </c>
      <c r="Q8" s="618" t="s">
        <v>404</v>
      </c>
      <c r="R8" s="617" t="s">
        <v>403</v>
      </c>
      <c r="S8" s="618" t="s">
        <v>404</v>
      </c>
      <c r="U8" s="617" t="s">
        <v>403</v>
      </c>
      <c r="V8" s="618" t="s">
        <v>404</v>
      </c>
      <c r="W8" s="617" t="s">
        <v>403</v>
      </c>
      <c r="X8" s="618" t="s">
        <v>404</v>
      </c>
      <c r="Y8" s="4"/>
    </row>
    <row r="9" spans="2:25" ht="12.75" customHeight="1">
      <c r="B9" s="241">
        <v>1</v>
      </c>
      <c r="C9" s="242" t="str">
        <f>'Program Descriptions'!C5</f>
        <v>Residential Solutions Program</v>
      </c>
      <c r="D9" s="242" t="str">
        <f>IF(C9="Empty","",'Program Descriptions'!E5)</f>
        <v>Res/Small Business</v>
      </c>
      <c r="E9" s="242"/>
      <c r="F9" s="500">
        <v>3920500</v>
      </c>
      <c r="G9" s="503">
        <v>2203985</v>
      </c>
      <c r="H9" s="500">
        <v>6955355</v>
      </c>
      <c r="I9" s="503">
        <v>5455048</v>
      </c>
      <c r="J9" s="8"/>
      <c r="K9" s="106">
        <v>712680</v>
      </c>
      <c r="L9" s="505">
        <v>325161.36434798501</v>
      </c>
      <c r="M9" s="106">
        <v>1636112</v>
      </c>
      <c r="N9" s="505">
        <v>1295418</v>
      </c>
      <c r="O9" s="8"/>
      <c r="P9" s="106"/>
      <c r="Q9" s="107"/>
      <c r="R9" s="106"/>
      <c r="S9" s="107"/>
      <c r="U9" s="108">
        <v>5385</v>
      </c>
      <c r="V9" s="96">
        <v>2719</v>
      </c>
      <c r="W9" s="108">
        <v>30946</v>
      </c>
      <c r="X9" s="96">
        <v>76371</v>
      </c>
      <c r="Y9" s="4"/>
    </row>
    <row r="10" spans="2:25" ht="12.75" customHeight="1">
      <c r="B10" s="241">
        <v>2</v>
      </c>
      <c r="C10" s="242" t="str">
        <f>'Program Descriptions'!C6</f>
        <v>Access to Afford Energy &amp; Conservation</v>
      </c>
      <c r="D10" s="242" t="str">
        <f>IF(C10="Empty","",'Program Descriptions'!E6)</f>
        <v>Residential</v>
      </c>
      <c r="E10" s="242"/>
      <c r="F10" s="501">
        <v>299712</v>
      </c>
      <c r="G10" s="504">
        <v>72165</v>
      </c>
      <c r="H10" s="501">
        <v>1937440</v>
      </c>
      <c r="I10" s="504">
        <v>1384375</v>
      </c>
      <c r="J10" s="8"/>
      <c r="K10" s="108">
        <v>161622</v>
      </c>
      <c r="L10" s="505">
        <v>8950.28549523529</v>
      </c>
      <c r="M10" s="108">
        <v>580567</v>
      </c>
      <c r="N10" s="505">
        <v>555010</v>
      </c>
      <c r="O10" s="8"/>
      <c r="P10" s="108"/>
      <c r="Q10" s="96"/>
      <c r="R10" s="108"/>
      <c r="S10" s="96"/>
      <c r="U10" s="108">
        <v>38100</v>
      </c>
      <c r="V10" s="96">
        <v>4303</v>
      </c>
      <c r="W10" s="108">
        <v>17419</v>
      </c>
      <c r="X10" s="96">
        <v>72046</v>
      </c>
      <c r="Y10" s="4"/>
    </row>
    <row r="11" spans="2:25" ht="12.75" customHeight="1">
      <c r="B11" s="241">
        <v>3</v>
      </c>
      <c r="C11" s="242" t="str">
        <f>'Program Descriptions'!C7</f>
        <v>Commercial Solutions</v>
      </c>
      <c r="D11" s="242" t="str">
        <f>IF(C11="Empty","",'Program Descriptions'!E7)</f>
        <v>Commercial &amp; Industrial</v>
      </c>
      <c r="E11" s="242"/>
      <c r="F11" s="501">
        <v>362485</v>
      </c>
      <c r="G11" s="504">
        <v>359955</v>
      </c>
      <c r="H11" s="501">
        <v>3853972</v>
      </c>
      <c r="I11" s="504">
        <v>3859088</v>
      </c>
      <c r="J11" s="8"/>
      <c r="K11" s="108">
        <v>850000</v>
      </c>
      <c r="L11" s="505">
        <v>1096289.2013113501</v>
      </c>
      <c r="M11" s="108">
        <v>1807949</v>
      </c>
      <c r="N11" s="505">
        <v>1891964</v>
      </c>
      <c r="O11" s="8"/>
      <c r="P11" s="108"/>
      <c r="Q11" s="96"/>
      <c r="R11" s="108"/>
      <c r="S11" s="96"/>
      <c r="U11" s="108">
        <v>85000</v>
      </c>
      <c r="V11" s="96">
        <v>90038</v>
      </c>
      <c r="W11" s="108">
        <v>318</v>
      </c>
      <c r="X11" s="96">
        <v>325</v>
      </c>
      <c r="Y11" s="4"/>
    </row>
    <row r="12" spans="2:25" ht="12.75" customHeight="1">
      <c r="B12" s="241">
        <v>4</v>
      </c>
      <c r="C12" s="242" t="str">
        <f>'Program Descriptions'!C8</f>
        <v>Empty</v>
      </c>
      <c r="D12" s="242" t="str">
        <f>IF(C12="Empty","",'Program Descriptions'!E8)</f>
        <v/>
      </c>
      <c r="E12" s="242"/>
      <c r="F12" s="47"/>
      <c r="G12" s="105"/>
      <c r="H12" s="501"/>
      <c r="I12" s="504"/>
      <c r="J12" s="8"/>
      <c r="K12" s="108"/>
      <c r="L12" s="96"/>
      <c r="M12" s="108"/>
      <c r="N12" s="505"/>
      <c r="O12" s="8"/>
      <c r="P12" s="108"/>
      <c r="Q12" s="96"/>
      <c r="R12" s="108"/>
      <c r="S12" s="96"/>
      <c r="U12" s="108"/>
      <c r="V12" s="96"/>
      <c r="W12" s="502"/>
      <c r="X12" s="96"/>
      <c r="Y12" s="4"/>
    </row>
    <row r="13" spans="2:25" ht="12.75" customHeight="1">
      <c r="B13" s="241">
        <v>5</v>
      </c>
      <c r="C13" s="242" t="str">
        <f>'Program Descriptions'!C9</f>
        <v>Empty</v>
      </c>
      <c r="D13" s="242" t="str">
        <f>IF(C13="Empty","",'Program Descriptions'!E9)</f>
        <v/>
      </c>
      <c r="E13" s="242"/>
      <c r="F13" s="47"/>
      <c r="G13" s="105"/>
      <c r="H13" s="501"/>
      <c r="I13" s="504"/>
      <c r="J13" s="8"/>
      <c r="K13" s="108"/>
      <c r="L13" s="96"/>
      <c r="M13" s="108"/>
      <c r="N13" s="505"/>
      <c r="O13" s="8"/>
      <c r="P13" s="108"/>
      <c r="Q13" s="96"/>
      <c r="R13" s="108"/>
      <c r="S13" s="96"/>
      <c r="U13" s="108"/>
      <c r="V13" s="96"/>
      <c r="W13" s="108"/>
      <c r="X13" s="96"/>
      <c r="Y13" s="4"/>
    </row>
    <row r="14" spans="2:25" ht="12.75" customHeight="1">
      <c r="B14" s="241">
        <v>6</v>
      </c>
      <c r="C14" s="242" t="str">
        <f>'Program Descriptions'!C10</f>
        <v>Empty</v>
      </c>
      <c r="D14" s="242" t="str">
        <f>IF(C14="Empty","",'Program Descriptions'!E10)</f>
        <v/>
      </c>
      <c r="E14" s="242"/>
      <c r="F14" s="47"/>
      <c r="G14" s="105"/>
      <c r="H14" s="501"/>
      <c r="I14" s="504"/>
      <c r="J14" s="8"/>
      <c r="K14" s="108"/>
      <c r="L14" s="96"/>
      <c r="M14" s="108"/>
      <c r="N14" s="505"/>
      <c r="O14" s="8"/>
      <c r="P14" s="108"/>
      <c r="Q14" s="96"/>
      <c r="R14" s="108"/>
      <c r="S14" s="96"/>
      <c r="U14" s="108"/>
      <c r="V14" s="96"/>
      <c r="W14" s="108"/>
      <c r="X14" s="96"/>
      <c r="Y14" s="4"/>
    </row>
    <row r="15" spans="2:25" ht="12.75" customHeight="1">
      <c r="B15" s="241">
        <v>7</v>
      </c>
      <c r="C15" s="242" t="str">
        <f>'Program Descriptions'!C11</f>
        <v>Empty</v>
      </c>
      <c r="D15" s="242" t="str">
        <f>IF(C15="Empty","",'Program Descriptions'!E11)</f>
        <v/>
      </c>
      <c r="E15" s="242"/>
      <c r="F15" s="47"/>
      <c r="G15" s="105"/>
      <c r="H15" s="501"/>
      <c r="I15" s="504"/>
      <c r="J15" s="8"/>
      <c r="K15" s="108"/>
      <c r="L15" s="96"/>
      <c r="M15" s="108"/>
      <c r="N15" s="505"/>
      <c r="O15" s="8"/>
      <c r="P15" s="108"/>
      <c r="Q15" s="96"/>
      <c r="R15" s="108"/>
      <c r="S15" s="96"/>
      <c r="U15" s="108"/>
      <c r="V15" s="96"/>
      <c r="W15" s="108"/>
      <c r="X15" s="96"/>
      <c r="Y15" s="4"/>
    </row>
    <row r="16" spans="2:25" ht="12.75" customHeight="1">
      <c r="B16" s="241">
        <v>8</v>
      </c>
      <c r="C16" s="242" t="str">
        <f>'Program Descriptions'!C12</f>
        <v>Empty</v>
      </c>
      <c r="D16" s="242" t="str">
        <f>IF(C16="Empty","",'Program Descriptions'!E12)</f>
        <v/>
      </c>
      <c r="E16" s="242"/>
      <c r="F16" s="47"/>
      <c r="G16" s="105"/>
      <c r="H16" s="501"/>
      <c r="I16" s="504"/>
      <c r="J16" s="8"/>
      <c r="K16" s="108"/>
      <c r="L16" s="96"/>
      <c r="M16" s="108"/>
      <c r="N16" s="505"/>
      <c r="O16" s="8"/>
      <c r="P16" s="108"/>
      <c r="Q16" s="96"/>
      <c r="R16" s="108"/>
      <c r="S16" s="96"/>
      <c r="U16" s="108"/>
      <c r="V16" s="96"/>
      <c r="W16" s="108"/>
      <c r="X16" s="96"/>
      <c r="Y16" s="4"/>
    </row>
    <row r="17" spans="2:25" ht="12.75" customHeight="1">
      <c r="B17" s="241">
        <v>9</v>
      </c>
      <c r="C17" s="242" t="str">
        <f>'Program Descriptions'!C13</f>
        <v>Empty</v>
      </c>
      <c r="D17" s="242" t="str">
        <f>IF(C17="Empty","",'Program Descriptions'!E13)</f>
        <v/>
      </c>
      <c r="E17" s="242"/>
      <c r="F17" s="47"/>
      <c r="G17" s="105"/>
      <c r="H17" s="501"/>
      <c r="I17" s="504"/>
      <c r="J17" s="8"/>
      <c r="K17" s="108"/>
      <c r="L17" s="96"/>
      <c r="M17" s="108"/>
      <c r="N17" s="96"/>
      <c r="O17" s="8"/>
      <c r="P17" s="108"/>
      <c r="Q17" s="96"/>
      <c r="R17" s="108"/>
      <c r="S17" s="96"/>
      <c r="U17" s="108"/>
      <c r="V17" s="96"/>
      <c r="W17" s="108"/>
      <c r="X17" s="96"/>
      <c r="Y17" s="4"/>
    </row>
    <row r="18" spans="2:25" ht="12.75" customHeight="1">
      <c r="B18" s="241">
        <v>10</v>
      </c>
      <c r="C18" s="242" t="str">
        <f>'Program Descriptions'!C14</f>
        <v>Empty</v>
      </c>
      <c r="D18" s="242" t="str">
        <f>IF(C18="Empty","",'Program Descriptions'!E14)</f>
        <v/>
      </c>
      <c r="E18" s="242"/>
      <c r="F18" s="47"/>
      <c r="G18" s="105"/>
      <c r="H18" s="47"/>
      <c r="I18" s="105"/>
      <c r="J18" s="8"/>
      <c r="K18" s="108"/>
      <c r="L18" s="96"/>
      <c r="M18" s="108"/>
      <c r="N18" s="96"/>
      <c r="O18" s="8"/>
      <c r="P18" s="108"/>
      <c r="Q18" s="96"/>
      <c r="R18" s="108"/>
      <c r="S18" s="96"/>
      <c r="U18" s="108"/>
      <c r="V18" s="96"/>
      <c r="W18" s="108"/>
      <c r="X18" s="96"/>
      <c r="Y18" s="4"/>
    </row>
    <row r="19" spans="2:25" ht="12.75" customHeight="1">
      <c r="B19" s="241">
        <v>11</v>
      </c>
      <c r="C19" s="242" t="str">
        <f>'Program Descriptions'!C15</f>
        <v>Empty</v>
      </c>
      <c r="D19" s="242" t="str">
        <f>IF(C19="Empty","",'Program Descriptions'!E15)</f>
        <v/>
      </c>
      <c r="E19" s="242"/>
      <c r="F19" s="47"/>
      <c r="G19" s="105"/>
      <c r="H19" s="47"/>
      <c r="I19" s="105"/>
      <c r="J19" s="8"/>
      <c r="K19" s="108"/>
      <c r="L19" s="96"/>
      <c r="M19" s="108"/>
      <c r="N19" s="96"/>
      <c r="O19" s="8"/>
      <c r="P19" s="108"/>
      <c r="Q19" s="96"/>
      <c r="R19" s="108"/>
      <c r="S19" s="96"/>
      <c r="U19" s="108"/>
      <c r="V19" s="96"/>
      <c r="W19" s="108"/>
      <c r="X19" s="96"/>
      <c r="Y19" s="4"/>
    </row>
    <row r="20" spans="2:25" ht="12.75" customHeight="1">
      <c r="B20" s="241">
        <v>12</v>
      </c>
      <c r="C20" s="242" t="str">
        <f>'Program Descriptions'!C16</f>
        <v>Empty</v>
      </c>
      <c r="D20" s="242" t="str">
        <f>IF(C20="Empty","",'Program Descriptions'!E16)</f>
        <v/>
      </c>
      <c r="E20" s="242"/>
      <c r="F20" s="47"/>
      <c r="G20" s="105"/>
      <c r="H20" s="47"/>
      <c r="I20" s="105"/>
      <c r="J20" s="8"/>
      <c r="K20" s="108"/>
      <c r="L20" s="96"/>
      <c r="M20" s="108"/>
      <c r="N20" s="96"/>
      <c r="O20" s="8"/>
      <c r="P20" s="108"/>
      <c r="Q20" s="96"/>
      <c r="R20" s="108"/>
      <c r="S20" s="96"/>
      <c r="U20" s="108"/>
      <c r="V20" s="96"/>
      <c r="W20" s="108"/>
      <c r="X20" s="96"/>
      <c r="Y20" s="4"/>
    </row>
    <row r="21" spans="2:25" ht="12.75" customHeight="1">
      <c r="B21" s="241">
        <v>13</v>
      </c>
      <c r="C21" s="242" t="str">
        <f>'Program Descriptions'!C17</f>
        <v>Empty</v>
      </c>
      <c r="D21" s="242" t="str">
        <f>IF(C21="Empty","",'Program Descriptions'!E17)</f>
        <v/>
      </c>
      <c r="E21" s="242"/>
      <c r="F21" s="47"/>
      <c r="G21" s="105"/>
      <c r="H21" s="47"/>
      <c r="I21" s="105"/>
      <c r="J21" s="8"/>
      <c r="K21" s="108"/>
      <c r="L21" s="96"/>
      <c r="M21" s="108"/>
      <c r="N21" s="96"/>
      <c r="O21" s="8"/>
      <c r="P21" s="108"/>
      <c r="Q21" s="96"/>
      <c r="R21" s="108"/>
      <c r="S21" s="96"/>
      <c r="U21" s="108"/>
      <c r="V21" s="96"/>
      <c r="W21" s="108"/>
      <c r="X21" s="96"/>
      <c r="Y21" s="4"/>
    </row>
    <row r="22" spans="2:25" ht="12.75" customHeight="1">
      <c r="B22" s="241">
        <v>14</v>
      </c>
      <c r="C22" s="242" t="str">
        <f>'Program Descriptions'!C18</f>
        <v>Empty</v>
      </c>
      <c r="D22" s="242" t="str">
        <f>IF(C22="Empty","",'Program Descriptions'!E18)</f>
        <v/>
      </c>
      <c r="E22" s="242"/>
      <c r="F22" s="47"/>
      <c r="G22" s="105"/>
      <c r="H22" s="47"/>
      <c r="I22" s="105"/>
      <c r="J22" s="8"/>
      <c r="K22" s="108"/>
      <c r="L22" s="96"/>
      <c r="M22" s="108"/>
      <c r="N22" s="96"/>
      <c r="O22" s="8"/>
      <c r="P22" s="108"/>
      <c r="Q22" s="96"/>
      <c r="R22" s="108"/>
      <c r="S22" s="96"/>
      <c r="U22" s="108"/>
      <c r="V22" s="96"/>
      <c r="W22" s="108"/>
      <c r="X22" s="96"/>
      <c r="Y22" s="4"/>
    </row>
    <row r="23" spans="2:25" ht="12.75" customHeight="1">
      <c r="B23" s="241">
        <v>15</v>
      </c>
      <c r="C23" s="242" t="str">
        <f>'Program Descriptions'!C19</f>
        <v>Empty</v>
      </c>
      <c r="D23" s="242" t="str">
        <f>IF(C23="Empty","",'Program Descriptions'!E19)</f>
        <v/>
      </c>
      <c r="E23" s="242"/>
      <c r="F23" s="47"/>
      <c r="G23" s="105"/>
      <c r="H23" s="47"/>
      <c r="I23" s="105"/>
      <c r="J23" s="8"/>
      <c r="K23" s="108"/>
      <c r="L23" s="96"/>
      <c r="M23" s="108"/>
      <c r="N23" s="96"/>
      <c r="O23" s="8"/>
      <c r="P23" s="108"/>
      <c r="Q23" s="96"/>
      <c r="R23" s="108"/>
      <c r="S23" s="96"/>
      <c r="U23" s="108"/>
      <c r="V23" s="96"/>
      <c r="W23" s="108"/>
      <c r="X23" s="96"/>
      <c r="Y23" s="4"/>
    </row>
    <row r="24" spans="2:25" ht="12.75" customHeight="1">
      <c r="B24" s="241">
        <v>16</v>
      </c>
      <c r="C24" s="242" t="str">
        <f>'Program Descriptions'!C20</f>
        <v>Empty</v>
      </c>
      <c r="D24" s="242" t="str">
        <f>IF(C24="Empty","",'Program Descriptions'!E20)</f>
        <v/>
      </c>
      <c r="E24" s="242"/>
      <c r="F24" s="47"/>
      <c r="G24" s="105"/>
      <c r="H24" s="47"/>
      <c r="I24" s="105"/>
      <c r="J24" s="8"/>
      <c r="K24" s="108"/>
      <c r="L24" s="96"/>
      <c r="M24" s="108"/>
      <c r="N24" s="96"/>
      <c r="O24" s="8"/>
      <c r="P24" s="108"/>
      <c r="Q24" s="96"/>
      <c r="R24" s="108"/>
      <c r="S24" s="96"/>
      <c r="U24" s="108"/>
      <c r="V24" s="96"/>
      <c r="W24" s="108"/>
      <c r="X24" s="96"/>
      <c r="Y24" s="4"/>
    </row>
    <row r="25" spans="2:25" ht="12.75" customHeight="1">
      <c r="B25" s="241">
        <v>17</v>
      </c>
      <c r="C25" s="242" t="str">
        <f>'Program Descriptions'!C21</f>
        <v>Empty</v>
      </c>
      <c r="D25" s="242" t="str">
        <f>IF(C25="Empty","",'Program Descriptions'!E21)</f>
        <v/>
      </c>
      <c r="E25" s="242"/>
      <c r="F25" s="47"/>
      <c r="G25" s="105"/>
      <c r="H25" s="47"/>
      <c r="I25" s="105"/>
      <c r="J25" s="8"/>
      <c r="K25" s="108"/>
      <c r="L25" s="96"/>
      <c r="M25" s="108"/>
      <c r="N25" s="96"/>
      <c r="O25" s="8"/>
      <c r="P25" s="108"/>
      <c r="Q25" s="96"/>
      <c r="R25" s="108"/>
      <c r="S25" s="96"/>
      <c r="U25" s="108"/>
      <c r="V25" s="96"/>
      <c r="W25" s="108"/>
      <c r="X25" s="96"/>
      <c r="Y25" s="4"/>
    </row>
    <row r="26" spans="2:25" ht="12.75" customHeight="1">
      <c r="B26" s="241">
        <v>18</v>
      </c>
      <c r="C26" s="242" t="str">
        <f>'Program Descriptions'!C22</f>
        <v>Empty</v>
      </c>
      <c r="D26" s="242" t="str">
        <f>IF(C26="Empty","",'Program Descriptions'!E22)</f>
        <v/>
      </c>
      <c r="E26" s="242"/>
      <c r="F26" s="47"/>
      <c r="G26" s="105"/>
      <c r="H26" s="47"/>
      <c r="I26" s="105"/>
      <c r="J26" s="8"/>
      <c r="K26" s="108"/>
      <c r="L26" s="96"/>
      <c r="M26" s="108"/>
      <c r="N26" s="96"/>
      <c r="O26" s="8"/>
      <c r="P26" s="108"/>
      <c r="Q26" s="96"/>
      <c r="R26" s="108"/>
      <c r="S26" s="96"/>
      <c r="U26" s="108"/>
      <c r="V26" s="96"/>
      <c r="W26" s="108"/>
      <c r="X26" s="96"/>
      <c r="Y26" s="4"/>
    </row>
    <row r="27" spans="2:25" ht="12.75" customHeight="1">
      <c r="B27" s="241">
        <v>19</v>
      </c>
      <c r="C27" s="242" t="str">
        <f>'Program Descriptions'!C23</f>
        <v>Empty</v>
      </c>
      <c r="D27" s="242" t="str">
        <f>IF(C27="Empty","",'Program Descriptions'!E23)</f>
        <v/>
      </c>
      <c r="E27" s="242"/>
      <c r="F27" s="47"/>
      <c r="G27" s="105"/>
      <c r="H27" s="47"/>
      <c r="I27" s="105"/>
      <c r="J27" s="8"/>
      <c r="K27" s="108"/>
      <c r="L27" s="96"/>
      <c r="M27" s="108"/>
      <c r="N27" s="96"/>
      <c r="O27" s="8"/>
      <c r="P27" s="108"/>
      <c r="Q27" s="96"/>
      <c r="R27" s="108"/>
      <c r="S27" s="96"/>
      <c r="U27" s="108"/>
      <c r="V27" s="96"/>
      <c r="W27" s="108"/>
      <c r="X27" s="96"/>
      <c r="Y27" s="4"/>
    </row>
    <row r="28" spans="2:25" ht="12.75" customHeight="1" thickBot="1">
      <c r="B28" s="241">
        <v>20</v>
      </c>
      <c r="C28" s="242" t="str">
        <f>'Program Descriptions'!C24</f>
        <v>Empty</v>
      </c>
      <c r="D28" s="242" t="str">
        <f>IF(C28="Empty","",'Program Descriptions'!E24)</f>
        <v/>
      </c>
      <c r="E28" s="242"/>
      <c r="F28" s="612"/>
      <c r="G28" s="619"/>
      <c r="H28" s="612"/>
      <c r="I28" s="619"/>
      <c r="J28" s="8"/>
      <c r="K28" s="109"/>
      <c r="L28" s="99"/>
      <c r="M28" s="109"/>
      <c r="N28" s="99"/>
      <c r="O28" s="8"/>
      <c r="P28" s="109"/>
      <c r="Q28" s="99"/>
      <c r="R28" s="109"/>
      <c r="S28" s="99"/>
      <c r="U28" s="109"/>
      <c r="V28" s="99"/>
      <c r="W28" s="109"/>
      <c r="X28" s="99"/>
      <c r="Y28" s="4"/>
    </row>
    <row r="29" spans="2:25" ht="12.75" customHeight="1" thickBot="1">
      <c r="B29" s="16"/>
      <c r="C29" s="242" t="s">
        <v>405</v>
      </c>
      <c r="D29" s="242"/>
      <c r="E29" s="242"/>
      <c r="F29" s="91"/>
      <c r="G29" s="265"/>
      <c r="H29" s="91"/>
      <c r="I29" s="265"/>
      <c r="J29" s="8"/>
      <c r="K29" s="8"/>
      <c r="L29" s="8"/>
      <c r="M29" s="8"/>
      <c r="N29" s="8"/>
      <c r="O29" s="8"/>
      <c r="P29" s="8"/>
      <c r="Q29" s="8"/>
      <c r="R29" s="8"/>
      <c r="S29" s="8"/>
      <c r="Y29" s="4"/>
    </row>
    <row r="30" spans="2:25" ht="12.75" customHeight="1">
      <c r="B30" s="16"/>
      <c r="Y30" s="4"/>
    </row>
    <row r="31" spans="2:25" ht="12.75" customHeight="1">
      <c r="B31" s="16"/>
      <c r="C31" s="254"/>
      <c r="D31" s="254" t="s">
        <v>406</v>
      </c>
      <c r="E31" s="254"/>
      <c r="F31" s="10">
        <f>SUM(F9:F29)</f>
        <v>4582697</v>
      </c>
      <c r="G31" s="10">
        <f>SUM(G9:G29)</f>
        <v>2636105</v>
      </c>
      <c r="H31" s="10">
        <f>SUM(H9:H29)</f>
        <v>12746767</v>
      </c>
      <c r="I31" s="10">
        <f>SUM(I9:I29)</f>
        <v>10698511</v>
      </c>
      <c r="K31" s="113">
        <f>SUM(K9:K28)</f>
        <v>1724302</v>
      </c>
      <c r="L31" s="113">
        <f t="shared" ref="L31:V31" si="0">SUM(L9:L28)</f>
        <v>1430400.8511545705</v>
      </c>
      <c r="M31" s="113">
        <f t="shared" si="0"/>
        <v>4024628</v>
      </c>
      <c r="N31" s="113">
        <f t="shared" si="0"/>
        <v>3742392</v>
      </c>
      <c r="P31" s="113">
        <f t="shared" si="0"/>
        <v>0</v>
      </c>
      <c r="Q31" s="113">
        <f t="shared" si="0"/>
        <v>0</v>
      </c>
      <c r="R31" s="113">
        <f t="shared" si="0"/>
        <v>0</v>
      </c>
      <c r="S31" s="113">
        <f t="shared" si="0"/>
        <v>0</v>
      </c>
      <c r="U31" s="113">
        <f t="shared" si="0"/>
        <v>128485</v>
      </c>
      <c r="V31" s="113">
        <f t="shared" si="0"/>
        <v>97060</v>
      </c>
      <c r="W31" s="113">
        <f>SUM(W9:W28)</f>
        <v>48683</v>
      </c>
      <c r="X31" s="113">
        <f>SUM(X9:X28)</f>
        <v>148742</v>
      </c>
      <c r="Y31" s="4"/>
    </row>
    <row r="32" spans="2:25" ht="12.75" customHeight="1">
      <c r="B32" s="16"/>
      <c r="C32"/>
      <c r="D32"/>
      <c r="E32"/>
      <c r="Y32" s="4"/>
    </row>
    <row r="33" spans="2:25" ht="12.75" customHeight="1">
      <c r="B33" s="16"/>
      <c r="C33" s="261" t="s">
        <v>407</v>
      </c>
      <c r="D33" s="254"/>
      <c r="E33" s="254"/>
      <c r="F33" s="113"/>
      <c r="G33" s="113"/>
      <c r="H33" s="113"/>
      <c r="I33" s="113"/>
      <c r="Y33" s="4"/>
    </row>
    <row r="34" spans="2:25" ht="51.75" customHeight="1">
      <c r="B34" s="16"/>
      <c r="C34" s="744"/>
      <c r="D34" s="745"/>
      <c r="E34" s="745"/>
      <c r="F34" s="745"/>
      <c r="G34" s="745"/>
      <c r="H34" s="745"/>
      <c r="I34" s="745"/>
      <c r="J34" s="745"/>
      <c r="K34" s="745"/>
      <c r="L34" s="745"/>
      <c r="M34" s="745"/>
      <c r="N34" s="746"/>
      <c r="Y34" s="4"/>
    </row>
    <row r="35" spans="2:25" ht="12.75" customHeight="1">
      <c r="B35" s="16"/>
      <c r="C35" s="254"/>
      <c r="D35" s="254"/>
      <c r="E35" s="254"/>
      <c r="F35" s="113"/>
      <c r="G35" s="113"/>
      <c r="H35" s="113"/>
      <c r="I35" s="113"/>
      <c r="Y35" s="4"/>
    </row>
    <row r="36" spans="2:25" ht="12.75" customHeight="1">
      <c r="B36" s="16"/>
      <c r="C36" s="262"/>
      <c r="D36" s="262"/>
      <c r="E36" s="262"/>
      <c r="F36" s="263"/>
      <c r="G36" s="263"/>
      <c r="H36" s="263"/>
      <c r="I36" s="263"/>
      <c r="J36" s="264"/>
      <c r="K36" s="264"/>
      <c r="L36" s="264"/>
      <c r="M36" s="264"/>
      <c r="N36" s="264"/>
      <c r="O36" s="264"/>
      <c r="P36" s="264"/>
      <c r="Q36" s="264"/>
      <c r="R36" s="264"/>
      <c r="S36" s="264"/>
      <c r="T36" s="264"/>
      <c r="U36" s="264"/>
      <c r="V36" s="264"/>
      <c r="W36" s="264"/>
      <c r="X36" s="264"/>
      <c r="Y36" s="4"/>
    </row>
    <row r="37" spans="2:25" ht="19.5" customHeight="1" thickBot="1">
      <c r="B37" s="3"/>
      <c r="C37" s="747" t="s">
        <v>358</v>
      </c>
      <c r="D37" s="747"/>
      <c r="E37" s="562"/>
      <c r="F37" s="741" t="str">
        <f>F6</f>
        <v>Annual Budget &amp; Actual Costs</v>
      </c>
      <c r="G37" s="741"/>
      <c r="H37" s="741"/>
      <c r="I37" s="741"/>
      <c r="K37" s="741" t="str">
        <f>K6</f>
        <v>Annual Net Energy Savings (Therms)</v>
      </c>
      <c r="L37" s="741"/>
      <c r="M37" s="741"/>
      <c r="N37" s="741"/>
      <c r="P37" s="741" t="str">
        <f>P6</f>
        <v>Annual Net Demand Savings (Therms)</v>
      </c>
      <c r="Q37" s="741"/>
      <c r="R37" s="741"/>
      <c r="S37" s="741"/>
      <c r="U37" s="741" t="str">
        <f>U6</f>
        <v>Number of Participants</v>
      </c>
      <c r="V37" s="741"/>
      <c r="W37" s="741"/>
      <c r="X37" s="741"/>
      <c r="Y37" s="4"/>
    </row>
    <row r="38" spans="2:25" ht="12.75" customHeight="1">
      <c r="B38" s="3"/>
      <c r="E38" s="562"/>
      <c r="F38" s="742">
        <f>F7</f>
        <v>2023</v>
      </c>
      <c r="G38" s="743"/>
      <c r="H38" s="742">
        <f>H7</f>
        <v>2024</v>
      </c>
      <c r="I38" s="743"/>
      <c r="K38" s="742">
        <f>K7</f>
        <v>2023</v>
      </c>
      <c r="L38" s="743"/>
      <c r="M38" s="742">
        <f>M7</f>
        <v>2024</v>
      </c>
      <c r="N38" s="743"/>
      <c r="P38" s="742">
        <f>P7</f>
        <v>2023</v>
      </c>
      <c r="Q38" s="743"/>
      <c r="R38" s="742">
        <f>R7</f>
        <v>2024</v>
      </c>
      <c r="S38" s="743"/>
      <c r="U38" s="742">
        <f>U7</f>
        <v>2023</v>
      </c>
      <c r="V38" s="743"/>
      <c r="W38" s="742">
        <f>W7</f>
        <v>2024</v>
      </c>
      <c r="X38" s="743"/>
      <c r="Y38" s="4"/>
    </row>
    <row r="39" spans="2:25" ht="12.75" customHeight="1" thickBot="1">
      <c r="B39" s="16"/>
      <c r="C39" s="8" t="s">
        <v>85</v>
      </c>
      <c r="D39" s="8" t="s">
        <v>86</v>
      </c>
      <c r="E39" s="562"/>
      <c r="F39" s="111" t="str">
        <f>F8</f>
        <v>Budget</v>
      </c>
      <c r="G39" s="112" t="str">
        <f>G8</f>
        <v>Actual</v>
      </c>
      <c r="H39" s="111" t="str">
        <f>H8</f>
        <v>Budget</v>
      </c>
      <c r="I39" s="112" t="str">
        <f>I8</f>
        <v>Actual</v>
      </c>
      <c r="J39" s="8"/>
      <c r="K39" s="111" t="str">
        <f>K8</f>
        <v>Plan</v>
      </c>
      <c r="L39" s="112" t="str">
        <f>L8</f>
        <v>Evaluated</v>
      </c>
      <c r="M39" s="111" t="str">
        <f>M8</f>
        <v>Plan</v>
      </c>
      <c r="N39" s="112" t="str">
        <f>N8</f>
        <v>Evaluated</v>
      </c>
      <c r="O39" s="8"/>
      <c r="P39" s="111" t="str">
        <f>P8</f>
        <v>Plan</v>
      </c>
      <c r="Q39" s="112" t="str">
        <f>Q8</f>
        <v>Evaluated</v>
      </c>
      <c r="R39" s="111" t="str">
        <f>R8</f>
        <v>Plan</v>
      </c>
      <c r="S39" s="112" t="str">
        <f>S8</f>
        <v>Evaluated</v>
      </c>
      <c r="U39" s="111" t="str">
        <f>U8</f>
        <v>Plan</v>
      </c>
      <c r="V39" s="112" t="str">
        <f>V8</f>
        <v>Evaluated</v>
      </c>
      <c r="W39" s="111" t="str">
        <f>W8</f>
        <v>Plan</v>
      </c>
      <c r="X39" s="112" t="str">
        <f>X8</f>
        <v>Evaluated</v>
      </c>
      <c r="Y39" s="4"/>
    </row>
    <row r="40" spans="2:25" ht="13.5" customHeight="1">
      <c r="B40" s="241">
        <v>1</v>
      </c>
      <c r="C40" s="317" t="s">
        <v>408</v>
      </c>
      <c r="D40" s="317" t="s">
        <v>90</v>
      </c>
      <c r="E40" s="562"/>
      <c r="F40" s="46"/>
      <c r="G40" s="110"/>
      <c r="H40" s="46"/>
      <c r="I40" s="110"/>
      <c r="J40" s="8"/>
      <c r="K40" s="106"/>
      <c r="L40" s="107"/>
      <c r="M40" s="106"/>
      <c r="N40" s="107"/>
      <c r="O40" s="8"/>
      <c r="P40" s="106"/>
      <c r="Q40" s="107"/>
      <c r="R40" s="106"/>
      <c r="S40" s="107"/>
      <c r="U40" s="106"/>
      <c r="V40" s="107"/>
      <c r="W40" s="106"/>
      <c r="X40" s="107"/>
      <c r="Y40" s="4"/>
    </row>
    <row r="41" spans="2:25" ht="16.5" customHeight="1">
      <c r="B41" s="241">
        <v>2</v>
      </c>
      <c r="C41" s="317" t="s">
        <v>409</v>
      </c>
      <c r="D41" s="317" t="s">
        <v>90</v>
      </c>
      <c r="E41" s="562"/>
      <c r="F41" s="47"/>
      <c r="G41" s="105"/>
      <c r="H41" s="47"/>
      <c r="I41" s="105"/>
      <c r="J41" s="8"/>
      <c r="K41" s="108"/>
      <c r="L41" s="96"/>
      <c r="M41" s="108"/>
      <c r="N41" s="96"/>
      <c r="O41" s="8"/>
      <c r="P41" s="108"/>
      <c r="Q41" s="96"/>
      <c r="R41" s="108"/>
      <c r="S41" s="96"/>
      <c r="U41" s="108"/>
      <c r="V41" s="96"/>
      <c r="W41" s="108"/>
      <c r="X41" s="96"/>
      <c r="Y41" s="4"/>
    </row>
    <row r="42" spans="2:25" ht="12.75" customHeight="1">
      <c r="B42" s="241">
        <v>3</v>
      </c>
      <c r="C42" s="317" t="s">
        <v>410</v>
      </c>
      <c r="D42" s="317" t="s">
        <v>94</v>
      </c>
      <c r="E42" s="562"/>
      <c r="F42" s="47"/>
      <c r="G42" s="105"/>
      <c r="H42" s="47"/>
      <c r="I42" s="105"/>
      <c r="J42" s="8"/>
      <c r="K42" s="108"/>
      <c r="L42" s="96"/>
      <c r="M42" s="108"/>
      <c r="N42" s="96"/>
      <c r="O42" s="8"/>
      <c r="P42" s="108"/>
      <c r="Q42" s="96"/>
      <c r="R42" s="108"/>
      <c r="S42" s="96"/>
      <c r="U42" s="108"/>
      <c r="V42" s="96"/>
      <c r="W42" s="108"/>
      <c r="X42" s="96"/>
      <c r="Y42" s="4"/>
    </row>
    <row r="43" spans="2:25" ht="12.75" customHeight="1">
      <c r="B43" s="241">
        <v>4</v>
      </c>
      <c r="C43" s="317" t="s">
        <v>411</v>
      </c>
      <c r="D43" s="317" t="s">
        <v>94</v>
      </c>
      <c r="E43" s="562"/>
      <c r="F43" s="47"/>
      <c r="G43" s="105"/>
      <c r="H43" s="47"/>
      <c r="I43" s="105"/>
      <c r="J43" s="8"/>
      <c r="K43" s="108"/>
      <c r="L43" s="96"/>
      <c r="M43" s="108"/>
      <c r="N43" s="96"/>
      <c r="O43" s="8"/>
      <c r="P43" s="108"/>
      <c r="Q43" s="96"/>
      <c r="R43" s="108"/>
      <c r="S43" s="96"/>
      <c r="U43" s="108"/>
      <c r="V43" s="96"/>
      <c r="W43" s="108"/>
      <c r="X43" s="96"/>
      <c r="Y43" s="4"/>
    </row>
    <row r="44" spans="2:25" ht="12.75" customHeight="1">
      <c r="B44" s="241">
        <v>5</v>
      </c>
      <c r="C44" s="317"/>
      <c r="D44" s="317"/>
      <c r="E44" s="562"/>
      <c r="F44" s="47"/>
      <c r="G44" s="105"/>
      <c r="H44" s="47"/>
      <c r="I44" s="105"/>
      <c r="J44" s="8"/>
      <c r="K44" s="108"/>
      <c r="L44" s="96"/>
      <c r="M44" s="108"/>
      <c r="N44" s="96"/>
      <c r="O44" s="8"/>
      <c r="P44" s="108"/>
      <c r="Q44" s="96"/>
      <c r="R44" s="108"/>
      <c r="S44" s="96"/>
      <c r="U44" s="108"/>
      <c r="V44" s="96"/>
      <c r="W44" s="108"/>
      <c r="X44" s="96"/>
      <c r="Y44" s="4"/>
    </row>
    <row r="45" spans="2:25" ht="12.75" customHeight="1">
      <c r="B45" s="241">
        <v>6</v>
      </c>
      <c r="C45" s="317"/>
      <c r="D45" s="317"/>
      <c r="E45" s="562"/>
      <c r="F45" s="47"/>
      <c r="G45" s="105"/>
      <c r="H45" s="47"/>
      <c r="I45" s="105"/>
      <c r="J45" s="8"/>
      <c r="K45" s="108"/>
      <c r="L45" s="96"/>
      <c r="M45" s="108"/>
      <c r="N45" s="96"/>
      <c r="O45" s="8"/>
      <c r="P45" s="108"/>
      <c r="Q45" s="96"/>
      <c r="R45" s="108"/>
      <c r="S45" s="96"/>
      <c r="U45" s="108"/>
      <c r="V45" s="96"/>
      <c r="W45" s="108"/>
      <c r="X45" s="96"/>
      <c r="Y45" s="4"/>
    </row>
    <row r="46" spans="2:25" ht="12.75" customHeight="1">
      <c r="B46" s="241">
        <v>7</v>
      </c>
      <c r="C46" s="317"/>
      <c r="D46" s="317"/>
      <c r="E46" s="562"/>
      <c r="F46" s="47"/>
      <c r="G46" s="105"/>
      <c r="H46" s="47"/>
      <c r="I46" s="105"/>
      <c r="J46" s="8"/>
      <c r="K46" s="108"/>
      <c r="L46" s="96"/>
      <c r="M46" s="108"/>
      <c r="N46" s="96"/>
      <c r="O46" s="8"/>
      <c r="P46" s="108"/>
      <c r="Q46" s="96"/>
      <c r="R46" s="108"/>
      <c r="S46" s="96"/>
      <c r="U46" s="108"/>
      <c r="V46" s="96"/>
      <c r="W46" s="108"/>
      <c r="X46" s="96"/>
      <c r="Y46" s="4"/>
    </row>
    <row r="47" spans="2:25" ht="12.75" customHeight="1">
      <c r="B47" s="241">
        <v>8</v>
      </c>
      <c r="C47" s="317"/>
      <c r="D47" s="317"/>
      <c r="E47" s="562"/>
      <c r="F47" s="47"/>
      <c r="G47" s="105"/>
      <c r="H47" s="47"/>
      <c r="I47" s="105"/>
      <c r="J47" s="8"/>
      <c r="K47" s="108"/>
      <c r="L47" s="96"/>
      <c r="M47" s="108"/>
      <c r="N47" s="96"/>
      <c r="O47" s="8"/>
      <c r="P47" s="108"/>
      <c r="Q47" s="96"/>
      <c r="R47" s="108"/>
      <c r="S47" s="96"/>
      <c r="U47" s="108"/>
      <c r="V47" s="96"/>
      <c r="W47" s="108"/>
      <c r="X47" s="96"/>
      <c r="Y47" s="4"/>
    </row>
    <row r="48" spans="2:25" ht="12.75" customHeight="1">
      <c r="B48" s="241">
        <v>9</v>
      </c>
      <c r="C48" s="317"/>
      <c r="D48" s="317"/>
      <c r="E48" s="562"/>
      <c r="F48" s="47"/>
      <c r="G48" s="105"/>
      <c r="H48" s="47"/>
      <c r="I48" s="105"/>
      <c r="J48" s="8"/>
      <c r="K48" s="108"/>
      <c r="L48" s="96"/>
      <c r="M48" s="108"/>
      <c r="N48" s="96"/>
      <c r="O48" s="8"/>
      <c r="P48" s="108"/>
      <c r="Q48" s="96"/>
      <c r="R48" s="108"/>
      <c r="S48" s="96"/>
      <c r="U48" s="108"/>
      <c r="V48" s="96"/>
      <c r="W48" s="108"/>
      <c r="X48" s="96"/>
      <c r="Y48" s="4"/>
    </row>
    <row r="49" spans="2:25" ht="12.75" customHeight="1">
      <c r="B49" s="241">
        <v>10</v>
      </c>
      <c r="C49" s="317"/>
      <c r="D49" s="317"/>
      <c r="E49" s="562"/>
      <c r="F49" s="47"/>
      <c r="G49" s="105"/>
      <c r="H49" s="47"/>
      <c r="I49" s="105"/>
      <c r="J49" s="8"/>
      <c r="K49" s="108"/>
      <c r="L49" s="96"/>
      <c r="M49" s="108"/>
      <c r="N49" s="96"/>
      <c r="O49" s="8"/>
      <c r="P49" s="108"/>
      <c r="Q49" s="96"/>
      <c r="R49" s="108"/>
      <c r="S49" s="96"/>
      <c r="U49" s="108"/>
      <c r="V49" s="96"/>
      <c r="W49" s="108"/>
      <c r="X49" s="96"/>
      <c r="Y49" s="4"/>
    </row>
    <row r="50" spans="2:25" ht="12.75" customHeight="1">
      <c r="B50" s="16"/>
      <c r="C50" s="254"/>
      <c r="D50" s="254"/>
      <c r="E50" s="254"/>
      <c r="F50" s="113"/>
      <c r="G50" s="113"/>
      <c r="H50" s="113"/>
      <c r="I50" s="113"/>
      <c r="Y50" s="4"/>
    </row>
    <row r="51" spans="2:25" ht="12.75" customHeight="1">
      <c r="B51" s="16"/>
      <c r="C51" s="254"/>
      <c r="D51" s="254" t="s">
        <v>412</v>
      </c>
      <c r="E51" s="254"/>
      <c r="F51" s="10">
        <f>SUM(F40:F49)</f>
        <v>0</v>
      </c>
      <c r="G51" s="10">
        <f>SUM(G40:G49)</f>
        <v>0</v>
      </c>
      <c r="H51" s="10">
        <f>SUM(H40:H49)</f>
        <v>0</v>
      </c>
      <c r="I51" s="10">
        <f>SUM(I40:I49)</f>
        <v>0</v>
      </c>
      <c r="K51" s="113">
        <f>SUM(K40:K49)</f>
        <v>0</v>
      </c>
      <c r="L51" s="113">
        <f>SUM(L40:L49)</f>
        <v>0</v>
      </c>
      <c r="M51" s="113">
        <f>SUM(M40:M49)</f>
        <v>0</v>
      </c>
      <c r="N51" s="113">
        <f>SUM(N40:N49)</f>
        <v>0</v>
      </c>
      <c r="P51" s="113">
        <f>SUM(P40:P49)</f>
        <v>0</v>
      </c>
      <c r="Q51" s="113">
        <f>SUM(Q40:Q49)</f>
        <v>0</v>
      </c>
      <c r="R51" s="113">
        <f>SUM(R40:R49)</f>
        <v>0</v>
      </c>
      <c r="S51" s="113">
        <f>SUM(S40:S49)</f>
        <v>0</v>
      </c>
      <c r="U51" s="113">
        <f>SUM(U40:U49)</f>
        <v>0</v>
      </c>
      <c r="V51" s="113">
        <f>SUM(V40:V49)</f>
        <v>0</v>
      </c>
      <c r="W51" s="113">
        <f>SUM(W40:W49)</f>
        <v>0</v>
      </c>
      <c r="X51" s="113">
        <f>SUM(X40:X49)</f>
        <v>0</v>
      </c>
      <c r="Y51" s="4"/>
    </row>
    <row r="52" spans="2:25" ht="12.75" customHeight="1">
      <c r="B52" s="16"/>
      <c r="C52" s="254"/>
      <c r="D52" s="254"/>
      <c r="E52" s="254"/>
      <c r="F52" s="113"/>
      <c r="G52" s="113"/>
      <c r="H52" s="113"/>
      <c r="I52" s="113"/>
      <c r="Y52" s="4"/>
    </row>
    <row r="53" spans="2:25" ht="12.75" customHeight="1">
      <c r="B53" s="16"/>
      <c r="C53" s="254"/>
      <c r="D53" s="254"/>
      <c r="E53" s="254"/>
      <c r="F53" s="113"/>
      <c r="G53" s="113"/>
      <c r="H53" s="113"/>
      <c r="I53" s="113"/>
      <c r="Y53" s="4"/>
    </row>
    <row r="54" spans="2:25" ht="12.75" customHeight="1">
      <c r="B54" s="16"/>
      <c r="C54" s="257"/>
      <c r="D54" s="257" t="s">
        <v>413</v>
      </c>
      <c r="E54" s="257"/>
      <c r="F54" s="258">
        <f>F31+F51</f>
        <v>4582697</v>
      </c>
      <c r="G54" s="258">
        <f>G31+G51</f>
        <v>2636105</v>
      </c>
      <c r="H54" s="258">
        <f>H31+H51</f>
        <v>12746767</v>
      </c>
      <c r="I54" s="258">
        <f>I31+I51</f>
        <v>10698511</v>
      </c>
      <c r="J54" s="259"/>
      <c r="K54" s="260">
        <f>K31+K51</f>
        <v>1724302</v>
      </c>
      <c r="L54" s="260">
        <f>L31+L51</f>
        <v>1430400.8511545705</v>
      </c>
      <c r="M54" s="260">
        <f>M31+M51</f>
        <v>4024628</v>
      </c>
      <c r="N54" s="260">
        <f>N31+N51</f>
        <v>3742392</v>
      </c>
      <c r="O54" s="259"/>
      <c r="P54" s="260">
        <f>P31+P51</f>
        <v>0</v>
      </c>
      <c r="Q54" s="260">
        <f>Q31+Q51</f>
        <v>0</v>
      </c>
      <c r="R54" s="260">
        <f>R31+R51</f>
        <v>0</v>
      </c>
      <c r="S54" s="260">
        <f>S31+S51</f>
        <v>0</v>
      </c>
      <c r="T54" s="259"/>
      <c r="U54" s="260">
        <f>U31+U51</f>
        <v>128485</v>
      </c>
      <c r="V54" s="260">
        <f>V31+V51</f>
        <v>97060</v>
      </c>
      <c r="W54" s="260">
        <f>W31+W51</f>
        <v>48683</v>
      </c>
      <c r="X54" s="260">
        <f>X31+X51</f>
        <v>148742</v>
      </c>
      <c r="Y54" s="4"/>
    </row>
    <row r="55" spans="2:25" ht="12.75" customHeight="1">
      <c r="B55" s="16"/>
      <c r="C55" s="254"/>
      <c r="D55" s="254"/>
      <c r="E55" s="254"/>
      <c r="F55" s="113"/>
      <c r="G55" s="113"/>
      <c r="H55" s="113"/>
      <c r="I55" s="113"/>
      <c r="K55" s="274"/>
      <c r="L55" s="274"/>
      <c r="M55" s="274"/>
      <c r="N55" s="274"/>
      <c r="Y55" s="4"/>
    </row>
    <row r="56" spans="2:25" ht="12.75" customHeight="1">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B2:Y2"/>
    <mergeCell ref="F7:G7"/>
    <mergeCell ref="H7:I7"/>
    <mergeCell ref="K7:L7"/>
    <mergeCell ref="M7:N7"/>
    <mergeCell ref="P7:Q7"/>
    <mergeCell ref="R7:S7"/>
    <mergeCell ref="F6:I6"/>
    <mergeCell ref="K6:N6"/>
    <mergeCell ref="P6:S6"/>
    <mergeCell ref="C6:D6"/>
    <mergeCell ref="U6:X6"/>
    <mergeCell ref="U7:V7"/>
    <mergeCell ref="W7:X7"/>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s>
  <conditionalFormatting sqref="F9:I13">
    <cfRule type="expression" dxfId="17" priority="6">
      <formula>$B9&gt;Programs</formula>
    </cfRule>
  </conditionalFormatting>
  <conditionalFormatting sqref="F14:I17">
    <cfRule type="expression" dxfId="16" priority="2">
      <formula>$B12&gt;Programs</formula>
    </cfRule>
  </conditionalFormatting>
  <conditionalFormatting sqref="K9:K11 M9:M11 K12:M13">
    <cfRule type="expression" dxfId="15" priority="4">
      <formula>$B9&gt;Programs</formula>
    </cfRule>
  </conditionalFormatting>
  <conditionalFormatting sqref="K14:L17">
    <cfRule type="expression" dxfId="14" priority="1">
      <formula>$B12&gt;Programs</formula>
    </cfRule>
  </conditionalFormatting>
  <conditionalFormatting sqref="M14:M16 M17:N17">
    <cfRule type="expression" dxfId="13" priority="11">
      <formula>$B12&gt;Programs</formula>
    </cfRule>
  </conditionalFormatting>
  <conditionalFormatting sqref="P9:S28 P40:S49">
    <cfRule type="expression" dxfId="12" priority="33">
      <formula>Demand_1=NG_Demand</formula>
    </cfRule>
  </conditionalFormatting>
  <conditionalFormatting sqref="P9:S28 U17:X28 F18:I28 K18:N28">
    <cfRule type="expression" dxfId="11" priority="32">
      <formula>$B9&gt;Programs</formula>
    </cfRule>
  </conditionalFormatting>
  <conditionalFormatting sqref="U9:X9">
    <cfRule type="expression" dxfId="10" priority="20">
      <formula>$B15&gt;Programs</formula>
    </cfRule>
  </conditionalFormatting>
  <conditionalFormatting sqref="U10:X10">
    <cfRule type="expression" dxfId="9" priority="18">
      <formula>$B10&gt;Programs</formula>
    </cfRule>
  </conditionalFormatting>
  <conditionalFormatting sqref="U14:X16">
    <cfRule type="expression" dxfId="8" priority="108">
      <formula>$B12&gt;Programs</formula>
    </cfRule>
  </conditionalFormatting>
  <conditionalFormatting sqref="U17:X17">
    <cfRule type="expression" dxfId="7" priority="16">
      <formula>$B16&gt;Programs</formula>
    </cfRule>
  </conditionalFormatting>
  <conditionalFormatting sqref="W11:X11 U11:V12 X12 U13:X13">
    <cfRule type="expression" dxfId="6" priority="3">
      <formula>$B10&gt;Programs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6"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B1:N19"/>
  <sheetViews>
    <sheetView showGridLines="0" showRowColHeaders="0" zoomScale="110" zoomScaleNormal="110" workbookViewId="0"/>
  </sheetViews>
  <sheetFormatPr defaultColWidth="9.140625" defaultRowHeight="12.75"/>
  <cols>
    <col min="1" max="1" width="1" style="2" customWidth="1"/>
    <col min="2" max="2" width="1.5703125" style="2" customWidth="1"/>
    <col min="3" max="3" width="14.42578125" style="2" bestFit="1" customWidth="1"/>
    <col min="4" max="4" width="16.5703125" style="2" customWidth="1"/>
    <col min="5" max="5" width="17.85546875" style="2" customWidth="1"/>
    <col min="6" max="6" width="1.85546875" style="2" customWidth="1"/>
    <col min="7" max="7" width="14.7109375" style="2" customWidth="1"/>
    <col min="8" max="8" width="14" style="2" customWidth="1"/>
    <col min="9" max="9" width="15" style="2" customWidth="1"/>
    <col min="10" max="10" width="12.28515625" style="2" customWidth="1"/>
    <col min="11" max="11" width="6.42578125" style="2" customWidth="1"/>
    <col min="12" max="12" width="1" style="2" customWidth="1"/>
    <col min="13" max="13" width="9.140625" style="2"/>
    <col min="14" max="14" width="0" style="2" hidden="1" customWidth="1"/>
    <col min="15" max="16384" width="9.140625" style="2"/>
  </cols>
  <sheetData>
    <row r="1" spans="2:14" ht="5.0999999999999996" customHeight="1" thickBot="1"/>
    <row r="2" spans="2:14" ht="38.25" customHeight="1">
      <c r="B2" s="722" t="s">
        <v>414</v>
      </c>
      <c r="C2" s="722"/>
      <c r="D2" s="722"/>
      <c r="E2" s="722"/>
      <c r="F2" s="722"/>
      <c r="G2" s="722"/>
      <c r="H2" s="722"/>
      <c r="I2" s="722"/>
      <c r="J2" s="722"/>
      <c r="K2" s="722"/>
    </row>
    <row r="3" spans="2:14">
      <c r="B3" s="609"/>
      <c r="C3" s="610"/>
      <c r="D3" s="610"/>
      <c r="E3" s="610"/>
      <c r="F3" s="610"/>
      <c r="G3" s="610"/>
      <c r="H3" s="610"/>
      <c r="I3" s="610"/>
      <c r="J3" s="610"/>
      <c r="K3" s="611"/>
    </row>
    <row r="4" spans="2:14">
      <c r="B4" s="3"/>
      <c r="K4" s="4"/>
    </row>
    <row r="5" spans="2:14">
      <c r="B5" s="3"/>
      <c r="K5" s="4"/>
    </row>
    <row r="6" spans="2:14" ht="15" customHeight="1">
      <c r="B6" s="3"/>
      <c r="C6" s="313" t="str">
        <f>IF(N14&gt;0,"Incomplete - All 'yellow' shaded cells must be completed.","")</f>
        <v/>
      </c>
      <c r="K6" s="4"/>
    </row>
    <row r="7" spans="2:14">
      <c r="B7" s="3"/>
      <c r="D7" s="748" t="s">
        <v>10</v>
      </c>
      <c r="E7" s="748"/>
      <c r="G7" s="749" t="s">
        <v>415</v>
      </c>
      <c r="H7" s="749"/>
      <c r="I7" s="749"/>
      <c r="J7" s="749"/>
      <c r="K7" s="4"/>
    </row>
    <row r="8" spans="2:14">
      <c r="B8" s="3"/>
      <c r="D8" s="748" t="s">
        <v>416</v>
      </c>
      <c r="E8" s="748"/>
      <c r="G8" s="748" t="s">
        <v>417</v>
      </c>
      <c r="H8" s="748"/>
      <c r="I8" s="748" t="str">
        <f>"Savings ("&amp;Energy_2&amp;")"</f>
        <v>Savings (Therms)</v>
      </c>
      <c r="J8" s="748"/>
      <c r="K8" s="4"/>
    </row>
    <row r="9" spans="2:14" ht="12.75" customHeight="1">
      <c r="B9" s="16"/>
      <c r="C9" s="256" t="s">
        <v>74</v>
      </c>
      <c r="D9" s="563" t="s">
        <v>418</v>
      </c>
      <c r="E9" s="563" t="str">
        <f>"Sales ("&amp;Energy_2&amp;")"</f>
        <v>Sales (Therms)</v>
      </c>
      <c r="G9" s="563" t="s">
        <v>401</v>
      </c>
      <c r="H9" s="563" t="s">
        <v>402</v>
      </c>
      <c r="I9" s="563" t="s">
        <v>403</v>
      </c>
      <c r="J9" s="563" t="s">
        <v>402</v>
      </c>
      <c r="K9" s="4"/>
    </row>
    <row r="10" spans="2:14">
      <c r="B10" s="16"/>
      <c r="C10" s="242">
        <f>Prg_Year-1</f>
        <v>2024</v>
      </c>
      <c r="D10" s="403">
        <v>463969976</v>
      </c>
      <c r="E10" s="404">
        <v>590887528</v>
      </c>
      <c r="G10" s="403">
        <v>12873546</v>
      </c>
      <c r="H10" s="403">
        <v>10725767</v>
      </c>
      <c r="I10" s="404">
        <v>4024628</v>
      </c>
      <c r="J10" s="404">
        <v>3742393</v>
      </c>
      <c r="K10" s="4"/>
      <c r="N10" s="297">
        <f>IF(OR(ISBLANK(D13),ISBLANK(E13),ISBLANK(G13),ISBLANK(H13),ISBLANK(I13),ISBLANK(J13)),1,0)</f>
        <v>0</v>
      </c>
    </row>
    <row r="11" spans="2:14" ht="12.75" customHeight="1">
      <c r="B11" s="16"/>
      <c r="C11" s="242">
        <f>C10-1</f>
        <v>2023</v>
      </c>
      <c r="D11" s="403">
        <v>447950043</v>
      </c>
      <c r="E11" s="404">
        <v>628497665</v>
      </c>
      <c r="G11" s="403">
        <v>10241331</v>
      </c>
      <c r="H11" s="403">
        <v>8241200</v>
      </c>
      <c r="I11" s="404">
        <v>3934708</v>
      </c>
      <c r="J11" s="404">
        <v>3726152</v>
      </c>
      <c r="K11" s="4"/>
      <c r="N11" s="297">
        <f>IF(OR(ISBLANK(#REF!),ISBLANK(#REF!),ISBLANK(#REF!),ISBLANK(#REF!),ISBLANK(#REF!),ISBLANK(#REF!)),1,0)</f>
        <v>0</v>
      </c>
    </row>
    <row r="12" spans="2:14" ht="12.75" customHeight="1">
      <c r="B12" s="16"/>
      <c r="C12" s="242">
        <f t="shared" ref="C12:C13" si="0">C11-1</f>
        <v>2022</v>
      </c>
      <c r="D12" s="403">
        <v>380360550.02999997</v>
      </c>
      <c r="E12" s="404">
        <v>638961284</v>
      </c>
      <c r="G12" s="403">
        <v>10025159.423866944</v>
      </c>
      <c r="H12" s="403">
        <v>9130614.0999999996</v>
      </c>
      <c r="I12" s="404">
        <v>3832796.495161566</v>
      </c>
      <c r="J12" s="404">
        <v>4124913</v>
      </c>
      <c r="K12" s="4"/>
      <c r="N12" s="297">
        <f>IF(OR(ISBLANK(#REF!),ISBLANK(#REF!),ISBLANK(#REF!),ISBLANK(#REF!),ISBLANK(#REF!),ISBLANK(#REF!)),1,0)</f>
        <v>0</v>
      </c>
    </row>
    <row r="13" spans="2:14" ht="12.75" customHeight="1">
      <c r="B13" s="16"/>
      <c r="C13" s="242">
        <f t="shared" si="0"/>
        <v>2021</v>
      </c>
      <c r="D13" s="403">
        <v>336115122</v>
      </c>
      <c r="E13" s="404">
        <v>646361388</v>
      </c>
      <c r="G13" s="403">
        <v>9875810.5492186137</v>
      </c>
      <c r="H13" s="403">
        <v>9698943.5671800002</v>
      </c>
      <c r="I13" s="404">
        <v>3800224.7007615659</v>
      </c>
      <c r="J13" s="404">
        <v>4022955</v>
      </c>
      <c r="K13" s="4"/>
      <c r="N13" s="297">
        <f>IF(OR(ISBLANK(#REF!),ISBLANK(#REF!),ISBLANK(#REF!),ISBLANK(#REF!),ISBLANK(#REF!),ISBLANK(#REF!)),1,0)</f>
        <v>0</v>
      </c>
    </row>
    <row r="14" spans="2:14" ht="12.75" customHeight="1">
      <c r="B14" s="16"/>
      <c r="C14"/>
      <c r="K14" s="4"/>
      <c r="N14" s="2">
        <f>SUM(N10:N13)</f>
        <v>0</v>
      </c>
    </row>
    <row r="15" spans="2:14" ht="12.75" customHeight="1">
      <c r="B15" s="5"/>
      <c r="C15" s="6"/>
      <c r="D15" s="6"/>
      <c r="E15" s="6"/>
      <c r="F15" s="6"/>
      <c r="G15" s="6"/>
      <c r="H15" s="6"/>
      <c r="I15" s="6"/>
      <c r="J15" s="6"/>
      <c r="K15" s="7"/>
    </row>
    <row r="19" spans="9:9">
      <c r="I19" s="2" t="s">
        <v>258</v>
      </c>
    </row>
  </sheetData>
  <mergeCells count="6">
    <mergeCell ref="D7:E7"/>
    <mergeCell ref="G8:H8"/>
    <mergeCell ref="I8:J8"/>
    <mergeCell ref="G7:J7"/>
    <mergeCell ref="B2:K2"/>
    <mergeCell ref="D8:E8"/>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B1:C39"/>
  <sheetViews>
    <sheetView showGridLines="0" showRowColHeaders="0" zoomScale="130" zoomScaleNormal="130" workbookViewId="0">
      <pane ySplit="3" topLeftCell="A9" activePane="bottomLeft" state="frozen"/>
      <selection pane="bottomLeft" activeCell="A4" sqref="A4"/>
    </sheetView>
  </sheetViews>
  <sheetFormatPr defaultColWidth="9.140625" defaultRowHeight="12.75"/>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row r="2" spans="2:3" ht="38.25" customHeight="1" thickBot="1">
      <c r="B2" s="684" t="s">
        <v>419</v>
      </c>
      <c r="C2" s="684"/>
    </row>
    <row r="3" spans="2:3" s="1" customFormat="1" ht="15.75">
      <c r="B3" s="406" t="s">
        <v>420</v>
      </c>
      <c r="C3" s="406" t="s">
        <v>421</v>
      </c>
    </row>
    <row r="4" spans="2:3" s="1" customFormat="1">
      <c r="B4" s="407" t="s">
        <v>422</v>
      </c>
      <c r="C4" s="252" t="s">
        <v>423</v>
      </c>
    </row>
    <row r="5" spans="2:3" s="1" customFormat="1">
      <c r="B5" s="407" t="s">
        <v>424</v>
      </c>
      <c r="C5" s="252" t="s">
        <v>425</v>
      </c>
    </row>
    <row r="6" spans="2:3" s="1" customFormat="1">
      <c r="B6" s="407" t="s">
        <v>426</v>
      </c>
      <c r="C6" s="252" t="s">
        <v>427</v>
      </c>
    </row>
    <row r="7" spans="2:3" s="1" customFormat="1">
      <c r="B7" s="407" t="s">
        <v>428</v>
      </c>
      <c r="C7" s="252" t="s">
        <v>429</v>
      </c>
    </row>
    <row r="8" spans="2:3" s="1" customFormat="1" ht="79.5" customHeight="1">
      <c r="B8" s="407" t="s">
        <v>269</v>
      </c>
      <c r="C8" s="252" t="s">
        <v>430</v>
      </c>
    </row>
    <row r="9" spans="2:3" s="1" customFormat="1" ht="38.25">
      <c r="B9" s="407" t="s">
        <v>431</v>
      </c>
      <c r="C9" s="252" t="s">
        <v>432</v>
      </c>
    </row>
    <row r="10" spans="2:3" s="1" customFormat="1">
      <c r="B10" s="407" t="s">
        <v>433</v>
      </c>
      <c r="C10" s="252" t="s">
        <v>434</v>
      </c>
    </row>
    <row r="11" spans="2:3" s="1" customFormat="1">
      <c r="B11" s="407" t="s">
        <v>435</v>
      </c>
      <c r="C11" s="252" t="s">
        <v>436</v>
      </c>
    </row>
    <row r="12" spans="2:3" s="1" customFormat="1">
      <c r="B12" s="407" t="s">
        <v>437</v>
      </c>
      <c r="C12" s="252" t="s">
        <v>438</v>
      </c>
    </row>
    <row r="13" spans="2:3" s="1" customFormat="1" ht="25.5">
      <c r="B13" s="407" t="s">
        <v>439</v>
      </c>
      <c r="C13" s="252" t="s">
        <v>440</v>
      </c>
    </row>
    <row r="14" spans="2:3" s="1" customFormat="1" ht="25.5">
      <c r="B14" s="407" t="s">
        <v>365</v>
      </c>
      <c r="C14" s="252" t="s">
        <v>441</v>
      </c>
    </row>
    <row r="15" spans="2:3" s="1" customFormat="1">
      <c r="B15" s="407" t="s">
        <v>442</v>
      </c>
      <c r="C15" s="252" t="s">
        <v>443</v>
      </c>
    </row>
    <row r="16" spans="2:3" s="1" customFormat="1" ht="25.5">
      <c r="B16" s="407" t="s">
        <v>444</v>
      </c>
      <c r="C16" s="252" t="s">
        <v>445</v>
      </c>
    </row>
    <row r="17" spans="2:3" s="1" customFormat="1" ht="51">
      <c r="B17" s="407" t="s">
        <v>446</v>
      </c>
      <c r="C17" s="252" t="s">
        <v>447</v>
      </c>
    </row>
    <row r="18" spans="2:3" s="1" customFormat="1">
      <c r="B18" s="407" t="s">
        <v>448</v>
      </c>
      <c r="C18" s="252" t="s">
        <v>449</v>
      </c>
    </row>
    <row r="19" spans="2:3" s="1" customFormat="1">
      <c r="B19" s="407" t="s">
        <v>277</v>
      </c>
      <c r="C19" s="252" t="s">
        <v>450</v>
      </c>
    </row>
    <row r="20" spans="2:3" s="1" customFormat="1" ht="25.5">
      <c r="B20" s="407" t="s">
        <v>451</v>
      </c>
      <c r="C20" s="252" t="s">
        <v>452</v>
      </c>
    </row>
    <row r="21" spans="2:3" s="1" customFormat="1">
      <c r="B21" s="407" t="s">
        <v>453</v>
      </c>
      <c r="C21" s="252" t="s">
        <v>454</v>
      </c>
    </row>
    <row r="22" spans="2:3" s="1" customFormat="1" ht="38.25">
      <c r="B22" s="407" t="s">
        <v>455</v>
      </c>
      <c r="C22" s="252" t="s">
        <v>456</v>
      </c>
    </row>
    <row r="23" spans="2:3" s="1" customFormat="1" ht="25.5">
      <c r="B23" s="407" t="s">
        <v>457</v>
      </c>
      <c r="C23" s="252" t="s">
        <v>458</v>
      </c>
    </row>
    <row r="24" spans="2:3" s="1" customFormat="1">
      <c r="B24" s="407" t="s">
        <v>271</v>
      </c>
      <c r="C24" s="252" t="s">
        <v>459</v>
      </c>
    </row>
    <row r="25" spans="2:3" s="1" customFormat="1">
      <c r="B25" s="407" t="s">
        <v>460</v>
      </c>
      <c r="C25" s="252" t="s">
        <v>461</v>
      </c>
    </row>
    <row r="26" spans="2:3" s="1" customFormat="1" ht="63.75">
      <c r="B26" s="407" t="s">
        <v>462</v>
      </c>
      <c r="C26" s="252" t="s">
        <v>463</v>
      </c>
    </row>
    <row r="27" spans="2:3" s="1" customFormat="1">
      <c r="B27" s="407" t="s">
        <v>464</v>
      </c>
      <c r="C27" s="252" t="s">
        <v>465</v>
      </c>
    </row>
    <row r="28" spans="2:3" s="1" customFormat="1" ht="38.25">
      <c r="B28" s="407" t="s">
        <v>466</v>
      </c>
      <c r="C28" s="252" t="s">
        <v>467</v>
      </c>
    </row>
    <row r="29" spans="2:3" s="1" customFormat="1" ht="38.25">
      <c r="B29" s="407" t="s">
        <v>468</v>
      </c>
      <c r="C29" s="252" t="s">
        <v>469</v>
      </c>
    </row>
    <row r="30" spans="2:3" s="1" customFormat="1" ht="25.5">
      <c r="B30" s="407" t="s">
        <v>74</v>
      </c>
      <c r="C30" s="252" t="s">
        <v>470</v>
      </c>
    </row>
    <row r="31" spans="2:3" s="1" customFormat="1" ht="38.25">
      <c r="B31" s="407" t="s">
        <v>378</v>
      </c>
      <c r="C31" s="252" t="s">
        <v>471</v>
      </c>
    </row>
    <row r="32" spans="2:3" s="1" customFormat="1" ht="25.5">
      <c r="B32" s="407" t="s">
        <v>472</v>
      </c>
      <c r="C32" s="252" t="s">
        <v>473</v>
      </c>
    </row>
    <row r="33" spans="2:3" s="1" customFormat="1" ht="25.5">
      <c r="B33" s="407" t="s">
        <v>150</v>
      </c>
      <c r="C33" s="252" t="s">
        <v>474</v>
      </c>
    </row>
    <row r="34" spans="2:3" s="1" customFormat="1" ht="25.5">
      <c r="B34" s="407" t="s">
        <v>475</v>
      </c>
      <c r="C34" s="252" t="s">
        <v>476</v>
      </c>
    </row>
    <row r="35" spans="2:3" s="1" customFormat="1" ht="25.5">
      <c r="B35" s="407" t="s">
        <v>477</v>
      </c>
      <c r="C35" s="252" t="s">
        <v>478</v>
      </c>
    </row>
    <row r="36" spans="2:3" s="1" customFormat="1" ht="25.5">
      <c r="B36" s="407" t="s">
        <v>283</v>
      </c>
      <c r="C36" s="252" t="s">
        <v>479</v>
      </c>
    </row>
    <row r="37" spans="2:3" s="1" customFormat="1">
      <c r="B37"/>
      <c r="C37"/>
    </row>
    <row r="38" spans="2:3" s="1" customFormat="1">
      <c r="B38"/>
      <c r="C38"/>
    </row>
    <row r="39" spans="2:3" s="1" customFormat="1">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1:C18"/>
  <sheetViews>
    <sheetView showGridLines="0" showRowColHeaders="0" workbookViewId="0">
      <pane ySplit="3" topLeftCell="A4" activePane="bottomLeft" state="frozen"/>
      <selection pane="bottomLeft" activeCell="A4" sqref="A4"/>
    </sheetView>
  </sheetViews>
  <sheetFormatPr defaultColWidth="9.140625" defaultRowHeight="12.75"/>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row r="2" spans="2:3" ht="38.25" customHeight="1" thickBot="1">
      <c r="B2" s="684" t="s">
        <v>480</v>
      </c>
      <c r="C2" s="684"/>
    </row>
    <row r="3" spans="2:3" s="1" customFormat="1" ht="15.75">
      <c r="B3" s="406" t="s">
        <v>420</v>
      </c>
      <c r="C3" s="406" t="s">
        <v>421</v>
      </c>
    </row>
    <row r="4" spans="2:3" s="1" customFormat="1" ht="28.5" customHeight="1">
      <c r="B4" s="407" t="s">
        <v>481</v>
      </c>
      <c r="C4" s="252" t="s">
        <v>482</v>
      </c>
    </row>
    <row r="5" spans="2:3" s="1" customFormat="1" ht="66.75" customHeight="1">
      <c r="B5" s="407" t="s">
        <v>483</v>
      </c>
      <c r="C5" s="252" t="s">
        <v>484</v>
      </c>
    </row>
    <row r="6" spans="2:3" s="1" customFormat="1" ht="72" customHeight="1">
      <c r="B6" s="407" t="s">
        <v>485</v>
      </c>
      <c r="C6" s="252" t="s">
        <v>486</v>
      </c>
    </row>
    <row r="7" spans="2:3" s="1" customFormat="1" ht="40.5" customHeight="1">
      <c r="B7" s="407" t="s">
        <v>122</v>
      </c>
      <c r="C7" s="252" t="s">
        <v>487</v>
      </c>
    </row>
    <row r="8" spans="2:3" s="1" customFormat="1" ht="15.75" customHeight="1">
      <c r="B8" s="407" t="s">
        <v>488</v>
      </c>
      <c r="C8" s="252" t="s">
        <v>489</v>
      </c>
    </row>
    <row r="9" spans="2:3" s="1" customFormat="1" ht="114.75">
      <c r="B9" s="407" t="s">
        <v>490</v>
      </c>
      <c r="C9" s="252" t="s">
        <v>491</v>
      </c>
    </row>
    <row r="10" spans="2:3" s="1" customFormat="1" ht="42" customHeight="1">
      <c r="B10" s="407" t="s">
        <v>492</v>
      </c>
      <c r="C10" s="252" t="s">
        <v>493</v>
      </c>
    </row>
    <row r="11" spans="2:3" s="1" customFormat="1" ht="81" customHeight="1">
      <c r="B11" s="407" t="s">
        <v>223</v>
      </c>
      <c r="C11" s="252" t="s">
        <v>494</v>
      </c>
    </row>
    <row r="12" spans="2:3" s="1" customFormat="1" ht="42" customHeight="1">
      <c r="B12" s="407" t="s">
        <v>117</v>
      </c>
      <c r="C12" s="252" t="s">
        <v>495</v>
      </c>
    </row>
    <row r="13" spans="2:3" s="1" customFormat="1" ht="27.75" customHeight="1">
      <c r="B13" s="407" t="s">
        <v>91</v>
      </c>
      <c r="C13" s="252" t="s">
        <v>496</v>
      </c>
    </row>
    <row r="14" spans="2:3" s="1" customFormat="1" ht="78" customHeight="1">
      <c r="B14" s="407" t="s">
        <v>497</v>
      </c>
      <c r="C14" s="252" t="s">
        <v>498</v>
      </c>
    </row>
    <row r="15" spans="2:3" s="1" customFormat="1" ht="129.75" customHeight="1">
      <c r="B15" s="407" t="s">
        <v>499</v>
      </c>
      <c r="C15" s="252" t="s">
        <v>500</v>
      </c>
    </row>
    <row r="16" spans="2:3" s="1" customFormat="1">
      <c r="B16"/>
      <c r="C16"/>
    </row>
    <row r="17" spans="2:3" s="1" customFormat="1">
      <c r="B17"/>
      <c r="C17"/>
    </row>
    <row r="18" spans="2:3" s="1" customFormat="1">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B1:C12"/>
  <sheetViews>
    <sheetView showGridLines="0" showRowColHeaders="0" workbookViewId="0">
      <pane ySplit="3" topLeftCell="A4" activePane="bottomLeft" state="frozen"/>
      <selection pane="bottomLeft" activeCell="A3" sqref="A3"/>
    </sheetView>
  </sheetViews>
  <sheetFormatPr defaultColWidth="9.140625" defaultRowHeight="12.75"/>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row r="2" spans="2:3" ht="38.25" customHeight="1" thickBot="1">
      <c r="B2" s="684" t="s">
        <v>501</v>
      </c>
      <c r="C2" s="684"/>
    </row>
    <row r="3" spans="2:3" s="1" customFormat="1" ht="15.75">
      <c r="B3" s="406" t="s">
        <v>420</v>
      </c>
      <c r="C3" s="406" t="s">
        <v>421</v>
      </c>
    </row>
    <row r="4" spans="2:3" s="1" customFormat="1" ht="24.95" customHeight="1">
      <c r="B4" s="407" t="s">
        <v>502</v>
      </c>
      <c r="C4" s="252" t="s">
        <v>503</v>
      </c>
    </row>
    <row r="5" spans="2:3" s="1" customFormat="1" ht="24.95" customHeight="1">
      <c r="B5" s="407" t="s">
        <v>166</v>
      </c>
      <c r="C5" s="252" t="s">
        <v>504</v>
      </c>
    </row>
    <row r="6" spans="2:3" s="1" customFormat="1" ht="24.95" customHeight="1">
      <c r="B6" s="407" t="s">
        <v>505</v>
      </c>
      <c r="C6" s="252" t="s">
        <v>506</v>
      </c>
    </row>
    <row r="7" spans="2:3" s="1" customFormat="1" ht="24.95" customHeight="1">
      <c r="B7" s="407" t="s">
        <v>507</v>
      </c>
      <c r="C7" s="252" t="s">
        <v>508</v>
      </c>
    </row>
    <row r="8" spans="2:3" s="1" customFormat="1" ht="24.95" customHeight="1">
      <c r="B8" s="407" t="s">
        <v>165</v>
      </c>
      <c r="C8" s="252" t="s">
        <v>509</v>
      </c>
    </row>
    <row r="9" spans="2:3" s="1" customFormat="1" ht="24.95" customHeight="1">
      <c r="B9" s="407" t="s">
        <v>510</v>
      </c>
      <c r="C9" s="252" t="s">
        <v>511</v>
      </c>
    </row>
    <row r="10" spans="2:3" s="1" customFormat="1" ht="24.75" customHeight="1">
      <c r="B10" s="407" t="s">
        <v>512</v>
      </c>
      <c r="C10" s="252" t="s">
        <v>513</v>
      </c>
    </row>
    <row r="11" spans="2:3" s="1" customFormat="1">
      <c r="B11"/>
      <c r="C11"/>
    </row>
    <row r="12" spans="2:3" s="1" customFormat="1">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02"/>
  <sheetViews>
    <sheetView showGridLines="0" zoomScale="160" zoomScaleNormal="160" workbookViewId="0">
      <pane ySplit="2" topLeftCell="A3" activePane="bottomLeft" state="frozen"/>
      <selection pane="bottomLeft" activeCell="F11" sqref="F11:H11"/>
    </sheetView>
  </sheetViews>
  <sheetFormatPr defaultColWidth="9.140625" defaultRowHeight="12.75"/>
  <cols>
    <col min="1" max="1" width="1" style="2" customWidth="1"/>
    <col min="2" max="2" width="3.7109375" style="2" customWidth="1"/>
    <col min="3" max="3" width="26" style="2" bestFit="1" customWidth="1"/>
    <col min="4" max="4" width="34.140625" style="2" customWidth="1"/>
    <col min="5" max="5" width="9.140625" style="2"/>
    <col min="6" max="6" width="11.42578125" style="2" customWidth="1"/>
    <col min="7" max="10" width="9.140625" style="2"/>
    <col min="11" max="11" width="15.28515625" style="2" customWidth="1"/>
    <col min="12" max="12" width="1" style="2" customWidth="1"/>
    <col min="13" max="13" width="16" style="2" customWidth="1"/>
    <col min="14" max="15" width="0" style="2" hidden="1" customWidth="1"/>
    <col min="16" max="16384" width="9.140625" style="2"/>
  </cols>
  <sheetData>
    <row r="1" spans="2:15" ht="28.5" customHeight="1"/>
    <row r="2" spans="2:15" ht="64.5" customHeight="1">
      <c r="B2" s="569"/>
      <c r="C2" s="570"/>
      <c r="D2" s="570"/>
      <c r="E2" s="570"/>
      <c r="F2" s="570"/>
      <c r="G2" s="570"/>
      <c r="H2" s="570"/>
      <c r="I2" s="570"/>
      <c r="J2" s="570"/>
      <c r="K2" s="571"/>
    </row>
    <row r="3" spans="2:15" ht="12.75" customHeight="1">
      <c r="B3" s="530"/>
      <c r="C3" s="313" t="str">
        <f>IF(N14&gt;0,"Incomplete - All 'yellow' shaded cells must be completed.","")</f>
        <v/>
      </c>
      <c r="D3" s="572"/>
      <c r="E3" s="572"/>
      <c r="F3" s="572"/>
      <c r="G3" s="572"/>
      <c r="H3" s="572"/>
      <c r="I3" s="572"/>
      <c r="J3" s="572"/>
      <c r="K3" s="531"/>
    </row>
    <row r="4" spans="2:15" ht="15" customHeight="1">
      <c r="B4" s="3"/>
      <c r="C4" s="8" t="s">
        <v>34</v>
      </c>
      <c r="F4" s="9" t="s">
        <v>68</v>
      </c>
      <c r="K4" s="4"/>
    </row>
    <row r="5" spans="2:15" ht="15" customHeight="1">
      <c r="B5" s="241">
        <v>1</v>
      </c>
      <c r="C5" s="242" t="s">
        <v>69</v>
      </c>
      <c r="D5" s="155" t="s">
        <v>70</v>
      </c>
      <c r="F5" s="573" t="s">
        <v>71</v>
      </c>
      <c r="K5" s="4"/>
      <c r="N5" s="297">
        <f t="shared" ref="N5:N13" si="0">IF(ISBLANK(D5),1,0)</f>
        <v>0</v>
      </c>
    </row>
    <row r="6" spans="2:15" ht="15" customHeight="1">
      <c r="B6" s="241">
        <v>2</v>
      </c>
      <c r="C6" s="242" t="s">
        <v>72</v>
      </c>
      <c r="D6" s="155" t="s">
        <v>73</v>
      </c>
      <c r="K6" s="4"/>
      <c r="N6" s="297">
        <f t="shared" si="0"/>
        <v>0</v>
      </c>
    </row>
    <row r="7" spans="2:15" ht="15" customHeight="1">
      <c r="B7" s="241">
        <v>3</v>
      </c>
      <c r="C7" s="242" t="s">
        <v>74</v>
      </c>
      <c r="D7" s="155">
        <v>2025</v>
      </c>
      <c r="F7" s="9" t="str">
        <f>"Total "&amp;Prg_Year&amp;" Utility Revenue"</f>
        <v>Total 2025 Utility Revenue</v>
      </c>
      <c r="K7" s="4"/>
      <c r="N7" s="297">
        <f t="shared" si="0"/>
        <v>0</v>
      </c>
    </row>
    <row r="8" spans="2:15" ht="15" customHeight="1">
      <c r="B8" s="241">
        <v>4</v>
      </c>
      <c r="C8" s="242" t="s">
        <v>75</v>
      </c>
      <c r="D8" s="155" t="s">
        <v>76</v>
      </c>
      <c r="F8" s="675">
        <v>491725009</v>
      </c>
      <c r="G8" s="676"/>
      <c r="H8" s="677"/>
      <c r="K8" s="4"/>
      <c r="N8" s="297">
        <f t="shared" si="0"/>
        <v>0</v>
      </c>
      <c r="O8" s="297">
        <f>IF(ISBLANK(F8),1,0)</f>
        <v>0</v>
      </c>
    </row>
    <row r="9" spans="2:15" ht="15" customHeight="1">
      <c r="B9" s="241">
        <v>5</v>
      </c>
      <c r="C9" s="242" t="s">
        <v>77</v>
      </c>
      <c r="D9" s="383">
        <v>45777</v>
      </c>
      <c r="K9" s="4"/>
      <c r="N9" s="297">
        <f t="shared" si="0"/>
        <v>0</v>
      </c>
    </row>
    <row r="10" spans="2:15" ht="15" customHeight="1">
      <c r="B10" s="241">
        <v>6</v>
      </c>
      <c r="C10" s="242" t="s">
        <v>78</v>
      </c>
      <c r="D10" s="155" t="s">
        <v>79</v>
      </c>
      <c r="F10" s="9" t="str">
        <f>"Total "&amp;Prg_Year&amp;" Utility Energy Sales ("&amp;Energy_2&amp;")"</f>
        <v>Total 2025 Utility Energy Sales (Therms)</v>
      </c>
      <c r="K10" s="4"/>
      <c r="N10" s="297">
        <f t="shared" si="0"/>
        <v>0</v>
      </c>
    </row>
    <row r="11" spans="2:15" ht="15" customHeight="1">
      <c r="B11" s="241">
        <v>7</v>
      </c>
      <c r="C11" s="242" t="s">
        <v>80</v>
      </c>
      <c r="D11" s="574" t="s">
        <v>81</v>
      </c>
      <c r="F11" s="678">
        <v>582922020</v>
      </c>
      <c r="G11" s="679"/>
      <c r="H11" s="680"/>
      <c r="K11" s="4"/>
      <c r="N11" s="297">
        <f t="shared" si="0"/>
        <v>0</v>
      </c>
      <c r="O11" s="297">
        <f>IF(ISBLANK(F11),1,0)</f>
        <v>0</v>
      </c>
    </row>
    <row r="12" spans="2:15" ht="15" customHeight="1">
      <c r="B12" s="241">
        <v>8</v>
      </c>
      <c r="C12" s="242" t="s">
        <v>82</v>
      </c>
      <c r="D12" s="155" t="s">
        <v>83</v>
      </c>
      <c r="K12" s="4"/>
      <c r="N12" s="297">
        <f t="shared" si="0"/>
        <v>0</v>
      </c>
    </row>
    <row r="13" spans="2:15" ht="15" customHeight="1">
      <c r="B13" s="241">
        <v>9</v>
      </c>
      <c r="C13" s="2" t="s">
        <v>84</v>
      </c>
      <c r="D13" s="567">
        <v>5</v>
      </c>
      <c r="F13" s="9"/>
      <c r="K13" s="4"/>
      <c r="N13" s="297">
        <f t="shared" si="0"/>
        <v>0</v>
      </c>
    </row>
    <row r="14" spans="2:15" ht="15" customHeight="1">
      <c r="B14" s="3"/>
      <c r="F14" s="9"/>
      <c r="K14" s="4"/>
      <c r="N14" s="297">
        <f>SUM(N5:O13)</f>
        <v>0</v>
      </c>
    </row>
    <row r="15" spans="2:15" ht="15" customHeight="1">
      <c r="B15" s="5"/>
      <c r="C15" s="6"/>
      <c r="D15" s="6"/>
      <c r="E15" s="6"/>
      <c r="F15" s="6"/>
      <c r="G15" s="6"/>
      <c r="H15" s="6"/>
      <c r="I15" s="6"/>
      <c r="J15" s="6"/>
      <c r="K15" s="7"/>
    </row>
    <row r="16" spans="2:15" ht="15" customHeight="1">
      <c r="B16" s="572"/>
      <c r="C16" s="572"/>
      <c r="D16" s="572"/>
      <c r="E16" s="572"/>
      <c r="F16" s="572"/>
      <c r="G16" s="572"/>
      <c r="H16" s="572"/>
      <c r="I16" s="572"/>
      <c r="J16" s="572"/>
      <c r="K16" s="572"/>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sheetData>
  <sheetProtection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hyperlinks>
    <hyperlink ref="D11" r:id="rId1" xr:uid="{4264F8A0-ABC9-4829-841A-1D0A27FBE8CE}"/>
  </hyperlinks>
  <pageMargins left="0.25" right="0.25" top="0.25" bottom="0.25" header="0.3" footer="0.3"/>
  <pageSetup orientation="landscape"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B1:C25"/>
  <sheetViews>
    <sheetView showGridLines="0" showRowColHeaders="0" workbookViewId="0">
      <pane ySplit="3" topLeftCell="A4" activePane="bottomLeft" state="frozen"/>
      <selection pane="bottomLeft" activeCell="A4" sqref="A4"/>
    </sheetView>
  </sheetViews>
  <sheetFormatPr defaultColWidth="9.140625" defaultRowHeight="12.75"/>
  <cols>
    <col min="1" max="1" width="1" style="2" customWidth="1"/>
    <col min="2" max="2" width="37.28515625" style="2" customWidth="1"/>
    <col min="3" max="3" width="97.140625" style="2" customWidth="1"/>
    <col min="4" max="4" width="1" style="2" customWidth="1"/>
    <col min="5" max="16384" width="9.140625" style="2"/>
  </cols>
  <sheetData>
    <row r="1" spans="2:3" ht="5.0999999999999996" customHeight="1" thickBot="1"/>
    <row r="2" spans="2:3" ht="38.25" customHeight="1" thickBot="1">
      <c r="B2" s="684" t="s">
        <v>514</v>
      </c>
      <c r="C2" s="684"/>
    </row>
    <row r="3" spans="2:3" s="1" customFormat="1" ht="15.75">
      <c r="B3" s="406" t="s">
        <v>420</v>
      </c>
      <c r="C3" s="406" t="s">
        <v>421</v>
      </c>
    </row>
    <row r="4" spans="2:3" s="1" customFormat="1" ht="76.5">
      <c r="B4" s="407" t="s">
        <v>483</v>
      </c>
      <c r="C4" s="252" t="s">
        <v>484</v>
      </c>
    </row>
    <row r="5" spans="2:3" s="1" customFormat="1" ht="51">
      <c r="B5" s="407" t="s">
        <v>515</v>
      </c>
      <c r="C5" s="252" t="s">
        <v>516</v>
      </c>
    </row>
    <row r="6" spans="2:3" s="1" customFormat="1" ht="38.25">
      <c r="B6" s="407" t="s">
        <v>517</v>
      </c>
      <c r="C6" s="252" t="s">
        <v>518</v>
      </c>
    </row>
    <row r="7" spans="2:3" s="1" customFormat="1" ht="52.5" customHeight="1">
      <c r="B7" s="407" t="s">
        <v>519</v>
      </c>
      <c r="C7" s="252" t="s">
        <v>520</v>
      </c>
    </row>
    <row r="8" spans="2:3" s="1" customFormat="1" ht="15.75" customHeight="1">
      <c r="B8" s="407" t="s">
        <v>521</v>
      </c>
      <c r="C8" s="252" t="s">
        <v>522</v>
      </c>
    </row>
    <row r="9" spans="2:3" s="1" customFormat="1" ht="38.25">
      <c r="B9" s="407" t="s">
        <v>523</v>
      </c>
      <c r="C9" s="252" t="s">
        <v>524</v>
      </c>
    </row>
    <row r="10" spans="2:3" s="1" customFormat="1" ht="108" customHeight="1">
      <c r="B10" s="407" t="s">
        <v>525</v>
      </c>
      <c r="C10" s="252" t="s">
        <v>526</v>
      </c>
    </row>
    <row r="11" spans="2:3" s="1" customFormat="1" ht="29.25" customHeight="1">
      <c r="B11" s="407" t="s">
        <v>490</v>
      </c>
      <c r="C11" s="252" t="s">
        <v>527</v>
      </c>
    </row>
    <row r="12" spans="2:3" s="1" customFormat="1" ht="18.75" customHeight="1">
      <c r="B12" s="407" t="s">
        <v>110</v>
      </c>
      <c r="C12" s="252" t="s">
        <v>528</v>
      </c>
    </row>
    <row r="13" spans="2:3" s="1" customFormat="1" ht="63.75">
      <c r="B13" s="407" t="s">
        <v>529</v>
      </c>
      <c r="C13" s="252" t="s">
        <v>530</v>
      </c>
    </row>
    <row r="14" spans="2:3" s="1" customFormat="1" ht="38.25">
      <c r="B14" s="407" t="s">
        <v>531</v>
      </c>
      <c r="C14" s="252" t="s">
        <v>532</v>
      </c>
    </row>
    <row r="15" spans="2:3" s="1" customFormat="1" ht="25.5">
      <c r="B15" s="407" t="s">
        <v>533</v>
      </c>
      <c r="C15" s="252" t="s">
        <v>534</v>
      </c>
    </row>
    <row r="16" spans="2:3" s="1" customFormat="1" ht="38.25">
      <c r="B16" s="407" t="s">
        <v>535</v>
      </c>
      <c r="C16" s="252" t="s">
        <v>536</v>
      </c>
    </row>
    <row r="17" spans="2:3" s="1" customFormat="1">
      <c r="B17" s="407" t="s">
        <v>537</v>
      </c>
      <c r="C17" s="252" t="s">
        <v>538</v>
      </c>
    </row>
    <row r="18" spans="2:3" s="1" customFormat="1" ht="38.25">
      <c r="B18" s="407" t="s">
        <v>539</v>
      </c>
      <c r="C18" s="252" t="s">
        <v>540</v>
      </c>
    </row>
    <row r="19" spans="2:3" s="1" customFormat="1">
      <c r="B19" s="407" t="s">
        <v>117</v>
      </c>
      <c r="C19" s="252" t="s">
        <v>541</v>
      </c>
    </row>
    <row r="20" spans="2:3" s="1" customFormat="1" ht="76.5">
      <c r="B20" s="407" t="s">
        <v>542</v>
      </c>
      <c r="C20" s="252" t="s">
        <v>543</v>
      </c>
    </row>
    <row r="21" spans="2:3" s="1" customFormat="1" ht="65.25" customHeight="1">
      <c r="B21" s="407" t="s">
        <v>544</v>
      </c>
      <c r="C21" s="252" t="s">
        <v>545</v>
      </c>
    </row>
    <row r="22" spans="2:3" s="1" customFormat="1" ht="129.75" customHeight="1">
      <c r="B22" s="407" t="s">
        <v>546</v>
      </c>
      <c r="C22" s="252" t="s">
        <v>547</v>
      </c>
    </row>
    <row r="23" spans="2:3" s="1" customFormat="1">
      <c r="B23"/>
      <c r="C23"/>
    </row>
    <row r="24" spans="2:3" s="1" customFormat="1">
      <c r="B24"/>
      <c r="C24"/>
    </row>
    <row r="25" spans="2:3" s="1" customFormat="1">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B1:C25"/>
  <sheetViews>
    <sheetView showGridLines="0" showRowColHeaders="0" workbookViewId="0">
      <pane ySplit="3" topLeftCell="A4" activePane="bottomLeft" state="frozen"/>
      <selection pane="bottomLeft" activeCell="A4" sqref="A4"/>
    </sheetView>
  </sheetViews>
  <sheetFormatPr defaultColWidth="9.140625" defaultRowHeight="12.75"/>
  <cols>
    <col min="1" max="1" width="1" style="2" customWidth="1"/>
    <col min="2" max="2" width="36.140625" style="2" customWidth="1"/>
    <col min="3" max="3" width="97.140625" style="2" customWidth="1"/>
    <col min="4" max="4" width="1" style="2" customWidth="1"/>
    <col min="5" max="16384" width="9.140625" style="2"/>
  </cols>
  <sheetData>
    <row r="1" spans="2:3" ht="5.0999999999999996" customHeight="1" thickBot="1"/>
    <row r="2" spans="2:3" ht="38.25" customHeight="1" thickBot="1">
      <c r="B2" s="684" t="s">
        <v>548</v>
      </c>
      <c r="C2" s="684"/>
    </row>
    <row r="3" spans="2:3" s="1" customFormat="1" ht="15.75">
      <c r="B3" s="406" t="s">
        <v>420</v>
      </c>
      <c r="C3" s="406" t="s">
        <v>421</v>
      </c>
    </row>
    <row r="4" spans="2:3" s="1" customFormat="1" ht="25.5">
      <c r="B4" s="407" t="s">
        <v>121</v>
      </c>
      <c r="C4" s="252" t="s">
        <v>482</v>
      </c>
    </row>
    <row r="5" spans="2:3" s="1" customFormat="1" ht="51">
      <c r="B5" s="407" t="s">
        <v>122</v>
      </c>
      <c r="C5" s="252" t="s">
        <v>549</v>
      </c>
    </row>
    <row r="6" spans="2:3" s="1" customFormat="1" ht="25.5">
      <c r="B6" s="407" t="s">
        <v>123</v>
      </c>
      <c r="C6" s="252" t="s">
        <v>550</v>
      </c>
    </row>
    <row r="7" spans="2:3" s="1" customFormat="1" ht="46.5" customHeight="1">
      <c r="B7" s="407" t="s">
        <v>124</v>
      </c>
      <c r="C7" s="252" t="s">
        <v>551</v>
      </c>
    </row>
    <row r="8" spans="2:3" s="1" customFormat="1" ht="76.5">
      <c r="B8" s="407" t="s">
        <v>125</v>
      </c>
      <c r="C8" s="252" t="s">
        <v>552</v>
      </c>
    </row>
    <row r="9" spans="2:3" s="1" customFormat="1" ht="25.5">
      <c r="B9" s="407" t="s">
        <v>126</v>
      </c>
      <c r="C9" s="252" t="s">
        <v>553</v>
      </c>
    </row>
    <row r="10" spans="2:3" s="1" customFormat="1" ht="165.75">
      <c r="B10" s="407" t="s">
        <v>523</v>
      </c>
      <c r="C10" s="252" t="s">
        <v>554</v>
      </c>
    </row>
    <row r="11" spans="2:3" s="1" customFormat="1" ht="238.5" customHeight="1">
      <c r="B11" s="408" t="s">
        <v>555</v>
      </c>
      <c r="C11" s="252" t="s">
        <v>556</v>
      </c>
    </row>
    <row r="12" spans="2:3" s="1" customFormat="1" ht="76.5">
      <c r="B12" s="407" t="s">
        <v>490</v>
      </c>
      <c r="C12" s="252" t="s">
        <v>557</v>
      </c>
    </row>
    <row r="13" spans="2:3" s="1" customFormat="1" ht="52.5" customHeight="1">
      <c r="B13" s="407" t="s">
        <v>127</v>
      </c>
      <c r="C13" s="252" t="s">
        <v>558</v>
      </c>
    </row>
    <row r="14" spans="2:3" s="1" customFormat="1" ht="38.25">
      <c r="B14" s="407" t="s">
        <v>117</v>
      </c>
      <c r="C14" s="252" t="s">
        <v>559</v>
      </c>
    </row>
    <row r="15" spans="2:3" s="1" customFormat="1" ht="25.5">
      <c r="B15" s="407" t="s">
        <v>128</v>
      </c>
      <c r="C15" s="252" t="s">
        <v>560</v>
      </c>
    </row>
    <row r="16" spans="2:3" s="1" customFormat="1" ht="38.25">
      <c r="B16" s="407" t="s">
        <v>129</v>
      </c>
      <c r="C16" s="252" t="s">
        <v>561</v>
      </c>
    </row>
    <row r="17" spans="2:3" s="1" customFormat="1" ht="25.5">
      <c r="B17" s="407" t="s">
        <v>130</v>
      </c>
      <c r="C17" s="252" t="s">
        <v>562</v>
      </c>
    </row>
    <row r="18" spans="2:3" s="1" customFormat="1" ht="25.5">
      <c r="B18" s="407" t="s">
        <v>131</v>
      </c>
      <c r="C18" s="252" t="s">
        <v>563</v>
      </c>
    </row>
    <row r="19" spans="2:3" s="1" customFormat="1" ht="51">
      <c r="B19" s="407" t="s">
        <v>132</v>
      </c>
      <c r="C19" s="252" t="s">
        <v>564</v>
      </c>
    </row>
    <row r="20" spans="2:3" s="1" customFormat="1" ht="25.5">
      <c r="B20" s="407" t="s">
        <v>133</v>
      </c>
      <c r="C20" s="252" t="s">
        <v>565</v>
      </c>
    </row>
    <row r="21" spans="2:3" s="1" customFormat="1" ht="38.25">
      <c r="B21" s="407" t="s">
        <v>134</v>
      </c>
      <c r="C21" s="252" t="s">
        <v>566</v>
      </c>
    </row>
    <row r="22" spans="2:3" s="1" customFormat="1" ht="25.5">
      <c r="B22" s="407" t="s">
        <v>135</v>
      </c>
      <c r="C22" s="252" t="s">
        <v>567</v>
      </c>
    </row>
    <row r="23" spans="2:3" s="1" customFormat="1">
      <c r="B23"/>
      <c r="C23"/>
    </row>
    <row r="24" spans="2:3" s="1" customFormat="1">
      <c r="B24"/>
      <c r="C24"/>
    </row>
    <row r="25" spans="2:3" s="1" customFormat="1">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1:C15"/>
  <sheetViews>
    <sheetView showGridLines="0" showRowColHeaders="0" workbookViewId="0">
      <pane ySplit="3" topLeftCell="A4" activePane="bottomLeft" state="frozen"/>
      <selection pane="bottomLeft" activeCell="A4" sqref="A4"/>
    </sheetView>
  </sheetViews>
  <sheetFormatPr defaultColWidth="9.140625" defaultRowHeight="12.75"/>
  <cols>
    <col min="1" max="1" width="1" style="2" customWidth="1"/>
    <col min="2" max="2" width="31.85546875" style="2" customWidth="1"/>
    <col min="3" max="3" width="101.28515625" style="2" customWidth="1"/>
    <col min="4" max="4" width="1" style="2" customWidth="1"/>
    <col min="5" max="16384" width="9.140625" style="2"/>
  </cols>
  <sheetData>
    <row r="1" spans="2:3" ht="5.0999999999999996" customHeight="1" thickBot="1"/>
    <row r="2" spans="2:3" ht="38.25" customHeight="1" thickBot="1">
      <c r="B2" s="684" t="s">
        <v>568</v>
      </c>
      <c r="C2" s="684"/>
    </row>
    <row r="3" spans="2:3" s="1" customFormat="1" ht="15.75">
      <c r="B3" s="406" t="s">
        <v>420</v>
      </c>
      <c r="C3" s="406" t="s">
        <v>421</v>
      </c>
    </row>
    <row r="4" spans="2:3" s="1" customFormat="1" ht="53.25" customHeight="1">
      <c r="B4" s="407" t="s">
        <v>136</v>
      </c>
      <c r="C4" s="252" t="s">
        <v>569</v>
      </c>
    </row>
    <row r="5" spans="2:3" s="1" customFormat="1" ht="114.75">
      <c r="B5" s="407" t="s">
        <v>137</v>
      </c>
      <c r="C5" s="252" t="s">
        <v>570</v>
      </c>
    </row>
    <row r="6" spans="2:3" s="1" customFormat="1" ht="26.25" customHeight="1">
      <c r="B6" s="407" t="s">
        <v>138</v>
      </c>
      <c r="C6" s="252" t="s">
        <v>571</v>
      </c>
    </row>
    <row r="7" spans="2:3" s="1" customFormat="1" ht="28.5" customHeight="1">
      <c r="B7" s="407" t="s">
        <v>139</v>
      </c>
      <c r="C7" s="252" t="s">
        <v>572</v>
      </c>
    </row>
    <row r="8" spans="2:3" s="1" customFormat="1" ht="29.25" customHeight="1">
      <c r="B8" s="407" t="s">
        <v>117</v>
      </c>
      <c r="C8" s="252" t="s">
        <v>573</v>
      </c>
    </row>
    <row r="9" spans="2:3" s="1" customFormat="1" ht="51">
      <c r="B9" s="407" t="s">
        <v>574</v>
      </c>
      <c r="C9" s="252" t="s">
        <v>575</v>
      </c>
    </row>
    <row r="10" spans="2:3" s="1" customFormat="1" ht="41.25" customHeight="1">
      <c r="B10" s="407" t="s">
        <v>141</v>
      </c>
      <c r="C10" s="252" t="s">
        <v>576</v>
      </c>
    </row>
    <row r="11" spans="2:3" s="1" customFormat="1" ht="45" customHeight="1">
      <c r="B11" s="407" t="s">
        <v>142</v>
      </c>
      <c r="C11" s="252" t="s">
        <v>577</v>
      </c>
    </row>
    <row r="12" spans="2:3" s="1" customFormat="1" ht="30" customHeight="1">
      <c r="B12" s="407" t="s">
        <v>143</v>
      </c>
      <c r="C12" s="252" t="s">
        <v>578</v>
      </c>
    </row>
    <row r="13" spans="2:3" s="1" customFormat="1">
      <c r="B13"/>
      <c r="C13"/>
    </row>
    <row r="14" spans="2:3" s="1" customFormat="1">
      <c r="B14"/>
      <c r="C14"/>
    </row>
    <row r="15" spans="2:3" s="1" customFormat="1">
      <c r="B15"/>
      <c r="C15"/>
    </row>
  </sheetData>
  <mergeCells count="1">
    <mergeCell ref="B2:C2"/>
  </mergeCell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1:C31"/>
  <sheetViews>
    <sheetView showGridLines="0" showRowColHeaders="0" workbookViewId="0">
      <selection activeCell="A4" sqref="A4"/>
    </sheetView>
  </sheetViews>
  <sheetFormatPr defaultColWidth="9.140625" defaultRowHeight="12.75"/>
  <cols>
    <col min="1" max="1" width="1" style="2" customWidth="1"/>
    <col min="2" max="2" width="66.7109375" style="2" customWidth="1"/>
    <col min="3" max="3" width="66.5703125" style="2" customWidth="1"/>
    <col min="4" max="4" width="1" style="2" customWidth="1"/>
    <col min="5" max="16384" width="9.140625" style="2"/>
  </cols>
  <sheetData>
    <row r="1" spans="2:3" ht="5.0999999999999996" customHeight="1" thickBot="1"/>
    <row r="2" spans="2:3" ht="38.25" customHeight="1" thickBot="1">
      <c r="B2" s="684" t="s">
        <v>579</v>
      </c>
      <c r="C2" s="684"/>
    </row>
    <row r="3" spans="2:3">
      <c r="B3" s="609"/>
      <c r="C3" s="611"/>
    </row>
    <row r="4" spans="2:3" ht="15.75">
      <c r="B4" s="18" t="s">
        <v>580</v>
      </c>
      <c r="C4" s="19" t="s">
        <v>581</v>
      </c>
    </row>
    <row r="5" spans="2:3">
      <c r="B5" s="16" t="s">
        <v>582</v>
      </c>
      <c r="C5" s="17" t="s">
        <v>583</v>
      </c>
    </row>
    <row r="6" spans="2:3">
      <c r="B6" s="16" t="s">
        <v>584</v>
      </c>
      <c r="C6" s="134" t="s">
        <v>585</v>
      </c>
    </row>
    <row r="7" spans="2:3">
      <c r="B7" s="16" t="s">
        <v>586</v>
      </c>
      <c r="C7" s="17" t="s">
        <v>587</v>
      </c>
    </row>
    <row r="8" spans="2:3">
      <c r="B8" s="16" t="s">
        <v>588</v>
      </c>
      <c r="C8" s="17" t="s">
        <v>589</v>
      </c>
    </row>
    <row r="9" spans="2:3">
      <c r="B9" s="16" t="s">
        <v>590</v>
      </c>
      <c r="C9" s="17" t="s">
        <v>591</v>
      </c>
    </row>
    <row r="10" spans="2:3">
      <c r="B10" s="16" t="s">
        <v>592</v>
      </c>
      <c r="C10" s="17" t="s">
        <v>593</v>
      </c>
    </row>
    <row r="11" spans="2:3">
      <c r="B11" s="133" t="s">
        <v>594</v>
      </c>
      <c r="C11" s="17" t="s">
        <v>595</v>
      </c>
    </row>
    <row r="12" spans="2:3">
      <c r="B12" s="16"/>
      <c r="C12" s="17" t="s">
        <v>596</v>
      </c>
    </row>
    <row r="13" spans="2:3">
      <c r="B13" s="16"/>
      <c r="C13" s="17" t="s">
        <v>597</v>
      </c>
    </row>
    <row r="14" spans="2:3" ht="15.75">
      <c r="B14" s="18" t="s">
        <v>598</v>
      </c>
      <c r="C14" s="17" t="s">
        <v>599</v>
      </c>
    </row>
    <row r="15" spans="2:3">
      <c r="B15" s="16" t="s">
        <v>600</v>
      </c>
      <c r="C15" s="17" t="s">
        <v>601</v>
      </c>
    </row>
    <row r="16" spans="2:3">
      <c r="B16" s="16" t="s">
        <v>602</v>
      </c>
      <c r="C16" s="135" t="s">
        <v>603</v>
      </c>
    </row>
    <row r="17" spans="2:3">
      <c r="B17" s="16" t="s">
        <v>604</v>
      </c>
      <c r="C17" s="135" t="s">
        <v>605</v>
      </c>
    </row>
    <row r="18" spans="2:3">
      <c r="B18" s="16" t="s">
        <v>606</v>
      </c>
      <c r="C18" s="4"/>
    </row>
    <row r="19" spans="2:3" ht="15.75">
      <c r="B19" s="16" t="s">
        <v>607</v>
      </c>
      <c r="C19" s="19" t="s">
        <v>608</v>
      </c>
    </row>
    <row r="20" spans="2:3">
      <c r="B20" s="16" t="s">
        <v>609</v>
      </c>
      <c r="C20" s="17" t="s">
        <v>610</v>
      </c>
    </row>
    <row r="21" spans="2:3">
      <c r="B21" s="16" t="s">
        <v>611</v>
      </c>
      <c r="C21" s="134" t="s">
        <v>612</v>
      </c>
    </row>
    <row r="22" spans="2:3">
      <c r="B22" s="16"/>
      <c r="C22" s="17" t="s">
        <v>613</v>
      </c>
    </row>
    <row r="23" spans="2:3">
      <c r="B23" s="16"/>
      <c r="C23" s="17"/>
    </row>
    <row r="24" spans="2:3">
      <c r="B24" s="3"/>
      <c r="C24" s="4"/>
    </row>
    <row r="25" spans="2:3" ht="15.75">
      <c r="B25" s="18" t="s">
        <v>614</v>
      </c>
      <c r="C25" s="19" t="s">
        <v>405</v>
      </c>
    </row>
    <row r="26" spans="2:3">
      <c r="B26" s="16" t="s">
        <v>615</v>
      </c>
      <c r="C26" s="17" t="s">
        <v>616</v>
      </c>
    </row>
    <row r="27" spans="2:3">
      <c r="B27" s="16" t="s">
        <v>617</v>
      </c>
      <c r="C27" s="17" t="s">
        <v>618</v>
      </c>
    </row>
    <row r="28" spans="2:3">
      <c r="B28" s="16" t="s">
        <v>619</v>
      </c>
      <c r="C28" s="17" t="s">
        <v>620</v>
      </c>
    </row>
    <row r="29" spans="2:3">
      <c r="B29" s="3"/>
      <c r="C29" s="134" t="s">
        <v>621</v>
      </c>
    </row>
    <row r="30" spans="2:3">
      <c r="B30" s="3"/>
      <c r="C30" s="4" t="s">
        <v>622</v>
      </c>
    </row>
    <row r="31" spans="2:3">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1:J29"/>
  <sheetViews>
    <sheetView showGridLines="0" showRowColHeaders="0" workbookViewId="0"/>
  </sheetViews>
  <sheetFormatPr defaultColWidth="9.140625" defaultRowHeight="12.75"/>
  <cols>
    <col min="1" max="1" width="1" style="2" customWidth="1"/>
    <col min="2" max="2" width="21.85546875" style="2" customWidth="1"/>
    <col min="3" max="3" width="6.7109375" style="2" bestFit="1" customWidth="1"/>
    <col min="4" max="4" width="25.7109375" style="2" customWidth="1"/>
    <col min="5" max="5" width="29" style="2" bestFit="1" customWidth="1"/>
    <col min="6" max="6" width="2.140625" style="2" customWidth="1"/>
    <col min="7" max="7" width="21.42578125" style="2" customWidth="1"/>
    <col min="8" max="8" width="2.28515625" style="2" customWidth="1"/>
    <col min="9" max="9" width="19" style="2" customWidth="1"/>
    <col min="10" max="10" width="5.28515625" style="2" customWidth="1"/>
    <col min="11" max="11" width="1" style="2" customWidth="1"/>
    <col min="12" max="16384" width="9.140625" style="2"/>
  </cols>
  <sheetData>
    <row r="1" spans="2:10" ht="5.0999999999999996" customHeight="1" thickBot="1"/>
    <row r="2" spans="2:10" ht="38.25" customHeight="1" thickBot="1">
      <c r="B2" s="684" t="s">
        <v>623</v>
      </c>
      <c r="C2" s="684"/>
      <c r="D2" s="684"/>
      <c r="E2" s="684"/>
      <c r="F2" s="684"/>
      <c r="G2" s="684"/>
      <c r="H2" s="684"/>
      <c r="I2" s="684"/>
      <c r="J2" s="684"/>
    </row>
    <row r="3" spans="2:10">
      <c r="B3" s="609"/>
      <c r="C3" s="610"/>
      <c r="D3" s="610"/>
      <c r="E3" s="610"/>
      <c r="F3" s="610"/>
      <c r="G3" s="610"/>
      <c r="H3" s="610"/>
      <c r="I3" s="610"/>
      <c r="J3" s="611"/>
    </row>
    <row r="4" spans="2:10" ht="15.75">
      <c r="B4" s="18" t="s">
        <v>86</v>
      </c>
      <c r="C4" s="222" t="s">
        <v>624</v>
      </c>
      <c r="D4" s="8" t="s">
        <v>87</v>
      </c>
      <c r="E4" s="8" t="s">
        <v>88</v>
      </c>
      <c r="G4" s="8" t="s">
        <v>625</v>
      </c>
      <c r="H4" s="220"/>
      <c r="I4" s="220"/>
      <c r="J4" s="4"/>
    </row>
    <row r="5" spans="2:10">
      <c r="B5" s="16" t="s">
        <v>101</v>
      </c>
      <c r="C5" s="223">
        <v>11</v>
      </c>
      <c r="D5" t="s">
        <v>481</v>
      </c>
      <c r="E5" t="s">
        <v>626</v>
      </c>
      <c r="G5" t="s">
        <v>502</v>
      </c>
      <c r="H5"/>
      <c r="I5"/>
      <c r="J5" s="4"/>
    </row>
    <row r="6" spans="2:10">
      <c r="B6" s="16" t="s">
        <v>627</v>
      </c>
      <c r="C6" s="223"/>
      <c r="D6" t="s">
        <v>483</v>
      </c>
      <c r="E6" t="s">
        <v>628</v>
      </c>
      <c r="G6" t="s">
        <v>166</v>
      </c>
      <c r="H6"/>
      <c r="I6"/>
      <c r="J6" s="4"/>
    </row>
    <row r="7" spans="2:10">
      <c r="B7" s="16" t="s">
        <v>94</v>
      </c>
      <c r="C7" s="223">
        <v>1</v>
      </c>
      <c r="D7" t="s">
        <v>485</v>
      </c>
      <c r="E7" t="s">
        <v>92</v>
      </c>
      <c r="G7" t="s">
        <v>505</v>
      </c>
      <c r="H7"/>
      <c r="I7"/>
      <c r="J7" s="4"/>
    </row>
    <row r="8" spans="2:10">
      <c r="B8" s="16" t="s">
        <v>629</v>
      </c>
      <c r="C8" s="223">
        <v>2</v>
      </c>
      <c r="D8" t="s">
        <v>122</v>
      </c>
      <c r="E8" t="s">
        <v>630</v>
      </c>
      <c r="G8" t="s">
        <v>507</v>
      </c>
      <c r="H8"/>
      <c r="J8" s="4"/>
    </row>
    <row r="9" spans="2:10">
      <c r="B9" s="16" t="s">
        <v>96</v>
      </c>
      <c r="C9" s="223">
        <v>4</v>
      </c>
      <c r="D9" t="s">
        <v>488</v>
      </c>
      <c r="E9" t="s">
        <v>631</v>
      </c>
      <c r="G9" t="s">
        <v>165</v>
      </c>
      <c r="H9"/>
      <c r="I9"/>
      <c r="J9" s="4"/>
    </row>
    <row r="10" spans="2:10">
      <c r="B10" s="16" t="s">
        <v>632</v>
      </c>
      <c r="C10" s="223">
        <v>7</v>
      </c>
      <c r="D10" t="s">
        <v>490</v>
      </c>
      <c r="E10" t="s">
        <v>633</v>
      </c>
      <c r="G10" t="s">
        <v>510</v>
      </c>
      <c r="H10"/>
      <c r="I10"/>
      <c r="J10" s="4"/>
    </row>
    <row r="11" spans="2:10">
      <c r="B11" s="16" t="s">
        <v>634</v>
      </c>
      <c r="C11" s="223">
        <v>8</v>
      </c>
      <c r="D11" t="s">
        <v>492</v>
      </c>
      <c r="E11" t="s">
        <v>635</v>
      </c>
      <c r="G11" t="s">
        <v>512</v>
      </c>
      <c r="H11"/>
      <c r="I11"/>
      <c r="J11" s="4"/>
    </row>
    <row r="12" spans="2:10">
      <c r="B12" s="16" t="s">
        <v>117</v>
      </c>
      <c r="C12" s="223">
        <v>10</v>
      </c>
      <c r="D12" t="s">
        <v>223</v>
      </c>
      <c r="E12" t="s">
        <v>636</v>
      </c>
      <c r="G12"/>
      <c r="H12"/>
      <c r="I12"/>
      <c r="J12" s="4"/>
    </row>
    <row r="13" spans="2:10">
      <c r="B13" s="16" t="s">
        <v>637</v>
      </c>
      <c r="C13" s="223"/>
      <c r="D13" t="s">
        <v>117</v>
      </c>
      <c r="E13" t="s">
        <v>638</v>
      </c>
      <c r="G13"/>
      <c r="H13"/>
      <c r="I13"/>
      <c r="J13" s="4"/>
    </row>
    <row r="14" spans="2:10">
      <c r="B14" s="16" t="s">
        <v>90</v>
      </c>
      <c r="C14" s="223">
        <v>3</v>
      </c>
      <c r="D14" t="s">
        <v>91</v>
      </c>
      <c r="E14"/>
      <c r="G14"/>
      <c r="H14"/>
      <c r="I14"/>
      <c r="J14" s="4"/>
    </row>
    <row r="15" spans="2:10">
      <c r="B15" s="16" t="s">
        <v>639</v>
      </c>
      <c r="C15" s="223">
        <v>5</v>
      </c>
      <c r="D15" t="s">
        <v>497</v>
      </c>
      <c r="E15"/>
      <c r="G15"/>
      <c r="H15"/>
      <c r="I15"/>
      <c r="J15" s="4"/>
    </row>
    <row r="16" spans="2:10">
      <c r="B16" s="16" t="s">
        <v>640</v>
      </c>
      <c r="C16" s="223">
        <v>6</v>
      </c>
      <c r="D16" t="s">
        <v>499</v>
      </c>
      <c r="E16"/>
      <c r="G16"/>
      <c r="J16" s="4"/>
    </row>
    <row r="17" spans="2:10">
      <c r="B17" s="16" t="s">
        <v>641</v>
      </c>
      <c r="C17" s="223">
        <v>9</v>
      </c>
      <c r="D17"/>
      <c r="E17"/>
      <c r="H17"/>
      <c r="I17" s="221"/>
      <c r="J17" s="4"/>
    </row>
    <row r="18" spans="2:10">
      <c r="B18" s="16"/>
      <c r="C18"/>
      <c r="D18"/>
      <c r="E18"/>
      <c r="G18" s="221"/>
      <c r="H18"/>
      <c r="I18"/>
      <c r="J18" s="4"/>
    </row>
    <row r="19" spans="2:10">
      <c r="B19" s="16"/>
      <c r="C19"/>
      <c r="D19"/>
      <c r="E19"/>
      <c r="G19"/>
      <c r="J19" s="4"/>
    </row>
    <row r="20" spans="2:10">
      <c r="B20" s="16"/>
      <c r="C20"/>
      <c r="D20"/>
      <c r="E20"/>
      <c r="J20" s="4"/>
    </row>
    <row r="21" spans="2:10">
      <c r="B21" s="16"/>
      <c r="C21"/>
      <c r="D21"/>
      <c r="E21"/>
      <c r="I21"/>
      <c r="J21" s="4"/>
    </row>
    <row r="22" spans="2:10">
      <c r="B22" s="16"/>
      <c r="C22"/>
      <c r="D22"/>
      <c r="E22"/>
      <c r="I22" s="221"/>
      <c r="J22" s="4"/>
    </row>
    <row r="23" spans="2:10">
      <c r="B23" s="16"/>
      <c r="C23"/>
      <c r="G23" s="221"/>
      <c r="I23"/>
      <c r="J23" s="4"/>
    </row>
    <row r="24" spans="2:10">
      <c r="B24" s="16"/>
      <c r="C24"/>
      <c r="G24"/>
      <c r="J24" s="4"/>
    </row>
    <row r="25" spans="2:10">
      <c r="B25" s="16"/>
      <c r="C25"/>
      <c r="J25" s="4"/>
    </row>
    <row r="26" spans="2:10">
      <c r="B26" s="16"/>
      <c r="C26"/>
      <c r="J26" s="4"/>
    </row>
    <row r="27" spans="2:10">
      <c r="B27" s="3"/>
      <c r="C27"/>
      <c r="J27" s="4"/>
    </row>
    <row r="28" spans="2:10">
      <c r="B28" s="3"/>
      <c r="C28"/>
      <c r="J28" s="4"/>
    </row>
    <row r="29" spans="2:10">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0000"/>
  </sheetPr>
  <dimension ref="B2:T74"/>
  <sheetViews>
    <sheetView zoomScale="75" zoomScaleNormal="75" workbookViewId="0">
      <selection activeCell="N4" sqref="N4"/>
    </sheetView>
  </sheetViews>
  <sheetFormatPr defaultRowHeight="12.75"/>
  <cols>
    <col min="1" max="1" width="1.7109375" customWidth="1"/>
    <col min="2" max="2" width="39" bestFit="1" customWidth="1"/>
    <col min="3" max="3" width="21" bestFit="1" customWidth="1"/>
    <col min="4" max="4" width="26.85546875" bestFit="1" customWidth="1"/>
    <col min="5" max="5" width="26.85546875" customWidth="1"/>
    <col min="6" max="6" width="12.28515625" bestFit="1" customWidth="1"/>
    <col min="7" max="7" width="13.42578125" bestFit="1" customWidth="1"/>
    <col min="8" max="8" width="14.85546875" bestFit="1" customWidth="1"/>
    <col min="9" max="9" width="12.28515625" bestFit="1" customWidth="1"/>
    <col min="10" max="10" width="16.140625" customWidth="1"/>
    <col min="11" max="11" width="13.28515625" customWidth="1"/>
    <col min="12" max="12" width="10.85546875" customWidth="1"/>
    <col min="13" max="13" width="12" customWidth="1"/>
    <col min="14" max="14" width="14.42578125" customWidth="1"/>
    <col min="15" max="15" width="12.140625" bestFit="1" customWidth="1"/>
    <col min="16" max="16" width="10.85546875" customWidth="1"/>
    <col min="17" max="17" width="9.5703125" customWidth="1"/>
    <col min="18" max="18" width="14.140625" customWidth="1"/>
    <col min="19" max="19" width="9.7109375" bestFit="1" customWidth="1"/>
    <col min="20" max="21" width="11.28515625" bestFit="1" customWidth="1"/>
    <col min="23" max="23" width="11.140625" bestFit="1" customWidth="1"/>
    <col min="25" max="25" width="11.140625" bestFit="1" customWidth="1"/>
  </cols>
  <sheetData>
    <row r="2" spans="2:14">
      <c r="B2" s="76" t="s">
        <v>642</v>
      </c>
    </row>
    <row r="3" spans="2:14" ht="38.25">
      <c r="B3" s="409" t="s">
        <v>85</v>
      </c>
      <c r="C3" s="409" t="s">
        <v>643</v>
      </c>
      <c r="D3" s="409" t="s">
        <v>644</v>
      </c>
      <c r="E3" s="409" t="s">
        <v>645</v>
      </c>
      <c r="F3" s="410" t="str">
        <f>Budgets!D4</f>
        <v>Planning / Design</v>
      </c>
      <c r="G3" s="410" t="str">
        <f>Budgets!E4</f>
        <v>Marketing &amp; Delivery</v>
      </c>
      <c r="H3" s="410" t="str">
        <f>Budgets!F4</f>
        <v>Incentives / Direct Install Costs</v>
      </c>
      <c r="I3" s="410" t="str">
        <f>Budgets!G4</f>
        <v>EM&amp;V</v>
      </c>
      <c r="J3" s="410" t="str">
        <f>Budgets!H4</f>
        <v>Administration</v>
      </c>
      <c r="K3" s="410" t="str">
        <f>Budgets!I4</f>
        <v>Total</v>
      </c>
      <c r="L3" s="410" t="str">
        <f>'Savings &amp; Participants'!D4</f>
        <v>Demand 
Savings</v>
      </c>
      <c r="M3" s="410" t="str">
        <f>'Savings &amp; Participants'!E4</f>
        <v>Energy 
Savings</v>
      </c>
      <c r="N3" s="410" t="str">
        <f>'Savings &amp; Participants'!G5</f>
        <v>Participants</v>
      </c>
    </row>
    <row r="4" spans="2:14">
      <c r="B4" s="411" t="str">
        <f>'Program Descriptions'!C5</f>
        <v>Residential Solutions Program</v>
      </c>
      <c r="C4" s="411" t="str">
        <f>IF(B4="Empty","",'Program Descriptions'!E5)</f>
        <v>Res/Small Business</v>
      </c>
      <c r="D4" s="411" t="str">
        <f>IF(B4="Empty","",'Program Descriptions'!F5)</f>
        <v>Prescriptive/Standard Offer</v>
      </c>
      <c r="E4" s="411" t="str">
        <f>IF(B4="Empty","",'Program Descriptions'!G5)</f>
        <v>Implementing Contractor</v>
      </c>
      <c r="F4" s="412">
        <f>Budgets!D5</f>
        <v>43078</v>
      </c>
      <c r="G4" s="412">
        <f>Budgets!E5</f>
        <v>1531377</v>
      </c>
      <c r="H4" s="412">
        <f>Budgets!F5</f>
        <v>4782551</v>
      </c>
      <c r="I4" s="412">
        <f>Budgets!G5</f>
        <v>284087</v>
      </c>
      <c r="J4" s="412">
        <f>Budgets!H5</f>
        <v>394206.92</v>
      </c>
      <c r="K4" s="413">
        <f>SUM(F4:J4)</f>
        <v>7035299.9199999999</v>
      </c>
      <c r="L4" s="414" t="str">
        <f>IF(Demand_1=NG_Demand,"n/a",'Savings &amp; Participants'!D6)</f>
        <v>n/a</v>
      </c>
      <c r="M4" s="414">
        <f>'Savings &amp; Participants'!E6</f>
        <v>1101642</v>
      </c>
      <c r="N4" s="414">
        <f>'Savings &amp; Participants'!G6</f>
        <v>93318</v>
      </c>
    </row>
    <row r="5" spans="2:14">
      <c r="B5" s="411" t="str">
        <f>'Program Descriptions'!C6</f>
        <v>Access to Afford Energy &amp; Conservation</v>
      </c>
      <c r="C5" s="411" t="str">
        <f>IF(B5="Empty","",'Program Descriptions'!E6)</f>
        <v>Residential</v>
      </c>
      <c r="D5" s="411" t="str">
        <f>IF(B5="Empty","",'Program Descriptions'!F6)</f>
        <v>Prescriptive/Standard Offer</v>
      </c>
      <c r="E5" s="411" t="str">
        <f>IF(B5="Empty","",'Program Descriptions'!G6)</f>
        <v>Implementing Contractor</v>
      </c>
      <c r="F5" s="412">
        <f>Budgets!D6</f>
        <v>15713.62</v>
      </c>
      <c r="G5" s="412">
        <f>Budgets!E6</f>
        <v>546319</v>
      </c>
      <c r="H5" s="412">
        <f>Budgets!F6</f>
        <v>1273130</v>
      </c>
      <c r="I5" s="412">
        <f>Budgets!G6</f>
        <v>23718.73</v>
      </c>
      <c r="J5" s="412">
        <f>Budgets!H6</f>
        <v>88475.16</v>
      </c>
      <c r="K5" s="413">
        <f t="shared" ref="K5:K23" si="0">SUM(F5:J5)</f>
        <v>1947356.51</v>
      </c>
      <c r="L5" s="414" t="str">
        <f>IF(Demand_1=NG_Demand,"n/a",'Savings &amp; Participants'!D7)</f>
        <v>n/a</v>
      </c>
      <c r="M5" s="414">
        <f>'Savings &amp; Participants'!E7</f>
        <v>541439</v>
      </c>
      <c r="N5" s="414">
        <f>'Savings &amp; Participants'!G7</f>
        <v>64865</v>
      </c>
    </row>
    <row r="6" spans="2:14">
      <c r="B6" s="411" t="str">
        <f>'Program Descriptions'!C7</f>
        <v>Commercial Solutions</v>
      </c>
      <c r="C6" s="411" t="str">
        <f>IF(B6="Empty","",'Program Descriptions'!E7)</f>
        <v>Commercial &amp; Industrial</v>
      </c>
      <c r="D6" s="411" t="str">
        <f>IF(B6="Empty","",'Program Descriptions'!F7)</f>
        <v>Prescriptive/Standard Offer</v>
      </c>
      <c r="E6" s="411" t="str">
        <f>IF(B6="Empty","",'Program Descriptions'!G7)</f>
        <v>Implementing Contractor</v>
      </c>
      <c r="F6" s="412">
        <f>Budgets!D7</f>
        <v>54035.519999999997</v>
      </c>
      <c r="G6" s="412">
        <f>Budgets!E7</f>
        <v>1370153</v>
      </c>
      <c r="H6" s="412">
        <f>Budgets!F7</f>
        <v>1621373</v>
      </c>
      <c r="I6" s="412">
        <f>Budgets!G7</f>
        <v>560745.53</v>
      </c>
      <c r="J6" s="412">
        <f>Budgets!H7</f>
        <v>321105.74</v>
      </c>
      <c r="K6" s="413">
        <f t="shared" si="0"/>
        <v>3927412.79</v>
      </c>
      <c r="L6" s="414" t="str">
        <f>IF(Demand_1=NG_Demand,"n/a",'Savings &amp; Participants'!D8)</f>
        <v>n/a</v>
      </c>
      <c r="M6" s="414">
        <f>'Savings &amp; Participants'!E8</f>
        <v>1996743</v>
      </c>
      <c r="N6" s="414">
        <f>'Savings &amp; Participants'!G8</f>
        <v>687</v>
      </c>
    </row>
    <row r="7" spans="2:14">
      <c r="B7" s="411" t="str">
        <f>'Program Descriptions'!C8</f>
        <v>Empty</v>
      </c>
      <c r="C7" s="411" t="str">
        <f>IF(B7="Empty","",'Program Descriptions'!E8)</f>
        <v/>
      </c>
      <c r="D7" s="411" t="str">
        <f>IF(B7="Empty","",'Program Descriptions'!F8)</f>
        <v/>
      </c>
      <c r="E7" s="411" t="str">
        <f>IF(B7="Empty","",'Program Descriptions'!G8)</f>
        <v/>
      </c>
      <c r="F7" s="412">
        <f>Budgets!D8</f>
        <v>0</v>
      </c>
      <c r="G7" s="412">
        <f>Budgets!E8</f>
        <v>0</v>
      </c>
      <c r="H7" s="412">
        <f>Budgets!F8</f>
        <v>0</v>
      </c>
      <c r="I7" s="412">
        <f>Budgets!G8</f>
        <v>0</v>
      </c>
      <c r="J7" s="412">
        <f>Budgets!H8</f>
        <v>0</v>
      </c>
      <c r="K7" s="413">
        <f t="shared" si="0"/>
        <v>0</v>
      </c>
      <c r="L7" s="414" t="str">
        <f>IF(Demand_1=NG_Demand,"n/a",'Savings &amp; Participants'!D9)</f>
        <v>n/a</v>
      </c>
      <c r="M7" s="414">
        <f>'Savings &amp; Participants'!E9</f>
        <v>0</v>
      </c>
      <c r="N7" s="414">
        <f>'Savings &amp; Participants'!G9</f>
        <v>0</v>
      </c>
    </row>
    <row r="8" spans="2:14">
      <c r="B8" s="411" t="str">
        <f>'Program Descriptions'!C9</f>
        <v>Empty</v>
      </c>
      <c r="C8" s="411" t="str">
        <f>IF(B8="Empty","",'Program Descriptions'!E9)</f>
        <v/>
      </c>
      <c r="D8" s="411" t="str">
        <f>IF(B8="Empty","",'Program Descriptions'!F9)</f>
        <v/>
      </c>
      <c r="E8" s="411" t="str">
        <f>IF(B8="Empty","",'Program Descriptions'!G9)</f>
        <v/>
      </c>
      <c r="F8" s="412">
        <f>Budgets!D9</f>
        <v>0</v>
      </c>
      <c r="G8" s="412">
        <f>Budgets!E9</f>
        <v>0</v>
      </c>
      <c r="H8" s="412">
        <f>Budgets!F9</f>
        <v>0</v>
      </c>
      <c r="I8" s="412">
        <f>Budgets!G9</f>
        <v>0</v>
      </c>
      <c r="J8" s="412">
        <f>Budgets!H9</f>
        <v>0</v>
      </c>
      <c r="K8" s="413">
        <f t="shared" si="0"/>
        <v>0</v>
      </c>
      <c r="L8" s="414" t="str">
        <f>IF(Demand_1=NG_Demand,"n/a",'Savings &amp; Participants'!D10)</f>
        <v>n/a</v>
      </c>
      <c r="M8" s="414">
        <f>'Savings &amp; Participants'!E10</f>
        <v>0</v>
      </c>
      <c r="N8" s="414">
        <f>'Savings &amp; Participants'!G10</f>
        <v>0</v>
      </c>
    </row>
    <row r="9" spans="2:14">
      <c r="B9" s="411" t="str">
        <f>'Program Descriptions'!C10</f>
        <v>Empty</v>
      </c>
      <c r="C9" s="411" t="str">
        <f>IF(B9="Empty","",'Program Descriptions'!E10)</f>
        <v/>
      </c>
      <c r="D9" s="411" t="str">
        <f>IF(B9="Empty","",'Program Descriptions'!F10)</f>
        <v/>
      </c>
      <c r="E9" s="411" t="str">
        <f>IF(B9="Empty","",'Program Descriptions'!G10)</f>
        <v/>
      </c>
      <c r="F9" s="412">
        <f>Budgets!D10</f>
        <v>0</v>
      </c>
      <c r="G9" s="412">
        <f>Budgets!E10</f>
        <v>0</v>
      </c>
      <c r="H9" s="412">
        <f>Budgets!F10</f>
        <v>0</v>
      </c>
      <c r="I9" s="412">
        <f>Budgets!G10</f>
        <v>0</v>
      </c>
      <c r="J9" s="412">
        <f>Budgets!H10</f>
        <v>0</v>
      </c>
      <c r="K9" s="413">
        <f t="shared" si="0"/>
        <v>0</v>
      </c>
      <c r="L9" s="414" t="str">
        <f>IF(Demand_1=NG_Demand,"n/a",'Savings &amp; Participants'!D11)</f>
        <v>n/a</v>
      </c>
      <c r="M9" s="414">
        <f>'Savings &amp; Participants'!E11</f>
        <v>0</v>
      </c>
      <c r="N9" s="414">
        <f>'Savings &amp; Participants'!G11</f>
        <v>0</v>
      </c>
    </row>
    <row r="10" spans="2:14">
      <c r="B10" s="411" t="str">
        <f>'Program Descriptions'!C11</f>
        <v>Empty</v>
      </c>
      <c r="C10" s="411" t="str">
        <f>IF(B10="Empty","",'Program Descriptions'!E11)</f>
        <v/>
      </c>
      <c r="D10" s="411" t="str">
        <f>IF(B10="Empty","",'Program Descriptions'!F11)</f>
        <v/>
      </c>
      <c r="E10" s="411" t="str">
        <f>IF(B10="Empty","",'Program Descriptions'!G11)</f>
        <v/>
      </c>
      <c r="F10" s="412">
        <f>Budgets!D11</f>
        <v>0</v>
      </c>
      <c r="G10" s="412">
        <f>Budgets!E11</f>
        <v>0</v>
      </c>
      <c r="H10" s="412">
        <f>Budgets!F11</f>
        <v>0</v>
      </c>
      <c r="I10" s="412">
        <f>Budgets!G11</f>
        <v>0</v>
      </c>
      <c r="J10" s="412">
        <f>Budgets!H11</f>
        <v>0</v>
      </c>
      <c r="K10" s="413">
        <f t="shared" si="0"/>
        <v>0</v>
      </c>
      <c r="L10" s="414" t="str">
        <f>IF(Demand_1=NG_Demand,"n/a",'Savings &amp; Participants'!D12)</f>
        <v>n/a</v>
      </c>
      <c r="M10" s="414">
        <f>'Savings &amp; Participants'!E12</f>
        <v>0</v>
      </c>
      <c r="N10" s="414">
        <f>'Savings &amp; Participants'!G12</f>
        <v>0</v>
      </c>
    </row>
    <row r="11" spans="2:14">
      <c r="B11" s="411" t="str">
        <f>'Program Descriptions'!C12</f>
        <v>Empty</v>
      </c>
      <c r="C11" s="411" t="str">
        <f>IF(B11="Empty","",'Program Descriptions'!E12)</f>
        <v/>
      </c>
      <c r="D11" s="411" t="str">
        <f>IF(B11="Empty","",'Program Descriptions'!F12)</f>
        <v/>
      </c>
      <c r="E11" s="411" t="str">
        <f>IF(B11="Empty","",'Program Descriptions'!G12)</f>
        <v/>
      </c>
      <c r="F11" s="412">
        <f>Budgets!D12</f>
        <v>0</v>
      </c>
      <c r="G11" s="412">
        <f>Budgets!E12</f>
        <v>0</v>
      </c>
      <c r="H11" s="412">
        <f>Budgets!F12</f>
        <v>0</v>
      </c>
      <c r="I11" s="412">
        <f>Budgets!G12</f>
        <v>0</v>
      </c>
      <c r="J11" s="412">
        <f>Budgets!H12</f>
        <v>0</v>
      </c>
      <c r="K11" s="413">
        <f t="shared" si="0"/>
        <v>0</v>
      </c>
      <c r="L11" s="414" t="str">
        <f>IF(Demand_1=NG_Demand,"n/a",'Savings &amp; Participants'!D13)</f>
        <v>n/a</v>
      </c>
      <c r="M11" s="414">
        <f>'Savings &amp; Participants'!E13</f>
        <v>0</v>
      </c>
      <c r="N11" s="414">
        <f>'Savings &amp; Participants'!G13</f>
        <v>0</v>
      </c>
    </row>
    <row r="12" spans="2:14">
      <c r="B12" s="411" t="str">
        <f>'Program Descriptions'!C13</f>
        <v>Empty</v>
      </c>
      <c r="C12" s="411" t="str">
        <f>IF(B12="Empty","",'Program Descriptions'!E13)</f>
        <v/>
      </c>
      <c r="D12" s="411" t="str">
        <f>IF(B12="Empty","",'Program Descriptions'!F13)</f>
        <v/>
      </c>
      <c r="E12" s="411" t="str">
        <f>IF(B12="Empty","",'Program Descriptions'!G13)</f>
        <v/>
      </c>
      <c r="F12" s="412">
        <f>Budgets!D13</f>
        <v>0</v>
      </c>
      <c r="G12" s="412">
        <f>Budgets!E13</f>
        <v>0</v>
      </c>
      <c r="H12" s="412">
        <f>Budgets!F13</f>
        <v>0</v>
      </c>
      <c r="I12" s="412">
        <f>Budgets!G13</f>
        <v>0</v>
      </c>
      <c r="J12" s="412">
        <f>Budgets!H13</f>
        <v>0</v>
      </c>
      <c r="K12" s="413">
        <f t="shared" si="0"/>
        <v>0</v>
      </c>
      <c r="L12" s="414" t="str">
        <f>IF(Demand_1=NG_Demand,"n/a",'Savings &amp; Participants'!D14)</f>
        <v>n/a</v>
      </c>
      <c r="M12" s="414">
        <f>'Savings &amp; Participants'!E14</f>
        <v>0</v>
      </c>
      <c r="N12" s="414">
        <f>'Savings &amp; Participants'!G14</f>
        <v>0</v>
      </c>
    </row>
    <row r="13" spans="2:14">
      <c r="B13" s="411" t="str">
        <f>'Program Descriptions'!C14</f>
        <v>Empty</v>
      </c>
      <c r="C13" s="411" t="str">
        <f>IF(B13="Empty","",'Program Descriptions'!E14)</f>
        <v/>
      </c>
      <c r="D13" s="411" t="str">
        <f>IF(B13="Empty","",'Program Descriptions'!F14)</f>
        <v/>
      </c>
      <c r="E13" s="411" t="str">
        <f>IF(B13="Empty","",'Program Descriptions'!G14)</f>
        <v/>
      </c>
      <c r="F13" s="412">
        <f>Budgets!D14</f>
        <v>0</v>
      </c>
      <c r="G13" s="412">
        <f>Budgets!E14</f>
        <v>0</v>
      </c>
      <c r="H13" s="412">
        <f>Budgets!F14</f>
        <v>0</v>
      </c>
      <c r="I13" s="412">
        <f>Budgets!G14</f>
        <v>0</v>
      </c>
      <c r="J13" s="412">
        <f>Budgets!H14</f>
        <v>0</v>
      </c>
      <c r="K13" s="413">
        <f t="shared" si="0"/>
        <v>0</v>
      </c>
      <c r="L13" s="414" t="str">
        <f>IF(Demand_1=NG_Demand,"n/a",'Savings &amp; Participants'!D15)</f>
        <v>n/a</v>
      </c>
      <c r="M13" s="414">
        <f>'Savings &amp; Participants'!E15</f>
        <v>0</v>
      </c>
      <c r="N13" s="414">
        <f>'Savings &amp; Participants'!G15</f>
        <v>0</v>
      </c>
    </row>
    <row r="14" spans="2:14">
      <c r="B14" s="411" t="str">
        <f>'Program Descriptions'!C15</f>
        <v>Empty</v>
      </c>
      <c r="C14" s="411" t="str">
        <f>IF(B14="Empty","",'Program Descriptions'!E15)</f>
        <v/>
      </c>
      <c r="D14" s="411" t="str">
        <f>IF(B14="Empty","",'Program Descriptions'!F15)</f>
        <v/>
      </c>
      <c r="E14" s="411" t="str">
        <f>IF(B14="Empty","",'Program Descriptions'!G15)</f>
        <v/>
      </c>
      <c r="F14" s="412">
        <f>Budgets!D15</f>
        <v>0</v>
      </c>
      <c r="G14" s="412">
        <f>Budgets!E15</f>
        <v>0</v>
      </c>
      <c r="H14" s="412">
        <f>Budgets!F15</f>
        <v>0</v>
      </c>
      <c r="I14" s="412">
        <f>Budgets!G15</f>
        <v>0</v>
      </c>
      <c r="J14" s="412">
        <f>Budgets!H15</f>
        <v>0</v>
      </c>
      <c r="K14" s="413">
        <f t="shared" si="0"/>
        <v>0</v>
      </c>
      <c r="L14" s="414" t="str">
        <f>IF(Demand_1=NG_Demand,"n/a",'Savings &amp; Participants'!D16)</f>
        <v>n/a</v>
      </c>
      <c r="M14" s="414">
        <f>'Savings &amp; Participants'!E16</f>
        <v>0</v>
      </c>
      <c r="N14" s="414">
        <f>'Savings &amp; Participants'!G16</f>
        <v>0</v>
      </c>
    </row>
    <row r="15" spans="2:14">
      <c r="B15" s="411" t="str">
        <f>'Program Descriptions'!C16</f>
        <v>Empty</v>
      </c>
      <c r="C15" s="411" t="str">
        <f>IF(B15="Empty","",'Program Descriptions'!E16)</f>
        <v/>
      </c>
      <c r="D15" s="411" t="str">
        <f>IF(B15="Empty","",'Program Descriptions'!F16)</f>
        <v/>
      </c>
      <c r="E15" s="411" t="str">
        <f>IF(B15="Empty","",'Program Descriptions'!G16)</f>
        <v/>
      </c>
      <c r="F15" s="412">
        <f>Budgets!D16</f>
        <v>0</v>
      </c>
      <c r="G15" s="412">
        <f>Budgets!E16</f>
        <v>0</v>
      </c>
      <c r="H15" s="412">
        <f>Budgets!F16</f>
        <v>0</v>
      </c>
      <c r="I15" s="412">
        <f>Budgets!G16</f>
        <v>0</v>
      </c>
      <c r="J15" s="412">
        <f>Budgets!H16</f>
        <v>0</v>
      </c>
      <c r="K15" s="413">
        <f t="shared" si="0"/>
        <v>0</v>
      </c>
      <c r="L15" s="414" t="str">
        <f>IF(Demand_1=NG_Demand,"n/a",'Savings &amp; Participants'!D17)</f>
        <v>n/a</v>
      </c>
      <c r="M15" s="414">
        <f>'Savings &amp; Participants'!E17</f>
        <v>0</v>
      </c>
      <c r="N15" s="414">
        <f>'Savings &amp; Participants'!G17</f>
        <v>0</v>
      </c>
    </row>
    <row r="16" spans="2:14">
      <c r="B16" s="411" t="str">
        <f>'Program Descriptions'!C17</f>
        <v>Empty</v>
      </c>
      <c r="C16" s="411" t="str">
        <f>IF(B16="Empty","",'Program Descriptions'!E17)</f>
        <v/>
      </c>
      <c r="D16" s="411" t="str">
        <f>IF(B16="Empty","",'Program Descriptions'!F17)</f>
        <v/>
      </c>
      <c r="E16" s="411" t="str">
        <f>IF(B16="Empty","",'Program Descriptions'!G17)</f>
        <v/>
      </c>
      <c r="F16" s="412">
        <f>Budgets!D17</f>
        <v>0</v>
      </c>
      <c r="G16" s="412">
        <f>Budgets!E17</f>
        <v>0</v>
      </c>
      <c r="H16" s="412">
        <f>Budgets!F17</f>
        <v>0</v>
      </c>
      <c r="I16" s="412">
        <f>Budgets!G17</f>
        <v>0</v>
      </c>
      <c r="J16" s="412">
        <f>Budgets!H17</f>
        <v>0</v>
      </c>
      <c r="K16" s="413">
        <f t="shared" si="0"/>
        <v>0</v>
      </c>
      <c r="L16" s="414" t="str">
        <f>IF(Demand_1=NG_Demand,"n/a",'Savings &amp; Participants'!D18)</f>
        <v>n/a</v>
      </c>
      <c r="M16" s="414">
        <f>'Savings &amp; Participants'!E18</f>
        <v>0</v>
      </c>
      <c r="N16" s="414">
        <f>'Savings &amp; Participants'!G18</f>
        <v>0</v>
      </c>
    </row>
    <row r="17" spans="2:20">
      <c r="B17" s="411" t="str">
        <f>'Program Descriptions'!C18</f>
        <v>Empty</v>
      </c>
      <c r="C17" s="411" t="str">
        <f>IF(B17="Empty","",'Program Descriptions'!E18)</f>
        <v/>
      </c>
      <c r="D17" s="411" t="str">
        <f>IF(B17="Empty","",'Program Descriptions'!F18)</f>
        <v/>
      </c>
      <c r="E17" s="411" t="str">
        <f>IF(B17="Empty","",'Program Descriptions'!G18)</f>
        <v/>
      </c>
      <c r="F17" s="412">
        <f>Budgets!D18</f>
        <v>0</v>
      </c>
      <c r="G17" s="412">
        <f>Budgets!E18</f>
        <v>0</v>
      </c>
      <c r="H17" s="412">
        <f>Budgets!F18</f>
        <v>0</v>
      </c>
      <c r="I17" s="412">
        <f>Budgets!G18</f>
        <v>0</v>
      </c>
      <c r="J17" s="412">
        <f>Budgets!H18</f>
        <v>0</v>
      </c>
      <c r="K17" s="413">
        <f t="shared" si="0"/>
        <v>0</v>
      </c>
      <c r="L17" s="414" t="str">
        <f>IF(Demand_1=NG_Demand,"n/a",'Savings &amp; Participants'!D19)</f>
        <v>n/a</v>
      </c>
      <c r="M17" s="414">
        <f>'Savings &amp; Participants'!E19</f>
        <v>0</v>
      </c>
      <c r="N17" s="414">
        <f>'Savings &amp; Participants'!G19</f>
        <v>0</v>
      </c>
    </row>
    <row r="18" spans="2:20">
      <c r="B18" s="411" t="str">
        <f>'Program Descriptions'!C19</f>
        <v>Empty</v>
      </c>
      <c r="C18" s="411" t="str">
        <f>IF(B18="Empty","",'Program Descriptions'!E19)</f>
        <v/>
      </c>
      <c r="D18" s="411" t="str">
        <f>IF(B18="Empty","",'Program Descriptions'!F19)</f>
        <v/>
      </c>
      <c r="E18" s="411" t="str">
        <f>IF(B18="Empty","",'Program Descriptions'!G19)</f>
        <v/>
      </c>
      <c r="F18" s="412">
        <f>Budgets!D19</f>
        <v>0</v>
      </c>
      <c r="G18" s="412">
        <f>Budgets!E19</f>
        <v>0</v>
      </c>
      <c r="H18" s="412">
        <f>Budgets!F19</f>
        <v>0</v>
      </c>
      <c r="I18" s="412">
        <f>Budgets!G19</f>
        <v>0</v>
      </c>
      <c r="J18" s="412">
        <f>Budgets!H19</f>
        <v>0</v>
      </c>
      <c r="K18" s="413">
        <f t="shared" si="0"/>
        <v>0</v>
      </c>
      <c r="L18" s="414" t="str">
        <f>IF(Demand_1=NG_Demand,"n/a",'Savings &amp; Participants'!D20)</f>
        <v>n/a</v>
      </c>
      <c r="M18" s="414">
        <f>'Savings &amp; Participants'!E20</f>
        <v>0</v>
      </c>
      <c r="N18" s="414">
        <f>'Savings &amp; Participants'!G20</f>
        <v>0</v>
      </c>
    </row>
    <row r="19" spans="2:20">
      <c r="B19" s="411" t="str">
        <f>'Program Descriptions'!C20</f>
        <v>Empty</v>
      </c>
      <c r="C19" s="411" t="str">
        <f>IF(B19="Empty","",'Program Descriptions'!E20)</f>
        <v/>
      </c>
      <c r="D19" s="411" t="str">
        <f>IF(B19="Empty","",'Program Descriptions'!F20)</f>
        <v/>
      </c>
      <c r="E19" s="411" t="str">
        <f>IF(B19="Empty","",'Program Descriptions'!G20)</f>
        <v/>
      </c>
      <c r="F19" s="412">
        <f>Budgets!D20</f>
        <v>0</v>
      </c>
      <c r="G19" s="412">
        <f>Budgets!E20</f>
        <v>0</v>
      </c>
      <c r="H19" s="412">
        <f>Budgets!F20</f>
        <v>0</v>
      </c>
      <c r="I19" s="412">
        <f>Budgets!G20</f>
        <v>0</v>
      </c>
      <c r="J19" s="412">
        <f>Budgets!H20</f>
        <v>0</v>
      </c>
      <c r="K19" s="413">
        <f t="shared" si="0"/>
        <v>0</v>
      </c>
      <c r="L19" s="414" t="str">
        <f>IF(Demand_1=NG_Demand,"n/a",'Savings &amp; Participants'!D21)</f>
        <v>n/a</v>
      </c>
      <c r="M19" s="414">
        <f>'Savings &amp; Participants'!E21</f>
        <v>0</v>
      </c>
      <c r="N19" s="414">
        <f>'Savings &amp; Participants'!G21</f>
        <v>0</v>
      </c>
    </row>
    <row r="20" spans="2:20">
      <c r="B20" s="411" t="str">
        <f>'Program Descriptions'!C21</f>
        <v>Empty</v>
      </c>
      <c r="C20" s="411" t="str">
        <f>IF(B20="Empty","",'Program Descriptions'!E21)</f>
        <v/>
      </c>
      <c r="D20" s="411" t="str">
        <f>IF(B20="Empty","",'Program Descriptions'!F21)</f>
        <v/>
      </c>
      <c r="E20" s="411" t="str">
        <f>IF(B20="Empty","",'Program Descriptions'!G21)</f>
        <v/>
      </c>
      <c r="F20" s="412">
        <f>Budgets!D21</f>
        <v>0</v>
      </c>
      <c r="G20" s="412">
        <f>Budgets!E21</f>
        <v>0</v>
      </c>
      <c r="H20" s="412">
        <f>Budgets!F21</f>
        <v>0</v>
      </c>
      <c r="I20" s="412">
        <f>Budgets!G21</f>
        <v>0</v>
      </c>
      <c r="J20" s="412">
        <f>Budgets!H21</f>
        <v>0</v>
      </c>
      <c r="K20" s="413">
        <f t="shared" si="0"/>
        <v>0</v>
      </c>
      <c r="L20" s="414" t="str">
        <f>IF(Demand_1=NG_Demand,"n/a",'Savings &amp; Participants'!D22)</f>
        <v>n/a</v>
      </c>
      <c r="M20" s="414">
        <f>'Savings &amp; Participants'!E22</f>
        <v>0</v>
      </c>
      <c r="N20" s="414">
        <f>'Savings &amp; Participants'!G22</f>
        <v>0</v>
      </c>
    </row>
    <row r="21" spans="2:20">
      <c r="B21" s="411" t="str">
        <f>'Program Descriptions'!C22</f>
        <v>Empty</v>
      </c>
      <c r="C21" s="411" t="str">
        <f>IF(B21="Empty","",'Program Descriptions'!E22)</f>
        <v/>
      </c>
      <c r="D21" s="411" t="str">
        <f>IF(B21="Empty","",'Program Descriptions'!F22)</f>
        <v/>
      </c>
      <c r="E21" s="411" t="str">
        <f>IF(B21="Empty","",'Program Descriptions'!G22)</f>
        <v/>
      </c>
      <c r="F21" s="412">
        <f>Budgets!D22</f>
        <v>0</v>
      </c>
      <c r="G21" s="412">
        <f>Budgets!E22</f>
        <v>0</v>
      </c>
      <c r="H21" s="412">
        <f>Budgets!F22</f>
        <v>0</v>
      </c>
      <c r="I21" s="412">
        <f>Budgets!G22</f>
        <v>0</v>
      </c>
      <c r="J21" s="412">
        <f>Budgets!H22</f>
        <v>0</v>
      </c>
      <c r="K21" s="413">
        <f t="shared" si="0"/>
        <v>0</v>
      </c>
      <c r="L21" s="414" t="str">
        <f>IF(Demand_1=NG_Demand,"n/a",'Savings &amp; Participants'!D23)</f>
        <v>n/a</v>
      </c>
      <c r="M21" s="414">
        <f>'Savings &amp; Participants'!E23</f>
        <v>0</v>
      </c>
      <c r="N21" s="414">
        <f>'Savings &amp; Participants'!G23</f>
        <v>0</v>
      </c>
    </row>
    <row r="22" spans="2:20">
      <c r="B22" s="411" t="str">
        <f>'Program Descriptions'!C23</f>
        <v>Empty</v>
      </c>
      <c r="C22" s="411" t="str">
        <f>IF(B22="Empty","",'Program Descriptions'!E23)</f>
        <v/>
      </c>
      <c r="D22" s="411" t="str">
        <f>IF(B22="Empty","",'Program Descriptions'!F23)</f>
        <v/>
      </c>
      <c r="E22" s="411" t="str">
        <f>IF(B22="Empty","",'Program Descriptions'!G23)</f>
        <v/>
      </c>
      <c r="F22" s="412">
        <f>Budgets!D23</f>
        <v>0</v>
      </c>
      <c r="G22" s="412">
        <f>Budgets!E23</f>
        <v>0</v>
      </c>
      <c r="H22" s="412">
        <f>Budgets!F23</f>
        <v>0</v>
      </c>
      <c r="I22" s="412">
        <f>Budgets!G23</f>
        <v>0</v>
      </c>
      <c r="J22" s="412">
        <f>Budgets!H23</f>
        <v>0</v>
      </c>
      <c r="K22" s="413">
        <f t="shared" si="0"/>
        <v>0</v>
      </c>
      <c r="L22" s="414" t="str">
        <f>IF(Demand_1=NG_Demand,"n/a",'Savings &amp; Participants'!D24)</f>
        <v>n/a</v>
      </c>
      <c r="M22" s="414">
        <f>'Savings &amp; Participants'!E24</f>
        <v>0</v>
      </c>
      <c r="N22" s="414">
        <f>'Savings &amp; Participants'!G24</f>
        <v>0</v>
      </c>
    </row>
    <row r="23" spans="2:20">
      <c r="B23" s="411" t="str">
        <f>'Program Descriptions'!C24</f>
        <v>Empty</v>
      </c>
      <c r="C23" s="411" t="str">
        <f>IF(B23="Empty","",'Program Descriptions'!E24)</f>
        <v/>
      </c>
      <c r="D23" s="411" t="str">
        <f>IF(B23="Empty","",'Program Descriptions'!F24)</f>
        <v/>
      </c>
      <c r="E23" s="411" t="str">
        <f>IF(B23="Empty","",'Program Descriptions'!G24)</f>
        <v/>
      </c>
      <c r="F23" s="412">
        <f>Budgets!D24</f>
        <v>0</v>
      </c>
      <c r="G23" s="412">
        <f>Budgets!E24</f>
        <v>0</v>
      </c>
      <c r="H23" s="412">
        <f>Budgets!F24</f>
        <v>0</v>
      </c>
      <c r="I23" s="412">
        <f>Budgets!G24</f>
        <v>0</v>
      </c>
      <c r="J23" s="412">
        <f>Budgets!H24</f>
        <v>0</v>
      </c>
      <c r="K23" s="413">
        <f t="shared" si="0"/>
        <v>0</v>
      </c>
      <c r="L23" s="414" t="str">
        <f>IF(Demand_1=NG_Demand,"n/a",'Savings &amp; Participants'!D25)</f>
        <v>n/a</v>
      </c>
      <c r="M23" s="414">
        <f>'Savings &amp; Participants'!E25</f>
        <v>0</v>
      </c>
      <c r="N23" s="414">
        <f>'Savings &amp; Participants'!G25</f>
        <v>0</v>
      </c>
    </row>
    <row r="24" spans="2:20">
      <c r="B24" s="236" t="str">
        <f>Budgets!H26</f>
        <v>Regulatory</v>
      </c>
      <c r="C24" s="415" t="s">
        <v>646</v>
      </c>
      <c r="D24" s="415" t="s">
        <v>646</v>
      </c>
      <c r="E24" s="415" t="s">
        <v>646</v>
      </c>
      <c r="F24" s="412"/>
      <c r="G24" s="412"/>
      <c r="H24" s="412"/>
      <c r="I24" s="412"/>
      <c r="J24" s="412"/>
      <c r="K24" s="413">
        <f>Budgets!I26</f>
        <v>31695</v>
      </c>
      <c r="L24" s="414"/>
      <c r="M24" s="414"/>
      <c r="N24" s="414"/>
    </row>
    <row r="25" spans="2:20">
      <c r="F25" s="412">
        <f t="shared" ref="F25:N25" si="1">SUM(F4:F23)</f>
        <v>112827.14</v>
      </c>
      <c r="G25" s="412">
        <f t="shared" si="1"/>
        <v>3447849</v>
      </c>
      <c r="H25" s="412">
        <f t="shared" si="1"/>
        <v>7677054</v>
      </c>
      <c r="I25" s="412">
        <f t="shared" si="1"/>
        <v>868551.26</v>
      </c>
      <c r="J25" s="412">
        <f t="shared" si="1"/>
        <v>803787.82</v>
      </c>
      <c r="K25" s="413">
        <f>SUM(K4:K24)</f>
        <v>12941764.219999999</v>
      </c>
      <c r="L25" s="414">
        <f t="shared" si="1"/>
        <v>0</v>
      </c>
      <c r="M25" s="414">
        <f t="shared" si="1"/>
        <v>3639824</v>
      </c>
      <c r="N25" s="414">
        <f t="shared" si="1"/>
        <v>158870</v>
      </c>
    </row>
    <row r="27" spans="2:20">
      <c r="B27" s="76" t="s">
        <v>647</v>
      </c>
    </row>
    <row r="28" spans="2:20" ht="38.25">
      <c r="B28" s="409" t="str">
        <f t="shared" ref="B28:B49" si="2">B3</f>
        <v>Program Name</v>
      </c>
      <c r="C28" s="409" t="str">
        <f t="shared" ref="C28:N28" si="3">C3</f>
        <v>Sector</v>
      </c>
      <c r="D28" s="409" t="str">
        <f t="shared" si="3"/>
        <v>Type</v>
      </c>
      <c r="E28" s="409" t="str">
        <f t="shared" si="3"/>
        <v>Channel</v>
      </c>
      <c r="F28" s="410" t="str">
        <f t="shared" si="3"/>
        <v>Planning / Design</v>
      </c>
      <c r="G28" s="410" t="str">
        <f t="shared" si="3"/>
        <v>Marketing &amp; Delivery</v>
      </c>
      <c r="H28" s="410" t="str">
        <f t="shared" si="3"/>
        <v>Incentives / Direct Install Costs</v>
      </c>
      <c r="I28" s="410" t="str">
        <f t="shared" si="3"/>
        <v>EM&amp;V</v>
      </c>
      <c r="J28" s="410" t="str">
        <f t="shared" si="3"/>
        <v>Administration</v>
      </c>
      <c r="K28" s="410" t="str">
        <f t="shared" si="3"/>
        <v>Total</v>
      </c>
      <c r="L28" s="410" t="str">
        <f t="shared" si="3"/>
        <v>Demand 
Savings</v>
      </c>
      <c r="M28" s="410" t="str">
        <f t="shared" si="3"/>
        <v>Energy 
Savings</v>
      </c>
      <c r="N28" s="410" t="str">
        <f t="shared" si="3"/>
        <v>Participants</v>
      </c>
      <c r="O28" s="410" t="s">
        <v>648</v>
      </c>
      <c r="P28" s="410" t="s">
        <v>649</v>
      </c>
      <c r="Q28" s="410" t="s">
        <v>650</v>
      </c>
      <c r="R28" s="410" t="s">
        <v>651</v>
      </c>
      <c r="S28" s="410" t="s">
        <v>652</v>
      </c>
      <c r="T28" s="410" t="s">
        <v>283</v>
      </c>
    </row>
    <row r="29" spans="2:20">
      <c r="B29" s="411" t="str">
        <f t="shared" si="2"/>
        <v>Residential Solutions Program</v>
      </c>
      <c r="C29" s="411" t="str">
        <f t="shared" ref="C29:E48" si="4">C4</f>
        <v>Res/Small Business</v>
      </c>
      <c r="D29" s="411" t="str">
        <f t="shared" si="4"/>
        <v>Prescriptive/Standard Offer</v>
      </c>
      <c r="E29" s="411" t="str">
        <f t="shared" si="4"/>
        <v>Implementing Contractor</v>
      </c>
      <c r="F29" s="412">
        <f>'Actual Expenses'!D5</f>
        <v>1136040.2</v>
      </c>
      <c r="G29" s="412">
        <f>'Actual Expenses'!E5</f>
        <v>196990.2</v>
      </c>
      <c r="H29" s="412">
        <f>'Actual Expenses'!F5</f>
        <v>2608918.3199999998</v>
      </c>
      <c r="I29" s="412">
        <f>'Actual Expenses'!G5</f>
        <v>438478.21</v>
      </c>
      <c r="J29" s="412">
        <f>'Actual Expenses'!H5</f>
        <v>187993.19</v>
      </c>
      <c r="K29" s="413">
        <f>SUM(F29:J29)</f>
        <v>4568420.12</v>
      </c>
      <c r="L29" s="414" t="str">
        <f>IF(Demand_1=NG_Demand,"n/a",'Evaluated Savings'!D6)</f>
        <v>n/a</v>
      </c>
      <c r="M29" s="414">
        <f>'Evaluated Savings'!E6</f>
        <v>1101642</v>
      </c>
      <c r="N29" s="414">
        <f>'Evaluated Savings'!G6</f>
        <v>93318</v>
      </c>
      <c r="O29" s="414">
        <f>'Cost-Benefits'!F7</f>
        <v>12842996</v>
      </c>
      <c r="P29" s="412">
        <f>'Cost-Benefits'!G7</f>
        <v>3621.54</v>
      </c>
      <c r="Q29" s="412">
        <f>'Cost-Benefits'!H7</f>
        <v>6249.28</v>
      </c>
      <c r="R29" s="412">
        <f>'Cost-Benefits'!I7</f>
        <v>2627.74</v>
      </c>
      <c r="S29" s="416">
        <f>'Cost-Benefits'!J7</f>
        <v>1.7255863527670547</v>
      </c>
      <c r="T29" s="417">
        <f>'Cost-Benefits'!L7</f>
        <v>0.32546123795978249</v>
      </c>
    </row>
    <row r="30" spans="2:20">
      <c r="B30" s="411" t="str">
        <f t="shared" si="2"/>
        <v>Access to Afford Energy &amp; Conservation</v>
      </c>
      <c r="C30" s="411" t="str">
        <f t="shared" si="4"/>
        <v>Residential</v>
      </c>
      <c r="D30" s="411" t="str">
        <f t="shared" si="4"/>
        <v>Prescriptive/Standard Offer</v>
      </c>
      <c r="E30" s="411" t="str">
        <f t="shared" si="4"/>
        <v>Implementing Contractor</v>
      </c>
      <c r="F30" s="412">
        <f>'Actual Expenses'!D9</f>
        <v>492888.91</v>
      </c>
      <c r="G30" s="412">
        <f>'Actual Expenses'!E9</f>
        <v>12781.23</v>
      </c>
      <c r="H30" s="412">
        <f>'Actual Expenses'!F9</f>
        <v>785198.56</v>
      </c>
      <c r="I30" s="412">
        <f>'Actual Expenses'!G9</f>
        <v>111180.63</v>
      </c>
      <c r="J30" s="412">
        <f>'Actual Expenses'!H9</f>
        <v>49836.09</v>
      </c>
      <c r="K30" s="413">
        <f t="shared" ref="K30:K48" si="5">SUM(F30:J30)</f>
        <v>1451885.4200000002</v>
      </c>
      <c r="L30" s="414" t="str">
        <f>IF(Demand_1=NG_Demand,"n/a",'Evaluated Savings'!D7)</f>
        <v>n/a</v>
      </c>
      <c r="M30" s="414">
        <f>'Evaluated Savings'!E7</f>
        <v>541438.81000000006</v>
      </c>
      <c r="N30" s="414">
        <f>'Evaluated Savings'!G7</f>
        <v>64865</v>
      </c>
      <c r="O30" s="414">
        <f>'Cost-Benefits'!F8</f>
        <v>3120176</v>
      </c>
      <c r="P30" s="412">
        <f>'Cost-Benefits'!G8</f>
        <v>1244.45</v>
      </c>
      <c r="Q30" s="412">
        <f>'Cost-Benefits'!H8</f>
        <v>5844.89</v>
      </c>
      <c r="R30" s="412">
        <f>'Cost-Benefits'!I8</f>
        <v>4600.4400000000005</v>
      </c>
      <c r="S30" s="416">
        <f>'Cost-Benefits'!J8</f>
        <v>4.6967656394391097</v>
      </c>
      <c r="T30" s="417">
        <f>'Cost-Benefits'!L8</f>
        <v>0.43097678578706966</v>
      </c>
    </row>
    <row r="31" spans="2:20">
      <c r="B31" s="411" t="str">
        <f t="shared" si="2"/>
        <v>Commercial Solutions</v>
      </c>
      <c r="C31" s="411" t="str">
        <f t="shared" si="4"/>
        <v>Commercial &amp; Industrial</v>
      </c>
      <c r="D31" s="411" t="str">
        <f t="shared" si="4"/>
        <v>Prescriptive/Standard Offer</v>
      </c>
      <c r="E31" s="411" t="str">
        <f t="shared" si="4"/>
        <v>Implementing Contractor</v>
      </c>
      <c r="F31" s="412">
        <f>'Actual Expenses'!D13</f>
        <v>1157790.56</v>
      </c>
      <c r="G31" s="412">
        <f>'Actual Expenses'!E13</f>
        <v>119906.38</v>
      </c>
      <c r="H31" s="412">
        <f>'Actual Expenses'!F13</f>
        <v>1747632.4</v>
      </c>
      <c r="I31" s="412">
        <f>'Actual Expenses'!G13</f>
        <v>1112507.43</v>
      </c>
      <c r="J31" s="412">
        <f>'Actual Expenses'!H13</f>
        <v>197393.75</v>
      </c>
      <c r="K31" s="413">
        <f t="shared" si="5"/>
        <v>4335230.5199999996</v>
      </c>
      <c r="L31" s="414" t="str">
        <f>IF(Demand_1=NG_Demand,"n/a",'Evaluated Savings'!D8)</f>
        <v>n/a</v>
      </c>
      <c r="M31" s="414">
        <f>'Evaluated Savings'!E8</f>
        <v>1996742.95</v>
      </c>
      <c r="N31" s="414">
        <f>'Evaluated Savings'!G8</f>
        <v>687</v>
      </c>
      <c r="O31" s="414">
        <f>'Cost-Benefits'!F9</f>
        <v>26098682</v>
      </c>
      <c r="P31" s="412">
        <f>'Cost-Benefits'!G9</f>
        <v>5791.6</v>
      </c>
      <c r="Q31" s="412">
        <f>'Cost-Benefits'!H9</f>
        <v>12143.5</v>
      </c>
      <c r="R31" s="412">
        <f>'Cost-Benefits'!I9</f>
        <v>6351.9</v>
      </c>
      <c r="S31" s="416">
        <f>'Cost-Benefits'!J9</f>
        <v>2.0967435596380963</v>
      </c>
      <c r="T31" s="417">
        <f>'Cost-Benefits'!L9</f>
        <v>0.26014145177270903</v>
      </c>
    </row>
    <row r="32" spans="2:20">
      <c r="B32" s="411" t="str">
        <f t="shared" si="2"/>
        <v>Empty</v>
      </c>
      <c r="C32" s="411" t="str">
        <f t="shared" si="4"/>
        <v/>
      </c>
      <c r="D32" s="411" t="str">
        <f t="shared" si="4"/>
        <v/>
      </c>
      <c r="E32" s="411" t="str">
        <f t="shared" si="4"/>
        <v/>
      </c>
      <c r="F32" s="412">
        <f>'Actual Expenses'!D17</f>
        <v>0</v>
      </c>
      <c r="G32" s="412">
        <f>'Actual Expenses'!E17</f>
        <v>0</v>
      </c>
      <c r="H32" s="412">
        <f>'Actual Expenses'!F17</f>
        <v>0</v>
      </c>
      <c r="I32" s="412">
        <f>'Actual Expenses'!G17</f>
        <v>0</v>
      </c>
      <c r="J32" s="412">
        <f>'Actual Expenses'!H17</f>
        <v>0</v>
      </c>
      <c r="K32" s="413">
        <f t="shared" si="5"/>
        <v>0</v>
      </c>
      <c r="L32" s="414" t="str">
        <f>IF(Demand_1=NG_Demand,"n/a",'Evaluated Savings'!D9)</f>
        <v>n/a</v>
      </c>
      <c r="M32" s="414">
        <f>'Evaluated Savings'!E9</f>
        <v>0</v>
      </c>
      <c r="N32" s="414">
        <f>'Evaluated Savings'!G9</f>
        <v>0</v>
      </c>
      <c r="O32" s="414">
        <f>'Cost-Benefits'!F10</f>
        <v>0</v>
      </c>
      <c r="P32" s="412">
        <f>'Cost-Benefits'!G10</f>
        <v>0</v>
      </c>
      <c r="Q32" s="412">
        <f>'Cost-Benefits'!H10</f>
        <v>0</v>
      </c>
      <c r="R32" s="412">
        <f>'Cost-Benefits'!I10</f>
        <v>0</v>
      </c>
      <c r="S32" s="416" t="str">
        <f>'Cost-Benefits'!J10</f>
        <v>n/a</v>
      </c>
      <c r="T32" s="417" t="str">
        <f>'Cost-Benefits'!L10</f>
        <v>n/a</v>
      </c>
    </row>
    <row r="33" spans="2:20">
      <c r="B33" s="411" t="str">
        <f t="shared" si="2"/>
        <v>Empty</v>
      </c>
      <c r="C33" s="411" t="str">
        <f t="shared" si="4"/>
        <v/>
      </c>
      <c r="D33" s="411" t="str">
        <f t="shared" si="4"/>
        <v/>
      </c>
      <c r="E33" s="411" t="str">
        <f t="shared" si="4"/>
        <v/>
      </c>
      <c r="F33" s="412">
        <f>'Actual Expenses'!D21</f>
        <v>0</v>
      </c>
      <c r="G33" s="412">
        <f>'Actual Expenses'!E21</f>
        <v>0</v>
      </c>
      <c r="H33" s="412">
        <f>'Actual Expenses'!F21</f>
        <v>0</v>
      </c>
      <c r="I33" s="412">
        <f>'Actual Expenses'!G21</f>
        <v>0</v>
      </c>
      <c r="J33" s="412">
        <f>'Actual Expenses'!H21</f>
        <v>0</v>
      </c>
      <c r="K33" s="413">
        <f t="shared" si="5"/>
        <v>0</v>
      </c>
      <c r="L33" s="414" t="str">
        <f>IF(Demand_1=NG_Demand,"n/a",'Evaluated Savings'!D10)</f>
        <v>n/a</v>
      </c>
      <c r="M33" s="414">
        <f>'Evaluated Savings'!E10</f>
        <v>0</v>
      </c>
      <c r="N33" s="414">
        <f>'Evaluated Savings'!G10</f>
        <v>0</v>
      </c>
      <c r="O33" s="414">
        <f>'Cost-Benefits'!F11</f>
        <v>0</v>
      </c>
      <c r="P33" s="412">
        <f>'Cost-Benefits'!G11</f>
        <v>0</v>
      </c>
      <c r="Q33" s="412">
        <f>'Cost-Benefits'!H11</f>
        <v>0</v>
      </c>
      <c r="R33" s="412">
        <f>'Cost-Benefits'!I11</f>
        <v>0</v>
      </c>
      <c r="S33" s="416" t="str">
        <f>'Cost-Benefits'!J11</f>
        <v>n/a</v>
      </c>
      <c r="T33" s="417" t="str">
        <f>'Cost-Benefits'!L11</f>
        <v>n/a</v>
      </c>
    </row>
    <row r="34" spans="2:20">
      <c r="B34" s="411" t="str">
        <f t="shared" si="2"/>
        <v>Empty</v>
      </c>
      <c r="C34" s="411" t="str">
        <f t="shared" si="4"/>
        <v/>
      </c>
      <c r="D34" s="411" t="str">
        <f t="shared" si="4"/>
        <v/>
      </c>
      <c r="E34" s="411" t="str">
        <f t="shared" si="4"/>
        <v/>
      </c>
      <c r="F34" s="412">
        <f>'Actual Expenses'!D25</f>
        <v>0</v>
      </c>
      <c r="G34" s="412">
        <f>'Actual Expenses'!E25</f>
        <v>0</v>
      </c>
      <c r="H34" s="412">
        <f>'Actual Expenses'!F25</f>
        <v>0</v>
      </c>
      <c r="I34" s="412">
        <f>'Actual Expenses'!G25</f>
        <v>0</v>
      </c>
      <c r="J34" s="412">
        <f>'Actual Expenses'!H25</f>
        <v>0</v>
      </c>
      <c r="K34" s="413">
        <f t="shared" si="5"/>
        <v>0</v>
      </c>
      <c r="L34" s="414" t="str">
        <f>IF(Demand_1=NG_Demand,"n/a",'Evaluated Savings'!D11)</f>
        <v>n/a</v>
      </c>
      <c r="M34" s="414">
        <f>'Evaluated Savings'!E11</f>
        <v>0</v>
      </c>
      <c r="N34" s="414">
        <f>'Evaluated Savings'!G11</f>
        <v>0</v>
      </c>
      <c r="O34" s="414">
        <f>'Cost-Benefits'!F12</f>
        <v>0</v>
      </c>
      <c r="P34" s="412">
        <f>'Cost-Benefits'!G12</f>
        <v>0</v>
      </c>
      <c r="Q34" s="412">
        <f>'Cost-Benefits'!H12</f>
        <v>0</v>
      </c>
      <c r="R34" s="412">
        <f>'Cost-Benefits'!I12</f>
        <v>0</v>
      </c>
      <c r="S34" s="416" t="str">
        <f>'Cost-Benefits'!J12</f>
        <v>n/a</v>
      </c>
      <c r="T34" s="417" t="str">
        <f>'Cost-Benefits'!L12</f>
        <v>n/a</v>
      </c>
    </row>
    <row r="35" spans="2:20">
      <c r="B35" s="411" t="str">
        <f t="shared" si="2"/>
        <v>Empty</v>
      </c>
      <c r="C35" s="411" t="str">
        <f t="shared" si="4"/>
        <v/>
      </c>
      <c r="D35" s="411" t="str">
        <f t="shared" si="4"/>
        <v/>
      </c>
      <c r="E35" s="411" t="str">
        <f t="shared" si="4"/>
        <v/>
      </c>
      <c r="F35" s="412">
        <f>'Actual Expenses'!D29</f>
        <v>0</v>
      </c>
      <c r="G35" s="412">
        <f>'Actual Expenses'!E29</f>
        <v>0</v>
      </c>
      <c r="H35" s="412">
        <f>'Actual Expenses'!F29</f>
        <v>0</v>
      </c>
      <c r="I35" s="412">
        <f>'Actual Expenses'!G29</f>
        <v>0</v>
      </c>
      <c r="J35" s="412">
        <f>'Actual Expenses'!H29</f>
        <v>0</v>
      </c>
      <c r="K35" s="413">
        <f t="shared" si="5"/>
        <v>0</v>
      </c>
      <c r="L35" s="414" t="str">
        <f>IF(Demand_1=NG_Demand,"n/a",'Evaluated Savings'!D12)</f>
        <v>n/a</v>
      </c>
      <c r="M35" s="414">
        <f>'Evaluated Savings'!E12</f>
        <v>0</v>
      </c>
      <c r="N35" s="414">
        <f>'Evaluated Savings'!G12</f>
        <v>0</v>
      </c>
      <c r="O35" s="414">
        <f>'Cost-Benefits'!F13</f>
        <v>0</v>
      </c>
      <c r="P35" s="412">
        <f>'Cost-Benefits'!G13</f>
        <v>0</v>
      </c>
      <c r="Q35" s="412">
        <f>'Cost-Benefits'!H13</f>
        <v>0</v>
      </c>
      <c r="R35" s="412">
        <f>'Cost-Benefits'!I13</f>
        <v>0</v>
      </c>
      <c r="S35" s="416" t="str">
        <f>'Cost-Benefits'!J13</f>
        <v>n/a</v>
      </c>
      <c r="T35" s="417" t="str">
        <f>'Cost-Benefits'!L13</f>
        <v>n/a</v>
      </c>
    </row>
    <row r="36" spans="2:20">
      <c r="B36" s="411" t="str">
        <f t="shared" si="2"/>
        <v>Empty</v>
      </c>
      <c r="C36" s="411" t="str">
        <f t="shared" si="4"/>
        <v/>
      </c>
      <c r="D36" s="411" t="str">
        <f t="shared" si="4"/>
        <v/>
      </c>
      <c r="E36" s="411" t="str">
        <f t="shared" si="4"/>
        <v/>
      </c>
      <c r="F36" s="412">
        <f>'Actual Expenses'!D33</f>
        <v>0</v>
      </c>
      <c r="G36" s="412">
        <f>'Actual Expenses'!E33</f>
        <v>0</v>
      </c>
      <c r="H36" s="412">
        <f>'Actual Expenses'!F33</f>
        <v>0</v>
      </c>
      <c r="I36" s="412">
        <f>'Actual Expenses'!G33</f>
        <v>0</v>
      </c>
      <c r="J36" s="412">
        <f>'Actual Expenses'!H33</f>
        <v>0</v>
      </c>
      <c r="K36" s="413">
        <f t="shared" si="5"/>
        <v>0</v>
      </c>
      <c r="L36" s="414" t="str">
        <f>IF(Demand_1=NG_Demand,"n/a",'Evaluated Savings'!D13)</f>
        <v>n/a</v>
      </c>
      <c r="M36" s="414">
        <f>'Evaluated Savings'!E13</f>
        <v>0</v>
      </c>
      <c r="N36" s="414">
        <f>'Evaluated Savings'!G13</f>
        <v>0</v>
      </c>
      <c r="O36" s="414">
        <f>'Cost-Benefits'!F14</f>
        <v>0</v>
      </c>
      <c r="P36" s="412">
        <f>'Cost-Benefits'!G14</f>
        <v>0</v>
      </c>
      <c r="Q36" s="412">
        <f>'Cost-Benefits'!H14</f>
        <v>0</v>
      </c>
      <c r="R36" s="412">
        <f>'Cost-Benefits'!I14</f>
        <v>0</v>
      </c>
      <c r="S36" s="416" t="str">
        <f>'Cost-Benefits'!J14</f>
        <v>n/a</v>
      </c>
      <c r="T36" s="417" t="str">
        <f>'Cost-Benefits'!L14</f>
        <v>n/a</v>
      </c>
    </row>
    <row r="37" spans="2:20">
      <c r="B37" s="411" t="str">
        <f t="shared" si="2"/>
        <v>Empty</v>
      </c>
      <c r="C37" s="411" t="str">
        <f t="shared" si="4"/>
        <v/>
      </c>
      <c r="D37" s="411" t="str">
        <f t="shared" si="4"/>
        <v/>
      </c>
      <c r="E37" s="411" t="str">
        <f t="shared" si="4"/>
        <v/>
      </c>
      <c r="F37" s="412">
        <f>'Actual Expenses'!D37</f>
        <v>0</v>
      </c>
      <c r="G37" s="412">
        <f>'Actual Expenses'!E37</f>
        <v>0</v>
      </c>
      <c r="H37" s="412">
        <f>'Actual Expenses'!F37</f>
        <v>0</v>
      </c>
      <c r="I37" s="412">
        <f>'Actual Expenses'!G37</f>
        <v>0</v>
      </c>
      <c r="J37" s="412">
        <f>'Actual Expenses'!H37</f>
        <v>0</v>
      </c>
      <c r="K37" s="413">
        <f t="shared" si="5"/>
        <v>0</v>
      </c>
      <c r="L37" s="414" t="str">
        <f>IF(Demand_1=NG_Demand,"n/a",'Evaluated Savings'!D14)</f>
        <v>n/a</v>
      </c>
      <c r="M37" s="414">
        <f>'Evaluated Savings'!E14</f>
        <v>0</v>
      </c>
      <c r="N37" s="414">
        <f>'Evaluated Savings'!G14</f>
        <v>0</v>
      </c>
      <c r="O37" s="414">
        <f>'Cost-Benefits'!F15</f>
        <v>0</v>
      </c>
      <c r="P37" s="412">
        <f>'Cost-Benefits'!G15</f>
        <v>0</v>
      </c>
      <c r="Q37" s="412">
        <f>'Cost-Benefits'!H15</f>
        <v>0</v>
      </c>
      <c r="R37" s="412">
        <f>'Cost-Benefits'!I15</f>
        <v>0</v>
      </c>
      <c r="S37" s="416" t="str">
        <f>'Cost-Benefits'!J15</f>
        <v>n/a</v>
      </c>
      <c r="T37" s="417" t="str">
        <f>'Cost-Benefits'!L15</f>
        <v>n/a</v>
      </c>
    </row>
    <row r="38" spans="2:20">
      <c r="B38" s="411" t="str">
        <f t="shared" si="2"/>
        <v>Empty</v>
      </c>
      <c r="C38" s="411" t="str">
        <f t="shared" si="4"/>
        <v/>
      </c>
      <c r="D38" s="411" t="str">
        <f t="shared" si="4"/>
        <v/>
      </c>
      <c r="E38" s="411" t="str">
        <f t="shared" si="4"/>
        <v/>
      </c>
      <c r="F38" s="412">
        <f>'Actual Expenses'!D41</f>
        <v>0</v>
      </c>
      <c r="G38" s="412">
        <f>'Actual Expenses'!E41</f>
        <v>0</v>
      </c>
      <c r="H38" s="412">
        <f>'Actual Expenses'!F41</f>
        <v>0</v>
      </c>
      <c r="I38" s="412">
        <f>'Actual Expenses'!G41</f>
        <v>0</v>
      </c>
      <c r="J38" s="412">
        <f>'Actual Expenses'!H41</f>
        <v>0</v>
      </c>
      <c r="K38" s="413">
        <f t="shared" si="5"/>
        <v>0</v>
      </c>
      <c r="L38" s="414" t="str">
        <f>IF(Demand_1=NG_Demand,"n/a",'Evaluated Savings'!D15)</f>
        <v>n/a</v>
      </c>
      <c r="M38" s="414">
        <f>'Evaluated Savings'!E15</f>
        <v>0</v>
      </c>
      <c r="N38" s="414">
        <f>'Evaluated Savings'!G15</f>
        <v>0</v>
      </c>
      <c r="O38" s="414">
        <f>'Cost-Benefits'!F16</f>
        <v>0</v>
      </c>
      <c r="P38" s="412">
        <f>'Cost-Benefits'!G16</f>
        <v>0</v>
      </c>
      <c r="Q38" s="412">
        <f>'Cost-Benefits'!H16</f>
        <v>0</v>
      </c>
      <c r="R38" s="412">
        <f>'Cost-Benefits'!I16</f>
        <v>0</v>
      </c>
      <c r="S38" s="416" t="str">
        <f>'Cost-Benefits'!J16</f>
        <v>n/a</v>
      </c>
      <c r="T38" s="417" t="str">
        <f>'Cost-Benefits'!L16</f>
        <v>n/a</v>
      </c>
    </row>
    <row r="39" spans="2:20">
      <c r="B39" s="411" t="str">
        <f t="shared" si="2"/>
        <v>Empty</v>
      </c>
      <c r="C39" s="411" t="str">
        <f t="shared" si="4"/>
        <v/>
      </c>
      <c r="D39" s="411" t="str">
        <f t="shared" si="4"/>
        <v/>
      </c>
      <c r="E39" s="411" t="str">
        <f t="shared" si="4"/>
        <v/>
      </c>
      <c r="F39" s="412">
        <f>'Actual Expenses'!D45</f>
        <v>0</v>
      </c>
      <c r="G39" s="412">
        <f>'Actual Expenses'!E45</f>
        <v>0</v>
      </c>
      <c r="H39" s="412">
        <f>'Actual Expenses'!F45</f>
        <v>0</v>
      </c>
      <c r="I39" s="412">
        <f>'Actual Expenses'!G45</f>
        <v>0</v>
      </c>
      <c r="J39" s="412">
        <f>'Actual Expenses'!H45</f>
        <v>0</v>
      </c>
      <c r="K39" s="413">
        <f t="shared" si="5"/>
        <v>0</v>
      </c>
      <c r="L39" s="414" t="str">
        <f>IF(Demand_1=NG_Demand,"n/a",'Evaluated Savings'!D16)</f>
        <v>n/a</v>
      </c>
      <c r="M39" s="414">
        <f>'Evaluated Savings'!E16</f>
        <v>0</v>
      </c>
      <c r="N39" s="414">
        <f>'Evaluated Savings'!G16</f>
        <v>0</v>
      </c>
      <c r="O39" s="414">
        <f>'Cost-Benefits'!F17</f>
        <v>0</v>
      </c>
      <c r="P39" s="412">
        <f>'Cost-Benefits'!G17</f>
        <v>0</v>
      </c>
      <c r="Q39" s="412">
        <f>'Cost-Benefits'!H17</f>
        <v>0</v>
      </c>
      <c r="R39" s="412">
        <f>'Cost-Benefits'!I17</f>
        <v>0</v>
      </c>
      <c r="S39" s="416" t="str">
        <f>'Cost-Benefits'!J17</f>
        <v>n/a</v>
      </c>
      <c r="T39" s="417" t="str">
        <f>'Cost-Benefits'!L17</f>
        <v>n/a</v>
      </c>
    </row>
    <row r="40" spans="2:20">
      <c r="B40" s="411" t="str">
        <f t="shared" si="2"/>
        <v>Empty</v>
      </c>
      <c r="C40" s="411" t="str">
        <f t="shared" si="4"/>
        <v/>
      </c>
      <c r="D40" s="411" t="str">
        <f t="shared" si="4"/>
        <v/>
      </c>
      <c r="E40" s="411" t="str">
        <f t="shared" si="4"/>
        <v/>
      </c>
      <c r="F40" s="412">
        <f>'Actual Expenses'!D49</f>
        <v>0</v>
      </c>
      <c r="G40" s="412">
        <f>'Actual Expenses'!E49</f>
        <v>0</v>
      </c>
      <c r="H40" s="412">
        <f>'Actual Expenses'!F49</f>
        <v>0</v>
      </c>
      <c r="I40" s="412">
        <f>'Actual Expenses'!G49</f>
        <v>0</v>
      </c>
      <c r="J40" s="412">
        <f>'Actual Expenses'!H49</f>
        <v>0</v>
      </c>
      <c r="K40" s="413">
        <f t="shared" si="5"/>
        <v>0</v>
      </c>
      <c r="L40" s="414" t="str">
        <f>IF(Demand_1=NG_Demand,"n/a",'Evaluated Savings'!D17)</f>
        <v>n/a</v>
      </c>
      <c r="M40" s="414">
        <f>'Evaluated Savings'!E17</f>
        <v>0</v>
      </c>
      <c r="N40" s="414">
        <f>'Evaluated Savings'!G17</f>
        <v>0</v>
      </c>
      <c r="O40" s="414">
        <f>'Cost-Benefits'!F18</f>
        <v>0</v>
      </c>
      <c r="P40" s="412">
        <f>'Cost-Benefits'!G18</f>
        <v>0</v>
      </c>
      <c r="Q40" s="412">
        <f>'Cost-Benefits'!H18</f>
        <v>0</v>
      </c>
      <c r="R40" s="412">
        <f>'Cost-Benefits'!I18</f>
        <v>0</v>
      </c>
      <c r="S40" s="416" t="str">
        <f>'Cost-Benefits'!J18</f>
        <v>n/a</v>
      </c>
      <c r="T40" s="417" t="str">
        <f>'Cost-Benefits'!L18</f>
        <v>n/a</v>
      </c>
    </row>
    <row r="41" spans="2:20">
      <c r="B41" s="411" t="str">
        <f t="shared" si="2"/>
        <v>Empty</v>
      </c>
      <c r="C41" s="411" t="str">
        <f t="shared" si="4"/>
        <v/>
      </c>
      <c r="D41" s="411" t="str">
        <f t="shared" si="4"/>
        <v/>
      </c>
      <c r="E41" s="411" t="str">
        <f t="shared" si="4"/>
        <v/>
      </c>
      <c r="F41" s="412">
        <f>'Actual Expenses'!D53</f>
        <v>0</v>
      </c>
      <c r="G41" s="412">
        <f>'Actual Expenses'!E53</f>
        <v>0</v>
      </c>
      <c r="H41" s="412">
        <f>'Actual Expenses'!F53</f>
        <v>0</v>
      </c>
      <c r="I41" s="412">
        <f>'Actual Expenses'!G53</f>
        <v>0</v>
      </c>
      <c r="J41" s="412">
        <f>'Actual Expenses'!H53</f>
        <v>0</v>
      </c>
      <c r="K41" s="413">
        <f t="shared" si="5"/>
        <v>0</v>
      </c>
      <c r="L41" s="414" t="str">
        <f>IF(Demand_1=NG_Demand,"n/a",'Evaluated Savings'!D18)</f>
        <v>n/a</v>
      </c>
      <c r="M41" s="414">
        <f>'Evaluated Savings'!E18</f>
        <v>0</v>
      </c>
      <c r="N41" s="414">
        <f>'Evaluated Savings'!G18</f>
        <v>0</v>
      </c>
      <c r="O41" s="414">
        <f>'Cost-Benefits'!F19</f>
        <v>0</v>
      </c>
      <c r="P41" s="412">
        <f>'Cost-Benefits'!G19</f>
        <v>0</v>
      </c>
      <c r="Q41" s="412">
        <f>'Cost-Benefits'!H19</f>
        <v>0</v>
      </c>
      <c r="R41" s="412">
        <f>'Cost-Benefits'!I19</f>
        <v>0</v>
      </c>
      <c r="S41" s="416" t="str">
        <f>'Cost-Benefits'!J19</f>
        <v>n/a</v>
      </c>
      <c r="T41" s="417" t="str">
        <f>'Cost-Benefits'!L19</f>
        <v>n/a</v>
      </c>
    </row>
    <row r="42" spans="2:20">
      <c r="B42" s="411" t="str">
        <f t="shared" si="2"/>
        <v>Empty</v>
      </c>
      <c r="C42" s="411" t="str">
        <f t="shared" si="4"/>
        <v/>
      </c>
      <c r="D42" s="411" t="str">
        <f t="shared" si="4"/>
        <v/>
      </c>
      <c r="E42" s="411" t="str">
        <f t="shared" si="4"/>
        <v/>
      </c>
      <c r="F42" s="412">
        <f>'Actual Expenses'!D57</f>
        <v>0</v>
      </c>
      <c r="G42" s="412">
        <f>'Actual Expenses'!E57</f>
        <v>0</v>
      </c>
      <c r="H42" s="412">
        <f>'Actual Expenses'!F57</f>
        <v>0</v>
      </c>
      <c r="I42" s="412">
        <f>'Actual Expenses'!G57</f>
        <v>0</v>
      </c>
      <c r="J42" s="412">
        <f>'Actual Expenses'!H57</f>
        <v>0</v>
      </c>
      <c r="K42" s="413">
        <f t="shared" si="5"/>
        <v>0</v>
      </c>
      <c r="L42" s="414" t="str">
        <f>IF(Demand_1=NG_Demand,"n/a",'Evaluated Savings'!D19)</f>
        <v>n/a</v>
      </c>
      <c r="M42" s="414">
        <f>'Evaluated Savings'!E19</f>
        <v>0</v>
      </c>
      <c r="N42" s="414">
        <f>'Evaluated Savings'!G19</f>
        <v>0</v>
      </c>
      <c r="O42" s="414">
        <f>'Cost-Benefits'!F20</f>
        <v>0</v>
      </c>
      <c r="P42" s="412">
        <f>'Cost-Benefits'!G20</f>
        <v>0</v>
      </c>
      <c r="Q42" s="412">
        <f>'Cost-Benefits'!H20</f>
        <v>0</v>
      </c>
      <c r="R42" s="412">
        <f>'Cost-Benefits'!I20</f>
        <v>0</v>
      </c>
      <c r="S42" s="416" t="str">
        <f>'Cost-Benefits'!J20</f>
        <v>n/a</v>
      </c>
      <c r="T42" s="417" t="str">
        <f>'Cost-Benefits'!L20</f>
        <v>n/a</v>
      </c>
    </row>
    <row r="43" spans="2:20">
      <c r="B43" s="411" t="str">
        <f t="shared" si="2"/>
        <v>Empty</v>
      </c>
      <c r="C43" s="411" t="str">
        <f t="shared" si="4"/>
        <v/>
      </c>
      <c r="D43" s="411" t="str">
        <f t="shared" si="4"/>
        <v/>
      </c>
      <c r="E43" s="411" t="str">
        <f t="shared" si="4"/>
        <v/>
      </c>
      <c r="F43" s="412">
        <f>'Actual Expenses'!D61</f>
        <v>0</v>
      </c>
      <c r="G43" s="412">
        <f>'Actual Expenses'!E61</f>
        <v>0</v>
      </c>
      <c r="H43" s="412">
        <f>'Actual Expenses'!F61</f>
        <v>0</v>
      </c>
      <c r="I43" s="412">
        <f>'Actual Expenses'!G61</f>
        <v>0</v>
      </c>
      <c r="J43" s="412">
        <f>'Actual Expenses'!H61</f>
        <v>0</v>
      </c>
      <c r="K43" s="413">
        <f t="shared" si="5"/>
        <v>0</v>
      </c>
      <c r="L43" s="414" t="str">
        <f>IF(Demand_1=NG_Demand,"n/a",'Evaluated Savings'!D20)</f>
        <v>n/a</v>
      </c>
      <c r="M43" s="414">
        <f>'Evaluated Savings'!E20</f>
        <v>0</v>
      </c>
      <c r="N43" s="414">
        <f>'Evaluated Savings'!G20</f>
        <v>0</v>
      </c>
      <c r="O43" s="414">
        <f>'Cost-Benefits'!F21</f>
        <v>0</v>
      </c>
      <c r="P43" s="412">
        <f>'Cost-Benefits'!G21</f>
        <v>0</v>
      </c>
      <c r="Q43" s="412">
        <f>'Cost-Benefits'!H21</f>
        <v>0</v>
      </c>
      <c r="R43" s="412">
        <f>'Cost-Benefits'!I21</f>
        <v>0</v>
      </c>
      <c r="S43" s="416" t="str">
        <f>'Cost-Benefits'!J21</f>
        <v>n/a</v>
      </c>
      <c r="T43" s="417" t="str">
        <f>'Cost-Benefits'!L21</f>
        <v>n/a</v>
      </c>
    </row>
    <row r="44" spans="2:20">
      <c r="B44" s="411" t="str">
        <f t="shared" si="2"/>
        <v>Empty</v>
      </c>
      <c r="C44" s="411" t="str">
        <f t="shared" si="4"/>
        <v/>
      </c>
      <c r="D44" s="411" t="str">
        <f t="shared" si="4"/>
        <v/>
      </c>
      <c r="E44" s="411" t="str">
        <f t="shared" si="4"/>
        <v/>
      </c>
      <c r="F44" s="412">
        <f>'Actual Expenses'!D65</f>
        <v>0</v>
      </c>
      <c r="G44" s="412">
        <f>'Actual Expenses'!E65</f>
        <v>0</v>
      </c>
      <c r="H44" s="412">
        <f>'Actual Expenses'!F65</f>
        <v>0</v>
      </c>
      <c r="I44" s="412">
        <f>'Actual Expenses'!G65</f>
        <v>0</v>
      </c>
      <c r="J44" s="412">
        <f>'Actual Expenses'!H65</f>
        <v>0</v>
      </c>
      <c r="K44" s="413">
        <f t="shared" si="5"/>
        <v>0</v>
      </c>
      <c r="L44" s="414" t="str">
        <f>IF(Demand_1=NG_Demand,"n/a",'Evaluated Savings'!D21)</f>
        <v>n/a</v>
      </c>
      <c r="M44" s="414">
        <f>'Evaluated Savings'!E21</f>
        <v>0</v>
      </c>
      <c r="N44" s="414">
        <f>'Evaluated Savings'!G21</f>
        <v>0</v>
      </c>
      <c r="O44" s="414">
        <f>'Cost-Benefits'!F22</f>
        <v>0</v>
      </c>
      <c r="P44" s="412">
        <f>'Cost-Benefits'!G22</f>
        <v>0</v>
      </c>
      <c r="Q44" s="412">
        <f>'Cost-Benefits'!H22</f>
        <v>0</v>
      </c>
      <c r="R44" s="412">
        <f>'Cost-Benefits'!I22</f>
        <v>0</v>
      </c>
      <c r="S44" s="416" t="str">
        <f>'Cost-Benefits'!J22</f>
        <v>n/a</v>
      </c>
      <c r="T44" s="417" t="str">
        <f>'Cost-Benefits'!L22</f>
        <v>n/a</v>
      </c>
    </row>
    <row r="45" spans="2:20">
      <c r="B45" s="411" t="str">
        <f t="shared" si="2"/>
        <v>Empty</v>
      </c>
      <c r="C45" s="411" t="str">
        <f t="shared" si="4"/>
        <v/>
      </c>
      <c r="D45" s="411" t="str">
        <f t="shared" si="4"/>
        <v/>
      </c>
      <c r="E45" s="411" t="str">
        <f t="shared" si="4"/>
        <v/>
      </c>
      <c r="F45" s="412">
        <f>'Actual Expenses'!D69</f>
        <v>0</v>
      </c>
      <c r="G45" s="412">
        <f>'Actual Expenses'!E69</f>
        <v>0</v>
      </c>
      <c r="H45" s="412">
        <f>'Actual Expenses'!F69</f>
        <v>0</v>
      </c>
      <c r="I45" s="412">
        <f>'Actual Expenses'!G69</f>
        <v>0</v>
      </c>
      <c r="J45" s="412">
        <f>'Actual Expenses'!H69</f>
        <v>0</v>
      </c>
      <c r="K45" s="413">
        <f t="shared" si="5"/>
        <v>0</v>
      </c>
      <c r="L45" s="414" t="str">
        <f>IF(Demand_1=NG_Demand,"n/a",'Evaluated Savings'!D22)</f>
        <v>n/a</v>
      </c>
      <c r="M45" s="414">
        <f>'Evaluated Savings'!E22</f>
        <v>0</v>
      </c>
      <c r="N45" s="414">
        <f>'Evaluated Savings'!G22</f>
        <v>0</v>
      </c>
      <c r="O45" s="414">
        <f>'Cost-Benefits'!F23</f>
        <v>0</v>
      </c>
      <c r="P45" s="412">
        <f>'Cost-Benefits'!G23</f>
        <v>0</v>
      </c>
      <c r="Q45" s="412">
        <f>'Cost-Benefits'!H23</f>
        <v>0</v>
      </c>
      <c r="R45" s="412">
        <f>'Cost-Benefits'!I23</f>
        <v>0</v>
      </c>
      <c r="S45" s="416" t="str">
        <f>'Cost-Benefits'!J23</f>
        <v>n/a</v>
      </c>
      <c r="T45" s="417" t="str">
        <f>'Cost-Benefits'!L23</f>
        <v>n/a</v>
      </c>
    </row>
    <row r="46" spans="2:20" ht="12.75" customHeight="1">
      <c r="B46" s="411" t="str">
        <f t="shared" si="2"/>
        <v>Empty</v>
      </c>
      <c r="C46" s="411" t="str">
        <f t="shared" si="4"/>
        <v/>
      </c>
      <c r="D46" s="411" t="str">
        <f t="shared" si="4"/>
        <v/>
      </c>
      <c r="E46" s="411" t="str">
        <f t="shared" si="4"/>
        <v/>
      </c>
      <c r="F46" s="412">
        <f>'Actual Expenses'!D73</f>
        <v>0</v>
      </c>
      <c r="G46" s="412">
        <f>'Actual Expenses'!E73</f>
        <v>0</v>
      </c>
      <c r="H46" s="412">
        <f>'Actual Expenses'!F73</f>
        <v>0</v>
      </c>
      <c r="I46" s="412">
        <f>'Actual Expenses'!G73</f>
        <v>0</v>
      </c>
      <c r="J46" s="412">
        <f>'Actual Expenses'!H73</f>
        <v>0</v>
      </c>
      <c r="K46" s="413">
        <f t="shared" si="5"/>
        <v>0</v>
      </c>
      <c r="L46" s="414" t="str">
        <f>IF(Demand_1=NG_Demand,"n/a",'Evaluated Savings'!D23)</f>
        <v>n/a</v>
      </c>
      <c r="M46" s="414">
        <f>'Evaluated Savings'!E23</f>
        <v>0</v>
      </c>
      <c r="N46" s="414">
        <f>'Evaluated Savings'!G23</f>
        <v>0</v>
      </c>
      <c r="O46" s="414">
        <f>'Cost-Benefits'!F24</f>
        <v>0</v>
      </c>
      <c r="P46" s="412">
        <f>'Cost-Benefits'!G24</f>
        <v>0</v>
      </c>
      <c r="Q46" s="412">
        <f>'Cost-Benefits'!H24</f>
        <v>0</v>
      </c>
      <c r="R46" s="412">
        <f>'Cost-Benefits'!I24</f>
        <v>0</v>
      </c>
      <c r="S46" s="416" t="str">
        <f>'Cost-Benefits'!J24</f>
        <v>n/a</v>
      </c>
      <c r="T46" s="417" t="str">
        <f>'Cost-Benefits'!L24</f>
        <v>n/a</v>
      </c>
    </row>
    <row r="47" spans="2:20" ht="12.75" customHeight="1">
      <c r="B47" s="411" t="str">
        <f t="shared" si="2"/>
        <v>Empty</v>
      </c>
      <c r="C47" s="411" t="str">
        <f t="shared" si="4"/>
        <v/>
      </c>
      <c r="D47" s="411" t="str">
        <f t="shared" si="4"/>
        <v/>
      </c>
      <c r="E47" s="411" t="str">
        <f t="shared" si="4"/>
        <v/>
      </c>
      <c r="F47" s="412">
        <f>'Actual Expenses'!D77</f>
        <v>0</v>
      </c>
      <c r="G47" s="412">
        <f>'Actual Expenses'!E77</f>
        <v>0</v>
      </c>
      <c r="H47" s="412">
        <f>'Actual Expenses'!F77</f>
        <v>0</v>
      </c>
      <c r="I47" s="412">
        <f>'Actual Expenses'!G77</f>
        <v>0</v>
      </c>
      <c r="J47" s="412">
        <f>'Actual Expenses'!H77</f>
        <v>0</v>
      </c>
      <c r="K47" s="413">
        <f t="shared" si="5"/>
        <v>0</v>
      </c>
      <c r="L47" s="414" t="str">
        <f>IF(Demand_1=NG_Demand,"n/a",'Evaluated Savings'!D24)</f>
        <v>n/a</v>
      </c>
      <c r="M47" s="414">
        <f>'Evaluated Savings'!E24</f>
        <v>0</v>
      </c>
      <c r="N47" s="414">
        <f>'Evaluated Savings'!G24</f>
        <v>0</v>
      </c>
      <c r="O47" s="414">
        <f>'Cost-Benefits'!F25</f>
        <v>0</v>
      </c>
      <c r="P47" s="412">
        <f>'Cost-Benefits'!G25</f>
        <v>0</v>
      </c>
      <c r="Q47" s="412">
        <f>'Cost-Benefits'!H25</f>
        <v>0</v>
      </c>
      <c r="R47" s="412">
        <f>'Cost-Benefits'!I25</f>
        <v>0</v>
      </c>
      <c r="S47" s="416" t="str">
        <f>'Cost-Benefits'!J25</f>
        <v>n/a</v>
      </c>
      <c r="T47" s="417" t="str">
        <f>'Cost-Benefits'!L25</f>
        <v>n/a</v>
      </c>
    </row>
    <row r="48" spans="2:20">
      <c r="B48" s="411" t="str">
        <f t="shared" si="2"/>
        <v>Empty</v>
      </c>
      <c r="C48" s="411" t="str">
        <f t="shared" si="4"/>
        <v/>
      </c>
      <c r="D48" s="411" t="str">
        <f t="shared" si="4"/>
        <v/>
      </c>
      <c r="E48" s="411" t="str">
        <f t="shared" si="4"/>
        <v/>
      </c>
      <c r="F48" s="412">
        <f>'Actual Expenses'!D81</f>
        <v>0</v>
      </c>
      <c r="G48" s="412">
        <f>'Actual Expenses'!E81</f>
        <v>0</v>
      </c>
      <c r="H48" s="412">
        <f>'Actual Expenses'!F81</f>
        <v>0</v>
      </c>
      <c r="I48" s="412">
        <f>'Actual Expenses'!G81</f>
        <v>0</v>
      </c>
      <c r="J48" s="412">
        <f>'Actual Expenses'!H81</f>
        <v>0</v>
      </c>
      <c r="K48" s="413">
        <f t="shared" si="5"/>
        <v>0</v>
      </c>
      <c r="L48" s="414" t="str">
        <f>IF(Demand_1=NG_Demand,"n/a",'Evaluated Savings'!D25)</f>
        <v>n/a</v>
      </c>
      <c r="M48" s="414">
        <f>'Evaluated Savings'!E25</f>
        <v>0</v>
      </c>
      <c r="N48" s="414">
        <f>'Evaluated Savings'!G25</f>
        <v>0</v>
      </c>
      <c r="O48" s="414">
        <f>'Cost-Benefits'!F26</f>
        <v>0</v>
      </c>
      <c r="P48" s="412">
        <f>'Cost-Benefits'!G26</f>
        <v>0</v>
      </c>
      <c r="Q48" s="412">
        <f>'Cost-Benefits'!H26</f>
        <v>0</v>
      </c>
      <c r="R48" s="412">
        <f>'Cost-Benefits'!I26</f>
        <v>0</v>
      </c>
      <c r="S48" s="416" t="str">
        <f>'Cost-Benefits'!J26</f>
        <v>n/a</v>
      </c>
      <c r="T48" s="417" t="str">
        <f>'Cost-Benefits'!L26</f>
        <v>n/a</v>
      </c>
    </row>
    <row r="49" spans="2:20">
      <c r="B49" s="236" t="str">
        <f t="shared" si="2"/>
        <v>Regulatory</v>
      </c>
      <c r="C49" s="415" t="str">
        <f>C24</f>
        <v>-</v>
      </c>
      <c r="D49" s="415" t="str">
        <f t="shared" ref="D49:E49" si="6">D24</f>
        <v>-</v>
      </c>
      <c r="E49" s="415" t="str">
        <f t="shared" si="6"/>
        <v>-</v>
      </c>
      <c r="F49" s="412"/>
      <c r="G49" s="412"/>
      <c r="H49" s="412"/>
      <c r="I49" s="412"/>
      <c r="J49" s="412"/>
      <c r="K49" s="413">
        <f>'Actual Expenses'!I91</f>
        <v>15003.2</v>
      </c>
      <c r="L49" s="414"/>
      <c r="M49" s="414"/>
      <c r="N49" s="414"/>
      <c r="O49" s="414"/>
      <c r="P49" s="412"/>
      <c r="Q49" s="412"/>
      <c r="R49" s="412"/>
      <c r="S49" s="416"/>
      <c r="T49" s="417"/>
    </row>
    <row r="50" spans="2:20">
      <c r="F50" s="412">
        <f>SUM(F29:F48)</f>
        <v>2786719.67</v>
      </c>
      <c r="G50" s="412">
        <f t="shared" ref="G50:T50" si="7">SUM(G29:G48)</f>
        <v>329677.81000000006</v>
      </c>
      <c r="H50" s="412">
        <f t="shared" si="7"/>
        <v>5141749.2799999993</v>
      </c>
      <c r="I50" s="412">
        <f t="shared" si="7"/>
        <v>1662166.27</v>
      </c>
      <c r="J50" s="412">
        <f t="shared" si="7"/>
        <v>435223.03</v>
      </c>
      <c r="K50" s="413">
        <f>SUM(K29:K49)</f>
        <v>10370539.259999998</v>
      </c>
      <c r="L50" s="414">
        <f t="shared" si="7"/>
        <v>0</v>
      </c>
      <c r="M50" s="414">
        <f t="shared" si="7"/>
        <v>3639823.76</v>
      </c>
      <c r="N50" s="414">
        <f t="shared" si="7"/>
        <v>158870</v>
      </c>
      <c r="O50" s="414">
        <f t="shared" si="7"/>
        <v>42061854</v>
      </c>
      <c r="P50" s="412">
        <f t="shared" si="7"/>
        <v>10657.59</v>
      </c>
      <c r="Q50" s="412">
        <f t="shared" si="7"/>
        <v>24237.67</v>
      </c>
      <c r="R50" s="412">
        <f t="shared" si="7"/>
        <v>13580.08</v>
      </c>
      <c r="S50" s="416">
        <f t="shared" si="7"/>
        <v>8.519095551844261</v>
      </c>
      <c r="T50" s="417">
        <f t="shared" si="7"/>
        <v>1.0165794755195612</v>
      </c>
    </row>
    <row r="53" spans="2:20">
      <c r="B53" s="76" t="s">
        <v>653</v>
      </c>
      <c r="C53" s="750" t="s">
        <v>39</v>
      </c>
      <c r="D53" s="751"/>
      <c r="E53" s="751"/>
      <c r="F53" s="752"/>
      <c r="G53" s="750" t="s">
        <v>654</v>
      </c>
      <c r="H53" s="751"/>
      <c r="I53" s="751"/>
      <c r="J53" s="752"/>
      <c r="K53" s="750" t="s">
        <v>655</v>
      </c>
      <c r="L53" s="751"/>
      <c r="M53" s="751"/>
      <c r="N53" s="752"/>
      <c r="O53" s="750" t="s">
        <v>163</v>
      </c>
      <c r="P53" s="751"/>
      <c r="Q53" s="751"/>
      <c r="R53" s="752"/>
    </row>
    <row r="54" spans="2:20">
      <c r="B54" s="409" t="str">
        <f t="shared" ref="B54:B74" si="8">B3</f>
        <v>Program Name</v>
      </c>
      <c r="C54" s="410" t="s">
        <v>401</v>
      </c>
      <c r="D54" s="410" t="s">
        <v>402</v>
      </c>
      <c r="E54" s="410" t="s">
        <v>656</v>
      </c>
      <c r="F54" s="410" t="s">
        <v>402</v>
      </c>
      <c r="G54" s="410" t="s">
        <v>403</v>
      </c>
      <c r="H54" s="410" t="s">
        <v>404</v>
      </c>
      <c r="I54" s="410" t="s">
        <v>403</v>
      </c>
      <c r="J54" s="410" t="s">
        <v>404</v>
      </c>
      <c r="K54" s="410" t="s">
        <v>403</v>
      </c>
      <c r="L54" s="410" t="s">
        <v>404</v>
      </c>
      <c r="M54" s="410" t="s">
        <v>403</v>
      </c>
      <c r="N54" s="410" t="s">
        <v>404</v>
      </c>
      <c r="O54" s="410" t="s">
        <v>403</v>
      </c>
      <c r="P54" s="410" t="s">
        <v>404</v>
      </c>
      <c r="Q54" s="410" t="s">
        <v>403</v>
      </c>
      <c r="R54" s="410" t="s">
        <v>404</v>
      </c>
    </row>
    <row r="55" spans="2:20">
      <c r="B55" s="411" t="str">
        <f t="shared" ref="B55:B63" si="9">B4</f>
        <v>Residential Solutions Program</v>
      </c>
      <c r="C55" s="412">
        <f>'Prior Year Progam'!F9</f>
        <v>3920500</v>
      </c>
      <c r="D55" s="412">
        <f>'Prior Year Progam'!G9</f>
        <v>2203985</v>
      </c>
      <c r="E55" s="412">
        <f>'Prior Year Progam'!H9</f>
        <v>6955355</v>
      </c>
      <c r="F55" s="412">
        <f>'Prior Year Progam'!I9</f>
        <v>5455048</v>
      </c>
      <c r="G55" s="414">
        <f>'Prior Year Progam'!K9</f>
        <v>712680</v>
      </c>
      <c r="H55" s="414">
        <f>'Prior Year Progam'!L9</f>
        <v>325161.36434798501</v>
      </c>
      <c r="I55" s="414">
        <f>'Prior Year Progam'!M9</f>
        <v>1636112</v>
      </c>
      <c r="J55" s="414">
        <f>'Prior Year Progam'!N9</f>
        <v>1295418</v>
      </c>
      <c r="K55" s="414" t="str">
        <f>IF(Demand_1=NG_Demand,"n/a",'Prior Year Progam'!P9)</f>
        <v>n/a</v>
      </c>
      <c r="L55" s="414" t="str">
        <f>IF(Demand_1=NG_Demand,"n/a",'Prior Year Progam'!Q9)</f>
        <v>n/a</v>
      </c>
      <c r="M55" s="414" t="str">
        <f>IF(Demand_1=NG_Demand,"n/a",'Prior Year Progam'!R9)</f>
        <v>n/a</v>
      </c>
      <c r="N55" s="414" t="str">
        <f>IF(Demand_1=NG_Demand,"n/a",'Prior Year Progam'!S9)</f>
        <v>n/a</v>
      </c>
      <c r="O55" s="414">
        <f>'Prior Year Progam'!U9</f>
        <v>5385</v>
      </c>
      <c r="P55" s="414">
        <f>'Prior Year Progam'!V9</f>
        <v>2719</v>
      </c>
      <c r="Q55" s="414">
        <f>'Prior Year Progam'!W9</f>
        <v>30946</v>
      </c>
      <c r="R55" s="414">
        <f>'Prior Year Progam'!X9</f>
        <v>76371</v>
      </c>
    </row>
    <row r="56" spans="2:20">
      <c r="B56" s="411" t="str">
        <f t="shared" si="9"/>
        <v>Access to Afford Energy &amp; Conservation</v>
      </c>
      <c r="C56" s="412">
        <f>'Prior Year Progam'!F10</f>
        <v>299712</v>
      </c>
      <c r="D56" s="412">
        <f>'Prior Year Progam'!G10</f>
        <v>72165</v>
      </c>
      <c r="E56" s="412">
        <f>'Prior Year Progam'!H10</f>
        <v>1937440</v>
      </c>
      <c r="F56" s="412">
        <f>'Prior Year Progam'!I10</f>
        <v>1384375</v>
      </c>
      <c r="G56" s="414">
        <f>'Prior Year Progam'!K10</f>
        <v>161622</v>
      </c>
      <c r="H56" s="414">
        <f>'Prior Year Progam'!L10</f>
        <v>8950.28549523529</v>
      </c>
      <c r="I56" s="414">
        <f>'Prior Year Progam'!M10</f>
        <v>580567</v>
      </c>
      <c r="J56" s="414">
        <f>'Prior Year Progam'!N10</f>
        <v>555010</v>
      </c>
      <c r="K56" s="414" t="str">
        <f>IF(Demand_1=NG_Demand,"n/a",'Prior Year Progam'!P10)</f>
        <v>n/a</v>
      </c>
      <c r="L56" s="414" t="str">
        <f>IF(Demand_1=NG_Demand,"n/a",'Prior Year Progam'!Q10)</f>
        <v>n/a</v>
      </c>
      <c r="M56" s="414" t="str">
        <f>IF(Demand_1=NG_Demand,"n/a",'Prior Year Progam'!R10)</f>
        <v>n/a</v>
      </c>
      <c r="N56" s="414" t="str">
        <f>IF(Demand_1=NG_Demand,"n/a",'Prior Year Progam'!S10)</f>
        <v>n/a</v>
      </c>
      <c r="O56" s="414">
        <f>'Prior Year Progam'!U10</f>
        <v>38100</v>
      </c>
      <c r="P56" s="414">
        <f>'Prior Year Progam'!V10</f>
        <v>4303</v>
      </c>
      <c r="Q56" s="414">
        <f>'Prior Year Progam'!W10</f>
        <v>17419</v>
      </c>
      <c r="R56" s="414">
        <f>'Prior Year Progam'!X10</f>
        <v>72046</v>
      </c>
    </row>
    <row r="57" spans="2:20">
      <c r="B57" s="411" t="str">
        <f t="shared" si="9"/>
        <v>Commercial Solutions</v>
      </c>
      <c r="C57" s="412">
        <f>'Prior Year Progam'!F11</f>
        <v>362485</v>
      </c>
      <c r="D57" s="412">
        <f>'Prior Year Progam'!G11</f>
        <v>359955</v>
      </c>
      <c r="E57" s="412">
        <f>'Prior Year Progam'!H11</f>
        <v>3853972</v>
      </c>
      <c r="F57" s="412">
        <f>'Prior Year Progam'!I11</f>
        <v>3859088</v>
      </c>
      <c r="G57" s="414">
        <f>'Prior Year Progam'!K11</f>
        <v>850000</v>
      </c>
      <c r="H57" s="414">
        <f>'Prior Year Progam'!L11</f>
        <v>1096289.2013113501</v>
      </c>
      <c r="I57" s="414">
        <f>'Prior Year Progam'!M11</f>
        <v>1807949</v>
      </c>
      <c r="J57" s="414">
        <f>'Prior Year Progam'!N11</f>
        <v>1891964</v>
      </c>
      <c r="K57" s="414" t="str">
        <f>IF(Demand_1=NG_Demand,"n/a",'Prior Year Progam'!P11)</f>
        <v>n/a</v>
      </c>
      <c r="L57" s="414" t="str">
        <f>IF(Demand_1=NG_Demand,"n/a",'Prior Year Progam'!Q11)</f>
        <v>n/a</v>
      </c>
      <c r="M57" s="414" t="str">
        <f>IF(Demand_1=NG_Demand,"n/a",'Prior Year Progam'!R11)</f>
        <v>n/a</v>
      </c>
      <c r="N57" s="414" t="str">
        <f>IF(Demand_1=NG_Demand,"n/a",'Prior Year Progam'!S11)</f>
        <v>n/a</v>
      </c>
      <c r="O57" s="414">
        <f>'Prior Year Progam'!U11</f>
        <v>85000</v>
      </c>
      <c r="P57" s="414">
        <f>'Prior Year Progam'!V11</f>
        <v>90038</v>
      </c>
      <c r="Q57" s="414">
        <f>'Prior Year Progam'!W11</f>
        <v>318</v>
      </c>
      <c r="R57" s="414">
        <f>'Prior Year Progam'!X11</f>
        <v>325</v>
      </c>
    </row>
    <row r="58" spans="2:20">
      <c r="B58" s="411" t="str">
        <f t="shared" si="9"/>
        <v>Empty</v>
      </c>
      <c r="C58" s="412">
        <f>'Prior Year Progam'!F12</f>
        <v>0</v>
      </c>
      <c r="D58" s="412">
        <f>'Prior Year Progam'!G12</f>
        <v>0</v>
      </c>
      <c r="E58" s="412">
        <f>'Prior Year Progam'!H12</f>
        <v>0</v>
      </c>
      <c r="F58" s="412">
        <f>'Prior Year Progam'!I12</f>
        <v>0</v>
      </c>
      <c r="G58" s="414">
        <f>'Prior Year Progam'!K12</f>
        <v>0</v>
      </c>
      <c r="H58" s="414">
        <f>'Prior Year Progam'!L12</f>
        <v>0</v>
      </c>
      <c r="I58" s="414">
        <f>'Prior Year Progam'!M12</f>
        <v>0</v>
      </c>
      <c r="J58" s="414">
        <f>'Prior Year Progam'!N12</f>
        <v>0</v>
      </c>
      <c r="K58" s="414" t="str">
        <f>IF(Demand_1=NG_Demand,"n/a",'Prior Year Progam'!P12)</f>
        <v>n/a</v>
      </c>
      <c r="L58" s="414" t="str">
        <f>IF(Demand_1=NG_Demand,"n/a",'Prior Year Progam'!Q12)</f>
        <v>n/a</v>
      </c>
      <c r="M58" s="414" t="str">
        <f>IF(Demand_1=NG_Demand,"n/a",'Prior Year Progam'!R12)</f>
        <v>n/a</v>
      </c>
      <c r="N58" s="414" t="str">
        <f>IF(Demand_1=NG_Demand,"n/a",'Prior Year Progam'!S12)</f>
        <v>n/a</v>
      </c>
      <c r="O58" s="414">
        <f>'Prior Year Progam'!U12</f>
        <v>0</v>
      </c>
      <c r="P58" s="414">
        <f>'Prior Year Progam'!V12</f>
        <v>0</v>
      </c>
      <c r="Q58" s="414">
        <f>'Prior Year Progam'!W12</f>
        <v>0</v>
      </c>
      <c r="R58" s="414">
        <f>'Prior Year Progam'!X12</f>
        <v>0</v>
      </c>
    </row>
    <row r="59" spans="2:20">
      <c r="B59" s="411" t="str">
        <f t="shared" si="9"/>
        <v>Empty</v>
      </c>
      <c r="C59" s="412">
        <f>'Prior Year Progam'!F13</f>
        <v>0</v>
      </c>
      <c r="D59" s="412">
        <f>'Prior Year Progam'!G13</f>
        <v>0</v>
      </c>
      <c r="E59" s="412">
        <f>'Prior Year Progam'!H13</f>
        <v>0</v>
      </c>
      <c r="F59" s="412">
        <f>'Prior Year Progam'!I13</f>
        <v>0</v>
      </c>
      <c r="G59" s="414">
        <f>'Prior Year Progam'!K13</f>
        <v>0</v>
      </c>
      <c r="H59" s="414">
        <f>'Prior Year Progam'!L13</f>
        <v>0</v>
      </c>
      <c r="I59" s="414">
        <f>'Prior Year Progam'!M13</f>
        <v>0</v>
      </c>
      <c r="J59" s="414">
        <f>'Prior Year Progam'!N13</f>
        <v>0</v>
      </c>
      <c r="K59" s="414" t="str">
        <f>IF(Demand_1=NG_Demand,"n/a",'Prior Year Progam'!P13)</f>
        <v>n/a</v>
      </c>
      <c r="L59" s="414" t="str">
        <f>IF(Demand_1=NG_Demand,"n/a",'Prior Year Progam'!Q13)</f>
        <v>n/a</v>
      </c>
      <c r="M59" s="414" t="str">
        <f>IF(Demand_1=NG_Demand,"n/a",'Prior Year Progam'!R13)</f>
        <v>n/a</v>
      </c>
      <c r="N59" s="414" t="str">
        <f>IF(Demand_1=NG_Demand,"n/a",'Prior Year Progam'!S13)</f>
        <v>n/a</v>
      </c>
      <c r="O59" s="414">
        <f>'Prior Year Progam'!U13</f>
        <v>0</v>
      </c>
      <c r="P59" s="414">
        <f>'Prior Year Progam'!V13</f>
        <v>0</v>
      </c>
      <c r="Q59" s="414">
        <f>'Prior Year Progam'!W13</f>
        <v>0</v>
      </c>
      <c r="R59" s="414">
        <f>'Prior Year Progam'!X13</f>
        <v>0</v>
      </c>
    </row>
    <row r="60" spans="2:20">
      <c r="B60" s="411" t="str">
        <f t="shared" si="9"/>
        <v>Empty</v>
      </c>
      <c r="C60" s="412">
        <f>'Prior Year Progam'!F14</f>
        <v>0</v>
      </c>
      <c r="D60" s="412">
        <f>'Prior Year Progam'!G14</f>
        <v>0</v>
      </c>
      <c r="E60" s="412">
        <f>'Prior Year Progam'!H14</f>
        <v>0</v>
      </c>
      <c r="F60" s="412">
        <f>'Prior Year Progam'!I14</f>
        <v>0</v>
      </c>
      <c r="G60" s="414">
        <f>'Prior Year Progam'!K14</f>
        <v>0</v>
      </c>
      <c r="H60" s="414">
        <f>'Prior Year Progam'!L14</f>
        <v>0</v>
      </c>
      <c r="I60" s="414">
        <f>'Prior Year Progam'!M14</f>
        <v>0</v>
      </c>
      <c r="J60" s="414">
        <f>'Prior Year Progam'!N14</f>
        <v>0</v>
      </c>
      <c r="K60" s="414" t="str">
        <f>IF(Demand_1=NG_Demand,"n/a",'Prior Year Progam'!P14)</f>
        <v>n/a</v>
      </c>
      <c r="L60" s="414" t="str">
        <f>IF(Demand_1=NG_Demand,"n/a",'Prior Year Progam'!Q14)</f>
        <v>n/a</v>
      </c>
      <c r="M60" s="414" t="str">
        <f>IF(Demand_1=NG_Demand,"n/a",'Prior Year Progam'!R14)</f>
        <v>n/a</v>
      </c>
      <c r="N60" s="414" t="str">
        <f>IF(Demand_1=NG_Demand,"n/a",'Prior Year Progam'!S14)</f>
        <v>n/a</v>
      </c>
      <c r="O60" s="414">
        <f>'Prior Year Progam'!U14</f>
        <v>0</v>
      </c>
      <c r="P60" s="414">
        <f>'Prior Year Progam'!V14</f>
        <v>0</v>
      </c>
      <c r="Q60" s="414">
        <f>'Prior Year Progam'!W14</f>
        <v>0</v>
      </c>
      <c r="R60" s="414">
        <f>'Prior Year Progam'!X14</f>
        <v>0</v>
      </c>
    </row>
    <row r="61" spans="2:20">
      <c r="B61" s="411" t="str">
        <f t="shared" si="9"/>
        <v>Empty</v>
      </c>
      <c r="C61" s="412">
        <f>'Prior Year Progam'!F15</f>
        <v>0</v>
      </c>
      <c r="D61" s="412">
        <f>'Prior Year Progam'!G15</f>
        <v>0</v>
      </c>
      <c r="E61" s="412">
        <f>'Prior Year Progam'!H15</f>
        <v>0</v>
      </c>
      <c r="F61" s="412">
        <f>'Prior Year Progam'!I15</f>
        <v>0</v>
      </c>
      <c r="G61" s="414">
        <f>'Prior Year Progam'!K15</f>
        <v>0</v>
      </c>
      <c r="H61" s="414">
        <f>'Prior Year Progam'!L15</f>
        <v>0</v>
      </c>
      <c r="I61" s="414">
        <f>'Prior Year Progam'!M15</f>
        <v>0</v>
      </c>
      <c r="J61" s="414">
        <f>'Prior Year Progam'!N15</f>
        <v>0</v>
      </c>
      <c r="K61" s="414" t="str">
        <f>IF(Demand_1=NG_Demand,"n/a",'Prior Year Progam'!P15)</f>
        <v>n/a</v>
      </c>
      <c r="L61" s="414" t="str">
        <f>IF(Demand_1=NG_Demand,"n/a",'Prior Year Progam'!Q15)</f>
        <v>n/a</v>
      </c>
      <c r="M61" s="414" t="str">
        <f>IF(Demand_1=NG_Demand,"n/a",'Prior Year Progam'!R15)</f>
        <v>n/a</v>
      </c>
      <c r="N61" s="414" t="str">
        <f>IF(Demand_1=NG_Demand,"n/a",'Prior Year Progam'!S15)</f>
        <v>n/a</v>
      </c>
      <c r="O61" s="414">
        <f>'Prior Year Progam'!U15</f>
        <v>0</v>
      </c>
      <c r="P61" s="414">
        <f>'Prior Year Progam'!V15</f>
        <v>0</v>
      </c>
      <c r="Q61" s="414">
        <f>'Prior Year Progam'!W15</f>
        <v>0</v>
      </c>
      <c r="R61" s="414">
        <f>'Prior Year Progam'!X15</f>
        <v>0</v>
      </c>
    </row>
    <row r="62" spans="2:20">
      <c r="B62" s="411" t="str">
        <f t="shared" si="9"/>
        <v>Empty</v>
      </c>
      <c r="C62" s="412">
        <f>'Prior Year Progam'!F16</f>
        <v>0</v>
      </c>
      <c r="D62" s="412">
        <f>'Prior Year Progam'!G16</f>
        <v>0</v>
      </c>
      <c r="E62" s="412">
        <f>'Prior Year Progam'!H16</f>
        <v>0</v>
      </c>
      <c r="F62" s="412">
        <f>'Prior Year Progam'!I16</f>
        <v>0</v>
      </c>
      <c r="G62" s="414">
        <f>'Prior Year Progam'!K16</f>
        <v>0</v>
      </c>
      <c r="H62" s="414">
        <f>'Prior Year Progam'!L16</f>
        <v>0</v>
      </c>
      <c r="I62" s="414">
        <f>'Prior Year Progam'!M16</f>
        <v>0</v>
      </c>
      <c r="J62" s="414">
        <f>'Prior Year Progam'!N16</f>
        <v>0</v>
      </c>
      <c r="K62" s="414" t="str">
        <f>IF(Demand_1=NG_Demand,"n/a",'Prior Year Progam'!P16)</f>
        <v>n/a</v>
      </c>
      <c r="L62" s="414" t="str">
        <f>IF(Demand_1=NG_Demand,"n/a",'Prior Year Progam'!Q16)</f>
        <v>n/a</v>
      </c>
      <c r="M62" s="414" t="str">
        <f>IF(Demand_1=NG_Demand,"n/a",'Prior Year Progam'!R16)</f>
        <v>n/a</v>
      </c>
      <c r="N62" s="414" t="str">
        <f>IF(Demand_1=NG_Demand,"n/a",'Prior Year Progam'!S16)</f>
        <v>n/a</v>
      </c>
      <c r="O62" s="414">
        <f>'Prior Year Progam'!U16</f>
        <v>0</v>
      </c>
      <c r="P62" s="414">
        <f>'Prior Year Progam'!V16</f>
        <v>0</v>
      </c>
      <c r="Q62" s="414">
        <f>'Prior Year Progam'!W16</f>
        <v>0</v>
      </c>
      <c r="R62" s="414">
        <f>'Prior Year Progam'!X16</f>
        <v>0</v>
      </c>
    </row>
    <row r="63" spans="2:20">
      <c r="B63" s="411" t="str">
        <f t="shared" si="9"/>
        <v>Empty</v>
      </c>
      <c r="C63" s="412">
        <f>'Prior Year Progam'!F17</f>
        <v>0</v>
      </c>
      <c r="D63" s="412">
        <f>'Prior Year Progam'!G17</f>
        <v>0</v>
      </c>
      <c r="E63" s="412">
        <f>'Prior Year Progam'!H17</f>
        <v>0</v>
      </c>
      <c r="F63" s="412">
        <f>'Prior Year Progam'!I17</f>
        <v>0</v>
      </c>
      <c r="G63" s="414">
        <f>'Prior Year Progam'!K17</f>
        <v>0</v>
      </c>
      <c r="H63" s="414">
        <f>'Prior Year Progam'!L17</f>
        <v>0</v>
      </c>
      <c r="I63" s="414">
        <f>'Prior Year Progam'!M17</f>
        <v>0</v>
      </c>
      <c r="J63" s="414">
        <f>'Prior Year Progam'!N17</f>
        <v>0</v>
      </c>
      <c r="K63" s="414" t="str">
        <f>IF(Demand_1=NG_Demand,"n/a",'Prior Year Progam'!P17)</f>
        <v>n/a</v>
      </c>
      <c r="L63" s="414" t="str">
        <f>IF(Demand_1=NG_Demand,"n/a",'Prior Year Progam'!Q17)</f>
        <v>n/a</v>
      </c>
      <c r="M63" s="414" t="str">
        <f>IF(Demand_1=NG_Demand,"n/a",'Prior Year Progam'!R17)</f>
        <v>n/a</v>
      </c>
      <c r="N63" s="414" t="str">
        <f>IF(Demand_1=NG_Demand,"n/a",'Prior Year Progam'!S17)</f>
        <v>n/a</v>
      </c>
      <c r="O63" s="414">
        <f>'Prior Year Progam'!U17</f>
        <v>0</v>
      </c>
      <c r="P63" s="414">
        <f>'Prior Year Progam'!V17</f>
        <v>0</v>
      </c>
      <c r="Q63" s="414">
        <f>'Prior Year Progam'!W17</f>
        <v>0</v>
      </c>
      <c r="R63" s="414">
        <f>'Prior Year Progam'!X17</f>
        <v>0</v>
      </c>
    </row>
    <row r="64" spans="2:20">
      <c r="B64" s="411" t="str">
        <f t="shared" si="8"/>
        <v>Empty</v>
      </c>
      <c r="C64" s="412">
        <f>'Prior Year Progam'!F18</f>
        <v>0</v>
      </c>
      <c r="D64" s="412">
        <f>'Prior Year Progam'!G18</f>
        <v>0</v>
      </c>
      <c r="E64" s="412">
        <f>'Prior Year Progam'!H18</f>
        <v>0</v>
      </c>
      <c r="F64" s="412">
        <f>'Prior Year Progam'!I18</f>
        <v>0</v>
      </c>
      <c r="G64" s="414">
        <f>'Prior Year Progam'!K18</f>
        <v>0</v>
      </c>
      <c r="H64" s="414">
        <f>'Prior Year Progam'!L18</f>
        <v>0</v>
      </c>
      <c r="I64" s="414">
        <f>'Prior Year Progam'!M18</f>
        <v>0</v>
      </c>
      <c r="J64" s="414">
        <f>'Prior Year Progam'!N18</f>
        <v>0</v>
      </c>
      <c r="K64" s="414" t="str">
        <f>IF(Demand_1=NG_Demand,"n/a",'Prior Year Progam'!P18)</f>
        <v>n/a</v>
      </c>
      <c r="L64" s="414" t="str">
        <f>IF(Demand_1=NG_Demand,"n/a",'Prior Year Progam'!Q18)</f>
        <v>n/a</v>
      </c>
      <c r="M64" s="414" t="str">
        <f>IF(Demand_1=NG_Demand,"n/a",'Prior Year Progam'!R18)</f>
        <v>n/a</v>
      </c>
      <c r="N64" s="414" t="str">
        <f>IF(Demand_1=NG_Demand,"n/a",'Prior Year Progam'!S18)</f>
        <v>n/a</v>
      </c>
      <c r="O64" s="414">
        <f>'Prior Year Progam'!U18</f>
        <v>0</v>
      </c>
      <c r="P64" s="414">
        <f>'Prior Year Progam'!V18</f>
        <v>0</v>
      </c>
      <c r="Q64" s="414">
        <f>'Prior Year Progam'!W18</f>
        <v>0</v>
      </c>
      <c r="R64" s="414">
        <f>'Prior Year Progam'!X18</f>
        <v>0</v>
      </c>
    </row>
    <row r="65" spans="2:18">
      <c r="B65" s="411" t="str">
        <f t="shared" si="8"/>
        <v>Empty</v>
      </c>
      <c r="C65" s="412">
        <f>'Prior Year Progam'!F19</f>
        <v>0</v>
      </c>
      <c r="D65" s="412">
        <f>'Prior Year Progam'!G19</f>
        <v>0</v>
      </c>
      <c r="E65" s="412">
        <f>'Prior Year Progam'!H19</f>
        <v>0</v>
      </c>
      <c r="F65" s="412">
        <f>'Prior Year Progam'!I19</f>
        <v>0</v>
      </c>
      <c r="G65" s="414">
        <f>'Prior Year Progam'!K19</f>
        <v>0</v>
      </c>
      <c r="H65" s="414">
        <f>'Prior Year Progam'!L19</f>
        <v>0</v>
      </c>
      <c r="I65" s="414">
        <f>'Prior Year Progam'!M19</f>
        <v>0</v>
      </c>
      <c r="J65" s="414">
        <f>'Prior Year Progam'!N19</f>
        <v>0</v>
      </c>
      <c r="K65" s="414" t="str">
        <f>IF(Demand_1=NG_Demand,"n/a",'Prior Year Progam'!P19)</f>
        <v>n/a</v>
      </c>
      <c r="L65" s="414" t="str">
        <f>IF(Demand_1=NG_Demand,"n/a",'Prior Year Progam'!Q19)</f>
        <v>n/a</v>
      </c>
      <c r="M65" s="414" t="str">
        <f>IF(Demand_1=NG_Demand,"n/a",'Prior Year Progam'!R19)</f>
        <v>n/a</v>
      </c>
      <c r="N65" s="414" t="str">
        <f>IF(Demand_1=NG_Demand,"n/a",'Prior Year Progam'!S19)</f>
        <v>n/a</v>
      </c>
      <c r="O65" s="414">
        <f>'Prior Year Progam'!U19</f>
        <v>0</v>
      </c>
      <c r="P65" s="414">
        <f>'Prior Year Progam'!V19</f>
        <v>0</v>
      </c>
      <c r="Q65" s="414">
        <f>'Prior Year Progam'!W19</f>
        <v>0</v>
      </c>
      <c r="R65" s="414">
        <f>'Prior Year Progam'!X19</f>
        <v>0</v>
      </c>
    </row>
    <row r="66" spans="2:18">
      <c r="B66" s="411" t="str">
        <f t="shared" si="8"/>
        <v>Empty</v>
      </c>
      <c r="C66" s="412">
        <f>'Prior Year Progam'!F20</f>
        <v>0</v>
      </c>
      <c r="D66" s="412">
        <f>'Prior Year Progam'!G20</f>
        <v>0</v>
      </c>
      <c r="E66" s="412">
        <f>'Prior Year Progam'!H20</f>
        <v>0</v>
      </c>
      <c r="F66" s="412">
        <f>'Prior Year Progam'!I20</f>
        <v>0</v>
      </c>
      <c r="G66" s="414">
        <f>'Prior Year Progam'!K20</f>
        <v>0</v>
      </c>
      <c r="H66" s="414">
        <f>'Prior Year Progam'!L20</f>
        <v>0</v>
      </c>
      <c r="I66" s="414">
        <f>'Prior Year Progam'!M20</f>
        <v>0</v>
      </c>
      <c r="J66" s="414">
        <f>'Prior Year Progam'!N20</f>
        <v>0</v>
      </c>
      <c r="K66" s="414" t="str">
        <f>IF(Demand_1=NG_Demand,"n/a",'Prior Year Progam'!P20)</f>
        <v>n/a</v>
      </c>
      <c r="L66" s="414" t="str">
        <f>IF(Demand_1=NG_Demand,"n/a",'Prior Year Progam'!Q20)</f>
        <v>n/a</v>
      </c>
      <c r="M66" s="414" t="str">
        <f>IF(Demand_1=NG_Demand,"n/a",'Prior Year Progam'!R20)</f>
        <v>n/a</v>
      </c>
      <c r="N66" s="414" t="str">
        <f>IF(Demand_1=NG_Demand,"n/a",'Prior Year Progam'!S20)</f>
        <v>n/a</v>
      </c>
      <c r="O66" s="414">
        <f>'Prior Year Progam'!U20</f>
        <v>0</v>
      </c>
      <c r="P66" s="414">
        <f>'Prior Year Progam'!V20</f>
        <v>0</v>
      </c>
      <c r="Q66" s="414">
        <f>'Prior Year Progam'!W20</f>
        <v>0</v>
      </c>
      <c r="R66" s="414">
        <f>'Prior Year Progam'!X20</f>
        <v>0</v>
      </c>
    </row>
    <row r="67" spans="2:18">
      <c r="B67" s="411" t="str">
        <f t="shared" si="8"/>
        <v>Empty</v>
      </c>
      <c r="C67" s="412">
        <f>'Prior Year Progam'!F21</f>
        <v>0</v>
      </c>
      <c r="D67" s="412">
        <f>'Prior Year Progam'!G21</f>
        <v>0</v>
      </c>
      <c r="E67" s="412">
        <f>'Prior Year Progam'!H21</f>
        <v>0</v>
      </c>
      <c r="F67" s="412">
        <f>'Prior Year Progam'!I21</f>
        <v>0</v>
      </c>
      <c r="G67" s="414">
        <f>'Prior Year Progam'!K21</f>
        <v>0</v>
      </c>
      <c r="H67" s="414">
        <f>'Prior Year Progam'!L21</f>
        <v>0</v>
      </c>
      <c r="I67" s="414">
        <f>'Prior Year Progam'!M21</f>
        <v>0</v>
      </c>
      <c r="J67" s="414">
        <f>'Prior Year Progam'!N21</f>
        <v>0</v>
      </c>
      <c r="K67" s="414" t="str">
        <f>IF(Demand_1=NG_Demand,"n/a",'Prior Year Progam'!P21)</f>
        <v>n/a</v>
      </c>
      <c r="L67" s="414" t="str">
        <f>IF(Demand_1=NG_Demand,"n/a",'Prior Year Progam'!Q21)</f>
        <v>n/a</v>
      </c>
      <c r="M67" s="414" t="str">
        <f>IF(Demand_1=NG_Demand,"n/a",'Prior Year Progam'!R21)</f>
        <v>n/a</v>
      </c>
      <c r="N67" s="414" t="str">
        <f>IF(Demand_1=NG_Demand,"n/a",'Prior Year Progam'!S21)</f>
        <v>n/a</v>
      </c>
      <c r="O67" s="414">
        <f>'Prior Year Progam'!U21</f>
        <v>0</v>
      </c>
      <c r="P67" s="414">
        <f>'Prior Year Progam'!V21</f>
        <v>0</v>
      </c>
      <c r="Q67" s="414">
        <f>'Prior Year Progam'!W21</f>
        <v>0</v>
      </c>
      <c r="R67" s="414">
        <f>'Prior Year Progam'!X21</f>
        <v>0</v>
      </c>
    </row>
    <row r="68" spans="2:18">
      <c r="B68" s="411" t="str">
        <f t="shared" si="8"/>
        <v>Empty</v>
      </c>
      <c r="C68" s="412">
        <f>'Prior Year Progam'!F22</f>
        <v>0</v>
      </c>
      <c r="D68" s="412">
        <f>'Prior Year Progam'!G22</f>
        <v>0</v>
      </c>
      <c r="E68" s="412">
        <f>'Prior Year Progam'!H22</f>
        <v>0</v>
      </c>
      <c r="F68" s="412">
        <f>'Prior Year Progam'!I22</f>
        <v>0</v>
      </c>
      <c r="G68" s="414">
        <f>'Prior Year Progam'!K22</f>
        <v>0</v>
      </c>
      <c r="H68" s="414">
        <f>'Prior Year Progam'!L22</f>
        <v>0</v>
      </c>
      <c r="I68" s="414">
        <f>'Prior Year Progam'!M22</f>
        <v>0</v>
      </c>
      <c r="J68" s="414">
        <f>'Prior Year Progam'!N22</f>
        <v>0</v>
      </c>
      <c r="K68" s="414" t="str">
        <f>IF(Demand_1=NG_Demand,"n/a",'Prior Year Progam'!P22)</f>
        <v>n/a</v>
      </c>
      <c r="L68" s="414" t="str">
        <f>IF(Demand_1=NG_Demand,"n/a",'Prior Year Progam'!Q22)</f>
        <v>n/a</v>
      </c>
      <c r="M68" s="414" t="str">
        <f>IF(Demand_1=NG_Demand,"n/a",'Prior Year Progam'!R22)</f>
        <v>n/a</v>
      </c>
      <c r="N68" s="414" t="str">
        <f>IF(Demand_1=NG_Demand,"n/a",'Prior Year Progam'!S22)</f>
        <v>n/a</v>
      </c>
      <c r="O68" s="414">
        <f>'Prior Year Progam'!U22</f>
        <v>0</v>
      </c>
      <c r="P68" s="414">
        <f>'Prior Year Progam'!V22</f>
        <v>0</v>
      </c>
      <c r="Q68" s="414">
        <f>'Prior Year Progam'!W22</f>
        <v>0</v>
      </c>
      <c r="R68" s="414">
        <f>'Prior Year Progam'!X22</f>
        <v>0</v>
      </c>
    </row>
    <row r="69" spans="2:18">
      <c r="B69" s="411" t="str">
        <f t="shared" si="8"/>
        <v>Empty</v>
      </c>
      <c r="C69" s="412">
        <f>'Prior Year Progam'!F23</f>
        <v>0</v>
      </c>
      <c r="D69" s="412">
        <f>'Prior Year Progam'!G23</f>
        <v>0</v>
      </c>
      <c r="E69" s="412">
        <f>'Prior Year Progam'!H23</f>
        <v>0</v>
      </c>
      <c r="F69" s="412">
        <f>'Prior Year Progam'!I23</f>
        <v>0</v>
      </c>
      <c r="G69" s="414">
        <f>'Prior Year Progam'!K23</f>
        <v>0</v>
      </c>
      <c r="H69" s="414">
        <f>'Prior Year Progam'!L23</f>
        <v>0</v>
      </c>
      <c r="I69" s="414">
        <f>'Prior Year Progam'!M23</f>
        <v>0</v>
      </c>
      <c r="J69" s="414">
        <f>'Prior Year Progam'!N23</f>
        <v>0</v>
      </c>
      <c r="K69" s="414" t="str">
        <f>IF(Demand_1=NG_Demand,"n/a",'Prior Year Progam'!P23)</f>
        <v>n/a</v>
      </c>
      <c r="L69" s="414" t="str">
        <f>IF(Demand_1=NG_Demand,"n/a",'Prior Year Progam'!Q23)</f>
        <v>n/a</v>
      </c>
      <c r="M69" s="414" t="str">
        <f>IF(Demand_1=NG_Demand,"n/a",'Prior Year Progam'!R23)</f>
        <v>n/a</v>
      </c>
      <c r="N69" s="414" t="str">
        <f>IF(Demand_1=NG_Demand,"n/a",'Prior Year Progam'!S23)</f>
        <v>n/a</v>
      </c>
      <c r="O69" s="414">
        <f>'Prior Year Progam'!U23</f>
        <v>0</v>
      </c>
      <c r="P69" s="414">
        <f>'Prior Year Progam'!V23</f>
        <v>0</v>
      </c>
      <c r="Q69" s="414">
        <f>'Prior Year Progam'!W23</f>
        <v>0</v>
      </c>
      <c r="R69" s="414">
        <f>'Prior Year Progam'!X23</f>
        <v>0</v>
      </c>
    </row>
    <row r="70" spans="2:18">
      <c r="B70" s="411" t="str">
        <f t="shared" si="8"/>
        <v>Empty</v>
      </c>
      <c r="C70" s="412">
        <f>'Prior Year Progam'!F24</f>
        <v>0</v>
      </c>
      <c r="D70" s="412">
        <f>'Prior Year Progam'!G24</f>
        <v>0</v>
      </c>
      <c r="E70" s="412">
        <f>'Prior Year Progam'!H24</f>
        <v>0</v>
      </c>
      <c r="F70" s="412">
        <f>'Prior Year Progam'!I24</f>
        <v>0</v>
      </c>
      <c r="G70" s="414">
        <f>'Prior Year Progam'!K24</f>
        <v>0</v>
      </c>
      <c r="H70" s="414">
        <f>'Prior Year Progam'!L24</f>
        <v>0</v>
      </c>
      <c r="I70" s="414">
        <f>'Prior Year Progam'!M24</f>
        <v>0</v>
      </c>
      <c r="J70" s="414">
        <f>'Prior Year Progam'!N24</f>
        <v>0</v>
      </c>
      <c r="K70" s="414" t="str">
        <f>IF(Demand_1=NG_Demand,"n/a",'Prior Year Progam'!P24)</f>
        <v>n/a</v>
      </c>
      <c r="L70" s="414" t="str">
        <f>IF(Demand_1=NG_Demand,"n/a",'Prior Year Progam'!Q24)</f>
        <v>n/a</v>
      </c>
      <c r="M70" s="414" t="str">
        <f>IF(Demand_1=NG_Demand,"n/a",'Prior Year Progam'!R24)</f>
        <v>n/a</v>
      </c>
      <c r="N70" s="414" t="str">
        <f>IF(Demand_1=NG_Demand,"n/a",'Prior Year Progam'!S24)</f>
        <v>n/a</v>
      </c>
      <c r="O70" s="414">
        <f>'Prior Year Progam'!U24</f>
        <v>0</v>
      </c>
      <c r="P70" s="414">
        <f>'Prior Year Progam'!V24</f>
        <v>0</v>
      </c>
      <c r="Q70" s="414">
        <f>'Prior Year Progam'!W24</f>
        <v>0</v>
      </c>
      <c r="R70" s="414">
        <f>'Prior Year Progam'!X24</f>
        <v>0</v>
      </c>
    </row>
    <row r="71" spans="2:18">
      <c r="B71" s="411" t="str">
        <f t="shared" si="8"/>
        <v>Empty</v>
      </c>
      <c r="C71" s="412">
        <f>'Prior Year Progam'!F25</f>
        <v>0</v>
      </c>
      <c r="D71" s="412">
        <f>'Prior Year Progam'!G25</f>
        <v>0</v>
      </c>
      <c r="E71" s="412">
        <f>'Prior Year Progam'!H25</f>
        <v>0</v>
      </c>
      <c r="F71" s="412">
        <f>'Prior Year Progam'!I25</f>
        <v>0</v>
      </c>
      <c r="G71" s="414">
        <f>'Prior Year Progam'!K25</f>
        <v>0</v>
      </c>
      <c r="H71" s="414">
        <f>'Prior Year Progam'!L25</f>
        <v>0</v>
      </c>
      <c r="I71" s="414">
        <f>'Prior Year Progam'!M25</f>
        <v>0</v>
      </c>
      <c r="J71" s="414">
        <f>'Prior Year Progam'!N25</f>
        <v>0</v>
      </c>
      <c r="K71" s="414" t="str">
        <f>IF(Demand_1=NG_Demand,"n/a",'Prior Year Progam'!P25)</f>
        <v>n/a</v>
      </c>
      <c r="L71" s="414" t="str">
        <f>IF(Demand_1=NG_Demand,"n/a",'Prior Year Progam'!Q25)</f>
        <v>n/a</v>
      </c>
      <c r="M71" s="414" t="str">
        <f>IF(Demand_1=NG_Demand,"n/a",'Prior Year Progam'!R25)</f>
        <v>n/a</v>
      </c>
      <c r="N71" s="414" t="str">
        <f>IF(Demand_1=NG_Demand,"n/a",'Prior Year Progam'!S25)</f>
        <v>n/a</v>
      </c>
      <c r="O71" s="414">
        <f>'Prior Year Progam'!U25</f>
        <v>0</v>
      </c>
      <c r="P71" s="414">
        <f>'Prior Year Progam'!V25</f>
        <v>0</v>
      </c>
      <c r="Q71" s="414">
        <f>'Prior Year Progam'!W25</f>
        <v>0</v>
      </c>
      <c r="R71" s="414">
        <f>'Prior Year Progam'!X25</f>
        <v>0</v>
      </c>
    </row>
    <row r="72" spans="2:18">
      <c r="B72" s="411" t="str">
        <f t="shared" si="8"/>
        <v>Empty</v>
      </c>
      <c r="C72" s="412">
        <f>'Prior Year Progam'!F26</f>
        <v>0</v>
      </c>
      <c r="D72" s="412">
        <f>'Prior Year Progam'!G26</f>
        <v>0</v>
      </c>
      <c r="E72" s="412">
        <f>'Prior Year Progam'!H26</f>
        <v>0</v>
      </c>
      <c r="F72" s="412">
        <f>'Prior Year Progam'!I26</f>
        <v>0</v>
      </c>
      <c r="G72" s="414">
        <f>'Prior Year Progam'!K26</f>
        <v>0</v>
      </c>
      <c r="H72" s="414">
        <f>'Prior Year Progam'!L26</f>
        <v>0</v>
      </c>
      <c r="I72" s="414">
        <f>'Prior Year Progam'!M26</f>
        <v>0</v>
      </c>
      <c r="J72" s="414">
        <f>'Prior Year Progam'!N26</f>
        <v>0</v>
      </c>
      <c r="K72" s="414" t="str">
        <f>IF(Demand_1=NG_Demand,"n/a",'Prior Year Progam'!P26)</f>
        <v>n/a</v>
      </c>
      <c r="L72" s="414" t="str">
        <f>IF(Demand_1=NG_Demand,"n/a",'Prior Year Progam'!Q26)</f>
        <v>n/a</v>
      </c>
      <c r="M72" s="414" t="str">
        <f>IF(Demand_1=NG_Demand,"n/a",'Prior Year Progam'!R26)</f>
        <v>n/a</v>
      </c>
      <c r="N72" s="414" t="str">
        <f>IF(Demand_1=NG_Demand,"n/a",'Prior Year Progam'!S26)</f>
        <v>n/a</v>
      </c>
      <c r="O72" s="414">
        <f>'Prior Year Progam'!U26</f>
        <v>0</v>
      </c>
      <c r="P72" s="414">
        <f>'Prior Year Progam'!V26</f>
        <v>0</v>
      </c>
      <c r="Q72" s="414">
        <f>'Prior Year Progam'!W26</f>
        <v>0</v>
      </c>
      <c r="R72" s="414">
        <f>'Prior Year Progam'!X26</f>
        <v>0</v>
      </c>
    </row>
    <row r="73" spans="2:18">
      <c r="B73" s="411" t="str">
        <f t="shared" si="8"/>
        <v>Empty</v>
      </c>
      <c r="C73" s="412">
        <f>'Prior Year Progam'!F27</f>
        <v>0</v>
      </c>
      <c r="D73" s="412">
        <f>'Prior Year Progam'!G27</f>
        <v>0</v>
      </c>
      <c r="E73" s="412">
        <f>'Prior Year Progam'!H27</f>
        <v>0</v>
      </c>
      <c r="F73" s="412">
        <f>'Prior Year Progam'!I27</f>
        <v>0</v>
      </c>
      <c r="G73" s="414">
        <f>'Prior Year Progam'!K27</f>
        <v>0</v>
      </c>
      <c r="H73" s="414">
        <f>'Prior Year Progam'!L27</f>
        <v>0</v>
      </c>
      <c r="I73" s="414">
        <f>'Prior Year Progam'!M27</f>
        <v>0</v>
      </c>
      <c r="J73" s="414">
        <f>'Prior Year Progam'!N27</f>
        <v>0</v>
      </c>
      <c r="K73" s="414" t="str">
        <f>IF(Demand_1=NG_Demand,"n/a",'Prior Year Progam'!P27)</f>
        <v>n/a</v>
      </c>
      <c r="L73" s="414" t="str">
        <f>IF(Demand_1=NG_Demand,"n/a",'Prior Year Progam'!Q27)</f>
        <v>n/a</v>
      </c>
      <c r="M73" s="414" t="str">
        <f>IF(Demand_1=NG_Demand,"n/a",'Prior Year Progam'!R27)</f>
        <v>n/a</v>
      </c>
      <c r="N73" s="414" t="str">
        <f>IF(Demand_1=NG_Demand,"n/a",'Prior Year Progam'!S27)</f>
        <v>n/a</v>
      </c>
      <c r="O73" s="414">
        <f>'Prior Year Progam'!U27</f>
        <v>0</v>
      </c>
      <c r="P73" s="414">
        <f>'Prior Year Progam'!V27</f>
        <v>0</v>
      </c>
      <c r="Q73" s="414">
        <f>'Prior Year Progam'!W27</f>
        <v>0</v>
      </c>
      <c r="R73" s="414">
        <f>'Prior Year Progam'!X27</f>
        <v>0</v>
      </c>
    </row>
    <row r="74" spans="2:18">
      <c r="B74" s="411" t="str">
        <f t="shared" si="8"/>
        <v>Empty</v>
      </c>
      <c r="C74" s="412">
        <f>'Prior Year Progam'!F28</f>
        <v>0</v>
      </c>
      <c r="D74" s="412">
        <f>'Prior Year Progam'!G28</f>
        <v>0</v>
      </c>
      <c r="E74" s="412">
        <f>'Prior Year Progam'!H28</f>
        <v>0</v>
      </c>
      <c r="F74" s="412">
        <f>'Prior Year Progam'!I28</f>
        <v>0</v>
      </c>
      <c r="G74" s="414">
        <f>'Prior Year Progam'!K28</f>
        <v>0</v>
      </c>
      <c r="H74" s="414">
        <f>'Prior Year Progam'!L28</f>
        <v>0</v>
      </c>
      <c r="I74" s="414">
        <f>'Prior Year Progam'!M28</f>
        <v>0</v>
      </c>
      <c r="J74" s="414">
        <f>'Prior Year Progam'!N28</f>
        <v>0</v>
      </c>
      <c r="K74" s="414" t="str">
        <f>IF(Demand_1=NG_Demand,"n/a",'Prior Year Progam'!P28)</f>
        <v>n/a</v>
      </c>
      <c r="L74" s="414" t="str">
        <f>IF(Demand_1=NG_Demand,"n/a",'Prior Year Progam'!Q28)</f>
        <v>n/a</v>
      </c>
      <c r="M74" s="414" t="str">
        <f>IF(Demand_1=NG_Demand,"n/a",'Prior Year Progam'!R28)</f>
        <v>n/a</v>
      </c>
      <c r="N74" s="414" t="str">
        <f>IF(Demand_1=NG_Demand,"n/a",'Prior Year Progam'!S28)</f>
        <v>n/a</v>
      </c>
      <c r="O74" s="414">
        <f>'Prior Year Progam'!U28</f>
        <v>0</v>
      </c>
      <c r="P74" s="414">
        <f>'Prior Year Progam'!V28</f>
        <v>0</v>
      </c>
      <c r="Q74" s="414">
        <f>'Prior Year Progam'!W28</f>
        <v>0</v>
      </c>
      <c r="R74" s="414">
        <f>'Prior Year Progam'!X28</f>
        <v>0</v>
      </c>
    </row>
  </sheetData>
  <mergeCells count="4">
    <mergeCell ref="C53:F53"/>
    <mergeCell ref="G53:J53"/>
    <mergeCell ref="K53:N53"/>
    <mergeCell ref="O53:R5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0000"/>
  </sheetPr>
  <dimension ref="A2:J22"/>
  <sheetViews>
    <sheetView topLeftCell="B1" zoomScale="75" zoomScaleNormal="75" workbookViewId="0">
      <selection activeCell="B4" sqref="B4"/>
    </sheetView>
  </sheetViews>
  <sheetFormatPr defaultRowHeight="12.75"/>
  <cols>
    <col min="2" max="2" width="36.7109375" bestFit="1" customWidth="1"/>
    <col min="3" max="3" width="39" bestFit="1" customWidth="1"/>
    <col min="4" max="4" width="21.85546875" bestFit="1" customWidth="1"/>
    <col min="5" max="5" width="23" bestFit="1" customWidth="1"/>
    <col min="6" max="6" width="8.140625" bestFit="1" customWidth="1"/>
    <col min="7" max="7" width="1.42578125" customWidth="1"/>
    <col min="9" max="9" width="1.5703125" customWidth="1"/>
    <col min="10" max="10" width="45.140625" customWidth="1"/>
  </cols>
  <sheetData>
    <row r="2" spans="1:10">
      <c r="A2" s="409" t="s">
        <v>624</v>
      </c>
      <c r="B2" s="409" t="s">
        <v>85</v>
      </c>
      <c r="C2" s="409" t="str">
        <f>Data!B3</f>
        <v>Program Name</v>
      </c>
      <c r="D2" s="409" t="str">
        <f>Data!C3</f>
        <v>Sector</v>
      </c>
      <c r="E2" s="409" t="str">
        <f>Data!E3</f>
        <v>Channel</v>
      </c>
      <c r="F2" s="418" t="s">
        <v>657</v>
      </c>
      <c r="G2" s="102"/>
      <c r="H2" s="418" t="s">
        <v>658</v>
      </c>
      <c r="I2" s="102"/>
      <c r="J2" s="409" t="s">
        <v>85</v>
      </c>
    </row>
    <row r="3" spans="1:10">
      <c r="A3" s="411">
        <f>COUNTIF($B$3:$B$22,"&lt;="&amp;B3)</f>
        <v>20</v>
      </c>
      <c r="B3" s="411" t="str">
        <f>IF(Data!B4="Empty","*Hide*",Data!B4)</f>
        <v>Residential Solutions Program</v>
      </c>
      <c r="C3" s="411" t="str">
        <f>VLOOKUP(SMALL($A$3:$A$22,ROW()-2),$A$3:$B$22,2,FALSE)</f>
        <v>*Hide*</v>
      </c>
      <c r="D3" s="411" t="e">
        <f>VLOOKUP($C3,Data!$B$4:$E$23,MATCH(D$2,Data!$B$3:$E$3,0),FALSE)</f>
        <v>#N/A</v>
      </c>
      <c r="E3" s="411" t="e">
        <f>VLOOKUP($C3,Data!$B$4:$E$23,MATCH(E$2,Data!$B$3:$E$3,0),FALSE)</f>
        <v>#N/A</v>
      </c>
      <c r="F3" s="419">
        <f>IF(ISERROR(D3),MAX(List!$C$5:$C$17)+2,IF(E3=List!$E$10,MAX(List!$C$5:$C$17)+1,VLOOKUP(D3,List!$B$5:$C$17,2,FALSE)))</f>
        <v>13</v>
      </c>
      <c r="G3" s="102"/>
      <c r="H3" s="419">
        <f>RANK(F3,$F$3:$F$22,-1)+COUNTIF($F$3:F3,F3)-1</f>
        <v>4</v>
      </c>
      <c r="I3" s="102"/>
      <c r="J3" s="411" t="str">
        <f ca="1">OFFSET(C$3,MATCH(SMALL(H$3:H$22,ROW()-ROW(H$3)+1),H$3:H$22,0)-1,0)</f>
        <v>Access to Afford Energy &amp; Conservation</v>
      </c>
    </row>
    <row r="4" spans="1:10">
      <c r="A4" s="411">
        <f t="shared" ref="A4:A22" si="0">COUNTIF($B$3:$B$22,"&lt;="&amp;B4)</f>
        <v>18</v>
      </c>
      <c r="B4" s="411" t="str">
        <f>IF(Data!B5="Empty","*Hide*",Data!B5)</f>
        <v>Access to Afford Energy &amp; Conservation</v>
      </c>
      <c r="C4" s="411" t="str">
        <f t="shared" ref="C4:C22" si="1">VLOOKUP(SMALL($A$3:$A$22,ROW()-2),$A$3:$B$22,2,FALSE)</f>
        <v>*Hide*</v>
      </c>
      <c r="D4" s="411" t="e">
        <f>VLOOKUP($C4,Data!$B$4:$E$23,MATCH(D$2,Data!$B$3:$E$3,0),FALSE)</f>
        <v>#N/A</v>
      </c>
      <c r="E4" s="411" t="e">
        <f>VLOOKUP($C4,Data!$B$4:$E$23,MATCH(E$2,Data!$B$3:$E$3,0),FALSE)</f>
        <v>#N/A</v>
      </c>
      <c r="F4" s="419">
        <f>IF(ISERROR(D4),MAX(List!$C$5:$C$17)+2,IF(E4=List!$E$10,MAX(List!$C$5:$C$17)+1,VLOOKUP(D4,List!$B$5:$C$17,2,FALSE)))</f>
        <v>13</v>
      </c>
      <c r="G4" s="102"/>
      <c r="H4" s="419">
        <f>RANK(F4,$F$3:$F$22,-1)+COUNTIF($F$3:F4,F4)-1</f>
        <v>5</v>
      </c>
      <c r="I4" s="102"/>
      <c r="J4" s="411" t="str">
        <f t="shared" ref="J4:J22" ca="1" si="2">OFFSET(C$3,MATCH(SMALL(H$3:H$22,ROW()-ROW(H$3)+1),H$3:H$22,0)-1,0)</f>
        <v>Residential Solutions Program</v>
      </c>
    </row>
    <row r="5" spans="1:10">
      <c r="A5" s="411">
        <f t="shared" si="0"/>
        <v>19</v>
      </c>
      <c r="B5" s="411" t="str">
        <f>IF(Data!B6="Empty","*Hide*",Data!B6)</f>
        <v>Commercial Solutions</v>
      </c>
      <c r="C5" s="411" t="str">
        <f t="shared" si="1"/>
        <v>*Hide*</v>
      </c>
      <c r="D5" s="411" t="e">
        <f>VLOOKUP($C5,Data!$B$4:$E$23,MATCH(D$2,Data!$B$3:$E$3,0),FALSE)</f>
        <v>#N/A</v>
      </c>
      <c r="E5" s="411" t="e">
        <f>VLOOKUP($C5,Data!$B$4:$E$23,MATCH(E$2,Data!$B$3:$E$3,0),FALSE)</f>
        <v>#N/A</v>
      </c>
      <c r="F5" s="419">
        <f>IF(ISERROR(D5),MAX(List!$C$5:$C$17)+2,IF(E5=List!$E$10,MAX(List!$C$5:$C$17)+1,VLOOKUP(D5,List!$B$5:$C$17,2,FALSE)))</f>
        <v>13</v>
      </c>
      <c r="G5" s="102"/>
      <c r="H5" s="419">
        <f>RANK(F5,$F$3:$F$22,-1)+COUNTIF($F$3:F5,F5)-1</f>
        <v>6</v>
      </c>
      <c r="I5" s="102"/>
      <c r="J5" s="411" t="str">
        <f t="shared" ca="1" si="2"/>
        <v>Commercial Solutions</v>
      </c>
    </row>
    <row r="6" spans="1:10">
      <c r="A6" s="411">
        <f t="shared" si="0"/>
        <v>17</v>
      </c>
      <c r="B6" s="411" t="str">
        <f>IF(Data!B7="Empty","*Hide*",Data!B7)</f>
        <v>*Hide*</v>
      </c>
      <c r="C6" s="411" t="str">
        <f t="shared" si="1"/>
        <v>*Hide*</v>
      </c>
      <c r="D6" s="411" t="e">
        <f>VLOOKUP($C6,Data!$B$4:$E$23,MATCH(D$2,Data!$B$3:$E$3,0),FALSE)</f>
        <v>#N/A</v>
      </c>
      <c r="E6" s="411" t="e">
        <f>VLOOKUP($C6,Data!$B$4:$E$23,MATCH(E$2,Data!$B$3:$E$3,0),FALSE)</f>
        <v>#N/A</v>
      </c>
      <c r="F6" s="419">
        <f>IF(ISERROR(D6),MAX(List!$C$5:$C$17)+2,IF(E6=List!$E$10,MAX(List!$C$5:$C$17)+1,VLOOKUP(D6,List!$B$5:$C$17,2,FALSE)))</f>
        <v>13</v>
      </c>
      <c r="G6" s="102"/>
      <c r="H6" s="419">
        <f>RANK(F6,$F$3:$F$22,-1)+COUNTIF($F$3:F6,F6)-1</f>
        <v>7</v>
      </c>
      <c r="I6" s="102"/>
      <c r="J6" s="411" t="str">
        <f t="shared" ca="1" si="2"/>
        <v>*Hide*</v>
      </c>
    </row>
    <row r="7" spans="1:10">
      <c r="A7" s="411">
        <f t="shared" si="0"/>
        <v>17</v>
      </c>
      <c r="B7" s="411" t="str">
        <f>IF(Data!B8="Empty","*Hide*",Data!B8)</f>
        <v>*Hide*</v>
      </c>
      <c r="C7" s="411" t="str">
        <f t="shared" si="1"/>
        <v>*Hide*</v>
      </c>
      <c r="D7" s="411" t="e">
        <f>VLOOKUP($C7,Data!$B$4:$E$23,MATCH(D$2,Data!$B$3:$E$3,0),FALSE)</f>
        <v>#N/A</v>
      </c>
      <c r="E7" s="411" t="e">
        <f>VLOOKUP($C7,Data!$B$4:$E$23,MATCH(E$2,Data!$B$3:$E$3,0),FALSE)</f>
        <v>#N/A</v>
      </c>
      <c r="F7" s="419">
        <f>IF(ISERROR(D7),MAX(List!$C$5:$C$17)+2,IF(E7=List!$E$10,MAX(List!$C$5:$C$17)+1,VLOOKUP(D7,List!$B$5:$C$17,2,FALSE)))</f>
        <v>13</v>
      </c>
      <c r="G7" s="102"/>
      <c r="H7" s="419">
        <f>RANK(F7,$F$3:$F$22,-1)+COUNTIF($F$3:F7,F7)-1</f>
        <v>8</v>
      </c>
      <c r="I7" s="102"/>
      <c r="J7" s="411" t="str">
        <f t="shared" ca="1" si="2"/>
        <v>*Hide*</v>
      </c>
    </row>
    <row r="8" spans="1:10">
      <c r="A8" s="411">
        <f t="shared" si="0"/>
        <v>17</v>
      </c>
      <c r="B8" s="411" t="str">
        <f>IF(Data!B9="Empty","*Hide*",Data!B9)</f>
        <v>*Hide*</v>
      </c>
      <c r="C8" s="411" t="str">
        <f t="shared" si="1"/>
        <v>*Hide*</v>
      </c>
      <c r="D8" s="411" t="e">
        <f>VLOOKUP($C8,Data!$B$4:$E$23,MATCH(D$2,Data!$B$3:$E$3,0),FALSE)</f>
        <v>#N/A</v>
      </c>
      <c r="E8" s="411" t="e">
        <f>VLOOKUP($C8,Data!$B$4:$E$23,MATCH(E$2,Data!$B$3:$E$3,0),FALSE)</f>
        <v>#N/A</v>
      </c>
      <c r="F8" s="419">
        <f>IF(ISERROR(D8),MAX(List!$C$5:$C$17)+2,IF(E8=List!$E$10,MAX(List!$C$5:$C$17)+1,VLOOKUP(D8,List!$B$5:$C$17,2,FALSE)))</f>
        <v>13</v>
      </c>
      <c r="G8" s="102"/>
      <c r="H8" s="419">
        <f>RANK(F8,$F$3:$F$22,-1)+COUNTIF($F$3:F8,F8)-1</f>
        <v>9</v>
      </c>
      <c r="I8" s="102"/>
      <c r="J8" s="411" t="str">
        <f t="shared" ca="1" si="2"/>
        <v>*Hide*</v>
      </c>
    </row>
    <row r="9" spans="1:10">
      <c r="A9" s="411">
        <f t="shared" si="0"/>
        <v>17</v>
      </c>
      <c r="B9" s="411" t="str">
        <f>IF(Data!B10="Empty","*Hide*",Data!B10)</f>
        <v>*Hide*</v>
      </c>
      <c r="C9" s="411" t="str">
        <f t="shared" si="1"/>
        <v>*Hide*</v>
      </c>
      <c r="D9" s="411" t="e">
        <f>VLOOKUP($C9,Data!$B$4:$E$23,MATCH(D$2,Data!$B$3:$E$3,0),FALSE)</f>
        <v>#N/A</v>
      </c>
      <c r="E9" s="411" t="e">
        <f>VLOOKUP($C9,Data!$B$4:$E$23,MATCH(E$2,Data!$B$3:$E$3,0),FALSE)</f>
        <v>#N/A</v>
      </c>
      <c r="F9" s="419">
        <f>IF(ISERROR(D9),MAX(List!$C$5:$C$17)+2,IF(E9=List!$E$10,MAX(List!$C$5:$C$17)+1,VLOOKUP(D9,List!$B$5:$C$17,2,FALSE)))</f>
        <v>13</v>
      </c>
      <c r="G9" s="102"/>
      <c r="H9" s="419">
        <f>RANK(F9,$F$3:$F$22,-1)+COUNTIF($F$3:F9,F9)-1</f>
        <v>10</v>
      </c>
      <c r="I9" s="102"/>
      <c r="J9" s="411" t="str">
        <f t="shared" ca="1" si="2"/>
        <v>*Hide*</v>
      </c>
    </row>
    <row r="10" spans="1:10">
      <c r="A10" s="411">
        <f t="shared" si="0"/>
        <v>17</v>
      </c>
      <c r="B10" s="411" t="str">
        <f>IF(Data!B11="Empty","*Hide*",Data!B11)</f>
        <v>*Hide*</v>
      </c>
      <c r="C10" s="411" t="str">
        <f t="shared" si="1"/>
        <v>*Hide*</v>
      </c>
      <c r="D10" s="411" t="e">
        <f>VLOOKUP($C10,Data!$B$4:$E$23,MATCH(D$2,Data!$B$3:$E$3,0),FALSE)</f>
        <v>#N/A</v>
      </c>
      <c r="E10" s="411" t="e">
        <f>VLOOKUP($C10,Data!$B$4:$E$23,MATCH(E$2,Data!$B$3:$E$3,0),FALSE)</f>
        <v>#N/A</v>
      </c>
      <c r="F10" s="419">
        <f>IF(ISERROR(D10),MAX(List!$C$5:$C$17)+2,IF(E10=List!$E$10,MAX(List!$C$5:$C$17)+1,VLOOKUP(D10,List!$B$5:$C$17,2,FALSE)))</f>
        <v>13</v>
      </c>
      <c r="G10" s="102"/>
      <c r="H10" s="419">
        <f>RANK(F10,$F$3:$F$22,-1)+COUNTIF($F$3:F10,F10)-1</f>
        <v>11</v>
      </c>
      <c r="I10" s="102"/>
      <c r="J10" s="411" t="str">
        <f t="shared" ca="1" si="2"/>
        <v>*Hide*</v>
      </c>
    </row>
    <row r="11" spans="1:10">
      <c r="A11" s="411">
        <f t="shared" si="0"/>
        <v>17</v>
      </c>
      <c r="B11" s="411" t="str">
        <f>IF(Data!B12="Empty","*Hide*",Data!B12)</f>
        <v>*Hide*</v>
      </c>
      <c r="C11" s="411" t="str">
        <f t="shared" si="1"/>
        <v>*Hide*</v>
      </c>
      <c r="D11" s="411" t="e">
        <f>VLOOKUP($C11,Data!$B$4:$E$23,MATCH(D$2,Data!$B$3:$E$3,0),FALSE)</f>
        <v>#N/A</v>
      </c>
      <c r="E11" s="411" t="e">
        <f>VLOOKUP($C11,Data!$B$4:$E$23,MATCH(E$2,Data!$B$3:$E$3,0),FALSE)</f>
        <v>#N/A</v>
      </c>
      <c r="F11" s="419">
        <f>IF(ISERROR(D11),MAX(List!$C$5:$C$17)+2,IF(E11=List!$E$10,MAX(List!$C$5:$C$17)+1,VLOOKUP(D11,List!$B$5:$C$17,2,FALSE)))</f>
        <v>13</v>
      </c>
      <c r="G11" s="102"/>
      <c r="H11" s="419">
        <f>RANK(F11,$F$3:$F$22,-1)+COUNTIF($F$3:F11,F11)-1</f>
        <v>12</v>
      </c>
      <c r="I11" s="102"/>
      <c r="J11" s="411" t="str">
        <f t="shared" ca="1" si="2"/>
        <v>*Hide*</v>
      </c>
    </row>
    <row r="12" spans="1:10">
      <c r="A12" s="411">
        <f t="shared" si="0"/>
        <v>17</v>
      </c>
      <c r="B12" s="411" t="str">
        <f>IF(Data!B13="Empty","*Hide*",Data!B13)</f>
        <v>*Hide*</v>
      </c>
      <c r="C12" s="411" t="str">
        <f t="shared" si="1"/>
        <v>*Hide*</v>
      </c>
      <c r="D12" s="411" t="e">
        <f>VLOOKUP($C12,Data!$B$4:$E$23,MATCH(D$2,Data!$B$3:$E$3,0),FALSE)</f>
        <v>#N/A</v>
      </c>
      <c r="E12" s="411" t="e">
        <f>VLOOKUP($C12,Data!$B$4:$E$23,MATCH(E$2,Data!$B$3:$E$3,0),FALSE)</f>
        <v>#N/A</v>
      </c>
      <c r="F12" s="419">
        <f>IF(ISERROR(D12),MAX(List!$C$5:$C$17)+2,IF(E12=List!$E$10,MAX(List!$C$5:$C$17)+1,VLOOKUP(D12,List!$B$5:$C$17,2,FALSE)))</f>
        <v>13</v>
      </c>
      <c r="G12" s="102"/>
      <c r="H12" s="419">
        <f>RANK(F12,$F$3:$F$22,-1)+COUNTIF($F$3:F12,F12)-1</f>
        <v>13</v>
      </c>
      <c r="I12" s="102"/>
      <c r="J12" s="411" t="str">
        <f t="shared" ca="1" si="2"/>
        <v>*Hide*</v>
      </c>
    </row>
    <row r="13" spans="1:10">
      <c r="A13" s="411">
        <f t="shared" si="0"/>
        <v>17</v>
      </c>
      <c r="B13" s="411" t="str">
        <f>IF(Data!B14="Empty","*Hide*",Data!B14)</f>
        <v>*Hide*</v>
      </c>
      <c r="C13" s="411" t="str">
        <f t="shared" si="1"/>
        <v>*Hide*</v>
      </c>
      <c r="D13" s="411" t="e">
        <f>VLOOKUP($C13,Data!$B$4:$E$23,MATCH(D$2,Data!$B$3:$E$3,0),FALSE)</f>
        <v>#N/A</v>
      </c>
      <c r="E13" s="411" t="e">
        <f>VLOOKUP($C13,Data!$B$4:$E$23,MATCH(E$2,Data!$B$3:$E$3,0),FALSE)</f>
        <v>#N/A</v>
      </c>
      <c r="F13" s="419">
        <f>IF(ISERROR(D13),MAX(List!$C$5:$C$17)+2,IF(E13=List!$E$10,MAX(List!$C$5:$C$17)+1,VLOOKUP(D13,List!$B$5:$C$17,2,FALSE)))</f>
        <v>13</v>
      </c>
      <c r="G13" s="102"/>
      <c r="H13" s="419">
        <f>RANK(F13,$F$3:$F$22,-1)+COUNTIF($F$3:F13,F13)-1</f>
        <v>14</v>
      </c>
      <c r="I13" s="102"/>
      <c r="J13" s="411" t="str">
        <f t="shared" ca="1" si="2"/>
        <v>*Hide*</v>
      </c>
    </row>
    <row r="14" spans="1:10">
      <c r="A14" s="411">
        <f t="shared" si="0"/>
        <v>17</v>
      </c>
      <c r="B14" s="411" t="str">
        <f>IF(Data!B15="Empty","*Hide*",Data!B15)</f>
        <v>*Hide*</v>
      </c>
      <c r="C14" s="411" t="str">
        <f t="shared" si="1"/>
        <v>*Hide*</v>
      </c>
      <c r="D14" s="411" t="e">
        <f>VLOOKUP($C14,Data!$B$4:$E$23,MATCH(D$2,Data!$B$3:$E$3,0),FALSE)</f>
        <v>#N/A</v>
      </c>
      <c r="E14" s="411" t="e">
        <f>VLOOKUP($C14,Data!$B$4:$E$23,MATCH(E$2,Data!$B$3:$E$3,0),FALSE)</f>
        <v>#N/A</v>
      </c>
      <c r="F14" s="419">
        <f>IF(ISERROR(D14),MAX(List!$C$5:$C$17)+2,IF(E14=List!$E$10,MAX(List!$C$5:$C$17)+1,VLOOKUP(D14,List!$B$5:$C$17,2,FALSE)))</f>
        <v>13</v>
      </c>
      <c r="G14" s="102"/>
      <c r="H14" s="419">
        <f>RANK(F14,$F$3:$F$22,-1)+COUNTIF($F$3:F14,F14)-1</f>
        <v>15</v>
      </c>
      <c r="I14" s="102"/>
      <c r="J14" s="411" t="str">
        <f t="shared" ca="1" si="2"/>
        <v>*Hide*</v>
      </c>
    </row>
    <row r="15" spans="1:10">
      <c r="A15" s="411">
        <f t="shared" si="0"/>
        <v>17</v>
      </c>
      <c r="B15" s="411" t="str">
        <f>IF(Data!B16="Empty","*Hide*",Data!B16)</f>
        <v>*Hide*</v>
      </c>
      <c r="C15" s="411" t="str">
        <f t="shared" si="1"/>
        <v>*Hide*</v>
      </c>
      <c r="D15" s="411" t="e">
        <f>VLOOKUP($C15,Data!$B$4:$E$23,MATCH(D$2,Data!$B$3:$E$3,0),FALSE)</f>
        <v>#N/A</v>
      </c>
      <c r="E15" s="411" t="e">
        <f>VLOOKUP($C15,Data!$B$4:$E$23,MATCH(E$2,Data!$B$3:$E$3,0),FALSE)</f>
        <v>#N/A</v>
      </c>
      <c r="F15" s="419">
        <f>IF(ISERROR(D15),MAX(List!$C$5:$C$17)+2,IF(E15=List!$E$10,MAX(List!$C$5:$C$17)+1,VLOOKUP(D15,List!$B$5:$C$17,2,FALSE)))</f>
        <v>13</v>
      </c>
      <c r="G15" s="102"/>
      <c r="H15" s="419">
        <f>RANK(F15,$F$3:$F$22,-1)+COUNTIF($F$3:F15,F15)-1</f>
        <v>16</v>
      </c>
      <c r="I15" s="102"/>
      <c r="J15" s="411" t="str">
        <f t="shared" ca="1" si="2"/>
        <v>*Hide*</v>
      </c>
    </row>
    <row r="16" spans="1:10">
      <c r="A16" s="411">
        <f t="shared" si="0"/>
        <v>17</v>
      </c>
      <c r="B16" s="411" t="str">
        <f>IF(Data!B17="Empty","*Hide*",Data!B17)</f>
        <v>*Hide*</v>
      </c>
      <c r="C16" s="411" t="str">
        <f t="shared" si="1"/>
        <v>*Hide*</v>
      </c>
      <c r="D16" s="411" t="e">
        <f>VLOOKUP($C16,Data!$B$4:$E$23,MATCH(D$2,Data!$B$3:$E$3,0),FALSE)</f>
        <v>#N/A</v>
      </c>
      <c r="E16" s="411" t="e">
        <f>VLOOKUP($C16,Data!$B$4:$E$23,MATCH(E$2,Data!$B$3:$E$3,0),FALSE)</f>
        <v>#N/A</v>
      </c>
      <c r="F16" s="419">
        <f>IF(ISERROR(D16),MAX(List!$C$5:$C$17)+2,IF(E16=List!$E$10,MAX(List!$C$5:$C$17)+1,VLOOKUP(D16,List!$B$5:$C$17,2,FALSE)))</f>
        <v>13</v>
      </c>
      <c r="G16" s="102"/>
      <c r="H16" s="419">
        <f>RANK(F16,$F$3:$F$22,-1)+COUNTIF($F$3:F16,F16)-1</f>
        <v>17</v>
      </c>
      <c r="I16" s="102"/>
      <c r="J16" s="411" t="str">
        <f t="shared" ca="1" si="2"/>
        <v>*Hide*</v>
      </c>
    </row>
    <row r="17" spans="1:10">
      <c r="A17" s="411">
        <f t="shared" si="0"/>
        <v>17</v>
      </c>
      <c r="B17" s="411" t="str">
        <f>IF(Data!B18="Empty","*Hide*",Data!B18)</f>
        <v>*Hide*</v>
      </c>
      <c r="C17" s="411" t="str">
        <f t="shared" si="1"/>
        <v>*Hide*</v>
      </c>
      <c r="D17" s="411" t="e">
        <f>VLOOKUP($C17,Data!$B$4:$E$23,MATCH(D$2,Data!$B$3:$E$3,0),FALSE)</f>
        <v>#N/A</v>
      </c>
      <c r="E17" s="411" t="e">
        <f>VLOOKUP($C17,Data!$B$4:$E$23,MATCH(E$2,Data!$B$3:$E$3,0),FALSE)</f>
        <v>#N/A</v>
      </c>
      <c r="F17" s="419">
        <f>IF(ISERROR(D17),MAX(List!$C$5:$C$17)+2,IF(E17=List!$E$10,MAX(List!$C$5:$C$17)+1,VLOOKUP(D17,List!$B$5:$C$17,2,FALSE)))</f>
        <v>13</v>
      </c>
      <c r="G17" s="102"/>
      <c r="H17" s="419">
        <f>RANK(F17,$F$3:$F$22,-1)+COUNTIF($F$3:F17,F17)-1</f>
        <v>18</v>
      </c>
      <c r="I17" s="102"/>
      <c r="J17" s="411" t="str">
        <f t="shared" ca="1" si="2"/>
        <v>*Hide*</v>
      </c>
    </row>
    <row r="18" spans="1:10">
      <c r="A18" s="411">
        <f t="shared" si="0"/>
        <v>17</v>
      </c>
      <c r="B18" s="411" t="str">
        <f>IF(Data!B19="Empty","*Hide*",Data!B19)</f>
        <v>*Hide*</v>
      </c>
      <c r="C18" s="411" t="str">
        <f t="shared" si="1"/>
        <v>*Hide*</v>
      </c>
      <c r="D18" s="411" t="e">
        <f>VLOOKUP($C18,Data!$B$4:$E$23,MATCH(D$2,Data!$B$3:$E$3,0),FALSE)</f>
        <v>#N/A</v>
      </c>
      <c r="E18" s="411" t="e">
        <f>VLOOKUP($C18,Data!$B$4:$E$23,MATCH(E$2,Data!$B$3:$E$3,0),FALSE)</f>
        <v>#N/A</v>
      </c>
      <c r="F18" s="419">
        <f>IF(ISERROR(D18),MAX(List!$C$5:$C$17)+2,IF(E18=List!$E$10,MAX(List!$C$5:$C$17)+1,VLOOKUP(D18,List!$B$5:$C$17,2,FALSE)))</f>
        <v>13</v>
      </c>
      <c r="G18" s="102"/>
      <c r="H18" s="419">
        <f>RANK(F18,$F$3:$F$22,-1)+COUNTIF($F$3:F18,F18)-1</f>
        <v>19</v>
      </c>
      <c r="I18" s="102"/>
      <c r="J18" s="411" t="str">
        <f t="shared" ca="1" si="2"/>
        <v>*Hide*</v>
      </c>
    </row>
    <row r="19" spans="1:10">
      <c r="A19" s="411">
        <f t="shared" si="0"/>
        <v>17</v>
      </c>
      <c r="B19" s="411" t="str">
        <f>IF(Data!B20="Empty","*Hide*",Data!B20)</f>
        <v>*Hide*</v>
      </c>
      <c r="C19" s="411" t="str">
        <f t="shared" si="1"/>
        <v>*Hide*</v>
      </c>
      <c r="D19" s="411" t="e">
        <f>VLOOKUP($C19,Data!$B$4:$E$23,MATCH(D$2,Data!$B$3:$E$3,0),FALSE)</f>
        <v>#N/A</v>
      </c>
      <c r="E19" s="411" t="e">
        <f>VLOOKUP($C19,Data!$B$4:$E$23,MATCH(E$2,Data!$B$3:$E$3,0),FALSE)</f>
        <v>#N/A</v>
      </c>
      <c r="F19" s="419">
        <f>IF(ISERROR(D19),MAX(List!$C$5:$C$17)+2,IF(E19=List!$E$10,MAX(List!$C$5:$C$17)+1,VLOOKUP(D19,List!$B$5:$C$17,2,FALSE)))</f>
        <v>13</v>
      </c>
      <c r="G19" s="102"/>
      <c r="H19" s="419">
        <f>RANK(F19,$F$3:$F$22,-1)+COUNTIF($F$3:F19,F19)-1</f>
        <v>20</v>
      </c>
      <c r="I19" s="102"/>
      <c r="J19" s="411" t="str">
        <f t="shared" ca="1" si="2"/>
        <v>*Hide*</v>
      </c>
    </row>
    <row r="20" spans="1:10">
      <c r="A20" s="411">
        <f t="shared" si="0"/>
        <v>17</v>
      </c>
      <c r="B20" s="411" t="str">
        <f>IF(Data!B21="Empty","*Hide*",Data!B21)</f>
        <v>*Hide*</v>
      </c>
      <c r="C20" s="411" t="str">
        <f t="shared" si="1"/>
        <v>Access to Afford Energy &amp; Conservation</v>
      </c>
      <c r="D20" s="411" t="str">
        <f>VLOOKUP($C20,Data!$B$4:$E$23,MATCH(D$2,Data!$B$3:$E$3,0),FALSE)</f>
        <v>Residential</v>
      </c>
      <c r="E20" s="411" t="str">
        <f>VLOOKUP($C20,Data!$B$4:$E$23,MATCH(E$2,Data!$B$3:$E$3,0),FALSE)</f>
        <v>Implementing Contractor</v>
      </c>
      <c r="F20" s="419">
        <f>IF(ISERROR(D20),MAX(List!$C$5:$C$17)+2,IF(E20=List!$E$10,MAX(List!$C$5:$C$17)+1,VLOOKUP(D20,List!$B$5:$C$17,2,FALSE)))</f>
        <v>1</v>
      </c>
      <c r="G20" s="102"/>
      <c r="H20" s="419">
        <f>RANK(F20,$F$3:$F$22,-1)+COUNTIF($F$3:F20,F20)-1</f>
        <v>1</v>
      </c>
      <c r="I20" s="102"/>
      <c r="J20" s="411" t="str">
        <f t="shared" ca="1" si="2"/>
        <v>*Hide*</v>
      </c>
    </row>
    <row r="21" spans="1:10">
      <c r="A21" s="411">
        <f t="shared" si="0"/>
        <v>17</v>
      </c>
      <c r="B21" s="411" t="str">
        <f>IF(Data!B22="Empty","*Hide*",Data!B22)</f>
        <v>*Hide*</v>
      </c>
      <c r="C21" s="411" t="str">
        <f t="shared" si="1"/>
        <v>Commercial Solutions</v>
      </c>
      <c r="D21" s="411" t="str">
        <f>VLOOKUP($C21,Data!$B$4:$E$23,MATCH(D$2,Data!$B$3:$E$3,0),FALSE)</f>
        <v>Commercial &amp; Industrial</v>
      </c>
      <c r="E21" s="411" t="str">
        <f>VLOOKUP($C21,Data!$B$4:$E$23,MATCH(E$2,Data!$B$3:$E$3,0),FALSE)</f>
        <v>Implementing Contractor</v>
      </c>
      <c r="F21" s="419">
        <f>IF(ISERROR(D21),MAX(List!$C$5:$C$17)+2,IF(E21=List!$E$10,MAX(List!$C$5:$C$17)+1,VLOOKUP(D21,List!$B$5:$C$17,2,FALSE)))</f>
        <v>4</v>
      </c>
      <c r="G21" s="102"/>
      <c r="H21" s="419">
        <f>RANK(F21,$F$3:$F$22,-1)+COUNTIF($F$3:F21,F21)-1</f>
        <v>3</v>
      </c>
      <c r="I21" s="102"/>
      <c r="J21" s="411" t="str">
        <f t="shared" ca="1" si="2"/>
        <v>*Hide*</v>
      </c>
    </row>
    <row r="22" spans="1:10">
      <c r="A22" s="411">
        <f t="shared" si="0"/>
        <v>17</v>
      </c>
      <c r="B22" s="411" t="str">
        <f>IF(Data!B23="Empty","*Hide*",Data!B23)</f>
        <v>*Hide*</v>
      </c>
      <c r="C22" s="411" t="str">
        <f t="shared" si="1"/>
        <v>Residential Solutions Program</v>
      </c>
      <c r="D22" s="411" t="str">
        <f>VLOOKUP($C22,Data!$B$4:$E$23,MATCH(D$2,Data!$B$3:$E$3,0),FALSE)</f>
        <v>Res/Small Business</v>
      </c>
      <c r="E22" s="411" t="str">
        <f>VLOOKUP($C22,Data!$B$4:$E$23,MATCH(E$2,Data!$B$3:$E$3,0),FALSE)</f>
        <v>Implementing Contractor</v>
      </c>
      <c r="F22" s="419">
        <f>IF(ISERROR(D22),MAX(List!$C$5:$C$17)+2,IF(E22=List!$E$10,MAX(List!$C$5:$C$17)+1,VLOOKUP(D22,List!$B$5:$C$17,2,FALSE)))</f>
        <v>3</v>
      </c>
      <c r="G22" s="102"/>
      <c r="H22" s="419">
        <f>RANK(F22,$F$3:$F$22,-1)+COUNTIF($F$3:F22,F22)-1</f>
        <v>2</v>
      </c>
      <c r="I22" s="102"/>
      <c r="J22" s="411" t="str">
        <f t="shared" ca="1" si="2"/>
        <v>*Hide*</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0000"/>
  </sheetPr>
  <dimension ref="B1:O126"/>
  <sheetViews>
    <sheetView zoomScale="120" zoomScaleNormal="120" workbookViewId="0">
      <selection activeCell="E4" sqref="E4"/>
    </sheetView>
  </sheetViews>
  <sheetFormatPr defaultRowHeight="12.75"/>
  <cols>
    <col min="1" max="1" width="5" customWidth="1"/>
    <col min="2" max="2" width="35.7109375" customWidth="1"/>
    <col min="3" max="3" width="21.85546875" bestFit="1" customWidth="1"/>
    <col min="4" max="4" width="26.85546875" bestFit="1" customWidth="1"/>
    <col min="5" max="5" width="13.42578125" customWidth="1"/>
    <col min="6" max="6" width="13.85546875" bestFit="1" customWidth="1"/>
    <col min="7" max="7" width="15.7109375" bestFit="1" customWidth="1"/>
    <col min="8" max="8" width="12.140625" bestFit="1" customWidth="1"/>
    <col min="9" max="9" width="12" customWidth="1"/>
    <col min="11" max="11" width="11.5703125" bestFit="1" customWidth="1"/>
    <col min="12" max="12" width="14" customWidth="1"/>
    <col min="13" max="13" width="13" customWidth="1"/>
    <col min="14" max="14" width="13.85546875" bestFit="1" customWidth="1"/>
    <col min="15" max="15" width="21.85546875" bestFit="1" customWidth="1"/>
    <col min="16" max="16" width="12.140625" bestFit="1" customWidth="1"/>
    <col min="17" max="17" width="12.7109375" bestFit="1" customWidth="1"/>
    <col min="18" max="18" width="12" bestFit="1" customWidth="1"/>
    <col min="22" max="22" width="10.42578125" bestFit="1" customWidth="1"/>
    <col min="23" max="23" width="11.5703125" bestFit="1" customWidth="1"/>
  </cols>
  <sheetData>
    <row r="1" spans="2:12">
      <c r="B1" s="237"/>
    </row>
    <row r="2" spans="2:12">
      <c r="B2" s="76" t="s">
        <v>659</v>
      </c>
    </row>
    <row r="3" spans="2:12">
      <c r="B3" s="409" t="s">
        <v>431</v>
      </c>
      <c r="C3" s="409" t="s">
        <v>660</v>
      </c>
      <c r="D3" s="409" t="s">
        <v>48</v>
      </c>
      <c r="E3" s="409" t="s">
        <v>56</v>
      </c>
      <c r="F3" s="409" t="s">
        <v>57</v>
      </c>
      <c r="G3" s="409" t="s">
        <v>661</v>
      </c>
      <c r="H3" s="409" t="s">
        <v>652</v>
      </c>
      <c r="I3" s="409" t="s">
        <v>662</v>
      </c>
      <c r="J3" s="335" t="s">
        <v>663</v>
      </c>
      <c r="K3" s="335" t="s">
        <v>664</v>
      </c>
      <c r="L3" s="335" t="s">
        <v>665</v>
      </c>
    </row>
    <row r="4" spans="2:12">
      <c r="B4" s="414" t="str">
        <f>IF(Demand_1=NG_Demand,"n/a",'Evaluated Savings'!D26/1000)</f>
        <v>n/a</v>
      </c>
      <c r="C4" s="414">
        <f>IF(Demand_1=NG_Demand,'Evaluated Savings'!E26,'Evaluated Savings'!E26/1000)</f>
        <v>3639823.76</v>
      </c>
      <c r="D4" s="420">
        <f>'Actual Expenses'!J91</f>
        <v>10370539.26</v>
      </c>
      <c r="E4" s="420">
        <f>LCFC!J33</f>
        <v>0</v>
      </c>
      <c r="F4" s="420">
        <f>Incentives!D21</f>
        <v>1032805.6</v>
      </c>
      <c r="G4" s="420">
        <f>'Cost-Benefits'!I27*1000</f>
        <v>13565076.799999999</v>
      </c>
      <c r="H4" s="421">
        <f>'Cost-Benefits'!J27</f>
        <v>2.2710197555360772</v>
      </c>
      <c r="I4" s="421">
        <f>'Other CB Test'!I26</f>
        <v>1.68</v>
      </c>
      <c r="J4" s="336">
        <f>Incentives!D14</f>
        <v>5.0000000000000001E-3</v>
      </c>
      <c r="K4" s="336">
        <f>Incentives!F13</f>
        <v>6.8684884025335905E-3</v>
      </c>
      <c r="L4" s="336">
        <f>Incentives!D17</f>
        <v>1.37</v>
      </c>
    </row>
    <row r="7" spans="2:12">
      <c r="B7" s="76" t="s">
        <v>666</v>
      </c>
    </row>
    <row r="8" spans="2:12">
      <c r="B8" s="409" t="s">
        <v>85</v>
      </c>
      <c r="C8" s="409" t="s">
        <v>643</v>
      </c>
      <c r="D8" s="409" t="s">
        <v>644</v>
      </c>
      <c r="E8" s="418" t="s">
        <v>401</v>
      </c>
      <c r="F8" s="418" t="s">
        <v>402</v>
      </c>
    </row>
    <row r="9" spans="2:12">
      <c r="B9" s="411" t="str">
        <f ca="1">Order!J3</f>
        <v>Access to Afford Energy &amp; Conservation</v>
      </c>
      <c r="C9" s="422" t="str">
        <f ca="1">IF(ISERROR(VLOOKUP(B9,Data!$B$4:$N$23,2,FALSE)),"-",VLOOKUP(B9,Data!$B$4:$N$23,2,FALSE))</f>
        <v>Residential</v>
      </c>
      <c r="D9" s="423" t="str">
        <f ca="1">IF(ISERROR(VLOOKUP(B9,Data!$B$4:$N$23,3,FALSE)),"-",VLOOKUP(B9,Data!$B$4:$N$23,3,FALSE))</f>
        <v>Prescriptive/Standard Offer</v>
      </c>
      <c r="E9" s="420">
        <f ca="1">IF(ISERROR(VLOOKUP(B9,Data!$B$4:$N$23,10,FALSE)),"-",VLOOKUP(B9,Data!$B$4:$N$23,10,FALSE))</f>
        <v>1947356.51</v>
      </c>
      <c r="F9" s="420">
        <f ca="1">IF(ISERROR(VLOOKUP(B9,Data!$B$29:$N$48,10,FALSE)),"-",VLOOKUP(B9,Data!$B$29:$N$48,10,FALSE))</f>
        <v>1451885.4200000002</v>
      </c>
    </row>
    <row r="10" spans="2:12">
      <c r="B10" s="411" t="str">
        <f ca="1">Order!J4</f>
        <v>Residential Solutions Program</v>
      </c>
      <c r="C10" s="422" t="str">
        <f ca="1">IF(ISERROR(VLOOKUP(B10,Data!$B$4:$N$23,2,FALSE)),"-",VLOOKUP(B10,Data!$B$4:$N$23,2,FALSE))</f>
        <v>Res/Small Business</v>
      </c>
      <c r="D10" s="423" t="str">
        <f ca="1">IF(ISERROR(VLOOKUP(B10,Data!$B$4:$N$23,3,FALSE)),"-",VLOOKUP(B10,Data!$B$4:$N$23,3,FALSE))</f>
        <v>Prescriptive/Standard Offer</v>
      </c>
      <c r="E10" s="420">
        <f ca="1">IF(ISERROR(VLOOKUP(B10,Data!$B$4:$N$23,10,FALSE)),"-",VLOOKUP(B10,Data!$B$4:$N$23,10,FALSE))</f>
        <v>7035299.9199999999</v>
      </c>
      <c r="F10" s="420">
        <f ca="1">IF(ISERROR(VLOOKUP(B10,Data!$B$29:$N$48,10,FALSE)),"-",VLOOKUP(B10,Data!$B$29:$N$48,10,FALSE))</f>
        <v>4568420.12</v>
      </c>
    </row>
    <row r="11" spans="2:12">
      <c r="B11" s="411" t="str">
        <f ca="1">Order!J5</f>
        <v>Commercial Solutions</v>
      </c>
      <c r="C11" s="422" t="str">
        <f ca="1">IF(ISERROR(VLOOKUP(B11,Data!$B$4:$N$23,2,FALSE)),"-",VLOOKUP(B11,Data!$B$4:$N$23,2,FALSE))</f>
        <v>Commercial &amp; Industrial</v>
      </c>
      <c r="D11" s="423" t="str">
        <f ca="1">IF(ISERROR(VLOOKUP(B11,Data!$B$4:$N$23,3,FALSE)),"-",VLOOKUP(B11,Data!$B$4:$N$23,3,FALSE))</f>
        <v>Prescriptive/Standard Offer</v>
      </c>
      <c r="E11" s="420">
        <f ca="1">IF(ISERROR(VLOOKUP(B11,Data!$B$4:$N$23,10,FALSE)),"-",VLOOKUP(B11,Data!$B$4:$N$23,10,FALSE))</f>
        <v>3927412.79</v>
      </c>
      <c r="F11" s="420">
        <f ca="1">IF(ISERROR(VLOOKUP(B11,Data!$B$29:$N$48,10,FALSE)),"-",VLOOKUP(B11,Data!$B$29:$N$48,10,FALSE))</f>
        <v>4335230.5199999996</v>
      </c>
    </row>
    <row r="12" spans="2:12">
      <c r="B12" s="411" t="str">
        <f ca="1">Order!J6</f>
        <v>*Hide*</v>
      </c>
      <c r="C12" s="422" t="str">
        <f ca="1">IF(ISERROR(VLOOKUP(B12,Data!$B$4:$N$23,2,FALSE)),"-",VLOOKUP(B12,Data!$B$4:$N$23,2,FALSE))</f>
        <v>-</v>
      </c>
      <c r="D12" s="423" t="str">
        <f ca="1">IF(ISERROR(VLOOKUP(B12,Data!$B$4:$N$23,3,FALSE)),"-",VLOOKUP(B12,Data!$B$4:$N$23,3,FALSE))</f>
        <v>-</v>
      </c>
      <c r="E12" s="420" t="str">
        <f ca="1">IF(ISERROR(VLOOKUP(B12,Data!$B$4:$N$23,10,FALSE)),"-",VLOOKUP(B12,Data!$B$4:$N$23,10,FALSE))</f>
        <v>-</v>
      </c>
      <c r="F12" s="420" t="str">
        <f ca="1">IF(ISERROR(VLOOKUP(B12,Data!$B$29:$N$48,10,FALSE)),"-",VLOOKUP(B12,Data!$B$29:$N$48,10,FALSE))</f>
        <v>-</v>
      </c>
    </row>
    <row r="13" spans="2:12">
      <c r="B13" s="411" t="str">
        <f ca="1">Order!J7</f>
        <v>*Hide*</v>
      </c>
      <c r="C13" s="422" t="str">
        <f ca="1">IF(ISERROR(VLOOKUP(B13,Data!$B$4:$N$23,2,FALSE)),"-",VLOOKUP(B13,Data!$B$4:$N$23,2,FALSE))</f>
        <v>-</v>
      </c>
      <c r="D13" s="423" t="str">
        <f ca="1">IF(ISERROR(VLOOKUP(B13,Data!$B$4:$N$23,3,FALSE)),"-",VLOOKUP(B13,Data!$B$4:$N$23,3,FALSE))</f>
        <v>-</v>
      </c>
      <c r="E13" s="420" t="str">
        <f ca="1">IF(ISERROR(VLOOKUP(B13,Data!$B$4:$N$23,10,FALSE)),"-",VLOOKUP(B13,Data!$B$4:$N$23,10,FALSE))</f>
        <v>-</v>
      </c>
      <c r="F13" s="420" t="str">
        <f ca="1">IF(ISERROR(VLOOKUP(B13,Data!$B$29:$N$48,10,FALSE)),"-",VLOOKUP(B13,Data!$B$29:$N$48,10,FALSE))</f>
        <v>-</v>
      </c>
    </row>
    <row r="14" spans="2:12">
      <c r="B14" s="411" t="str">
        <f ca="1">Order!J8</f>
        <v>*Hide*</v>
      </c>
      <c r="C14" s="422" t="str">
        <f ca="1">IF(ISERROR(VLOOKUP(B14,Data!$B$4:$N$23,2,FALSE)),"-",VLOOKUP(B14,Data!$B$4:$N$23,2,FALSE))</f>
        <v>-</v>
      </c>
      <c r="D14" s="423" t="str">
        <f ca="1">IF(ISERROR(VLOOKUP(B14,Data!$B$4:$N$23,3,FALSE)),"-",VLOOKUP(B14,Data!$B$4:$N$23,3,FALSE))</f>
        <v>-</v>
      </c>
      <c r="E14" s="420" t="str">
        <f ca="1">IF(ISERROR(VLOOKUP(B14,Data!$B$4:$N$23,10,FALSE)),"-",VLOOKUP(B14,Data!$B$4:$N$23,10,FALSE))</f>
        <v>-</v>
      </c>
      <c r="F14" s="420" t="str">
        <f ca="1">IF(ISERROR(VLOOKUP(B14,Data!$B$29:$N$48,10,FALSE)),"-",VLOOKUP(B14,Data!$B$29:$N$48,10,FALSE))</f>
        <v>-</v>
      </c>
    </row>
    <row r="15" spans="2:12">
      <c r="B15" s="411" t="str">
        <f ca="1">Order!J9</f>
        <v>*Hide*</v>
      </c>
      <c r="C15" s="422" t="str">
        <f ca="1">IF(ISERROR(VLOOKUP(B15,Data!$B$4:$N$23,2,FALSE)),"-",VLOOKUP(B15,Data!$B$4:$N$23,2,FALSE))</f>
        <v>-</v>
      </c>
      <c r="D15" s="423" t="str">
        <f ca="1">IF(ISERROR(VLOOKUP(B15,Data!$B$4:$N$23,3,FALSE)),"-",VLOOKUP(B15,Data!$B$4:$N$23,3,FALSE))</f>
        <v>-</v>
      </c>
      <c r="E15" s="420" t="str">
        <f ca="1">IF(ISERROR(VLOOKUP(B15,Data!$B$4:$N$23,10,FALSE)),"-",VLOOKUP(B15,Data!$B$4:$N$23,10,FALSE))</f>
        <v>-</v>
      </c>
      <c r="F15" s="420" t="str">
        <f ca="1">IF(ISERROR(VLOOKUP(B15,Data!$B$29:$N$48,10,FALSE)),"-",VLOOKUP(B15,Data!$B$29:$N$48,10,FALSE))</f>
        <v>-</v>
      </c>
    </row>
    <row r="16" spans="2:12">
      <c r="B16" s="411" t="str">
        <f ca="1">Order!J10</f>
        <v>*Hide*</v>
      </c>
      <c r="C16" s="422" t="str">
        <f ca="1">IF(ISERROR(VLOOKUP(B16,Data!$B$4:$N$23,2,FALSE)),"-",VLOOKUP(B16,Data!$B$4:$N$23,2,FALSE))</f>
        <v>-</v>
      </c>
      <c r="D16" s="423" t="str">
        <f ca="1">IF(ISERROR(VLOOKUP(B16,Data!$B$4:$N$23,3,FALSE)),"-",VLOOKUP(B16,Data!$B$4:$N$23,3,FALSE))</f>
        <v>-</v>
      </c>
      <c r="E16" s="420" t="str">
        <f ca="1">IF(ISERROR(VLOOKUP(B16,Data!$B$4:$N$23,10,FALSE)),"-",VLOOKUP(B16,Data!$B$4:$N$23,10,FALSE))</f>
        <v>-</v>
      </c>
      <c r="F16" s="420" t="str">
        <f ca="1">IF(ISERROR(VLOOKUP(B16,Data!$B$29:$N$48,10,FALSE)),"-",VLOOKUP(B16,Data!$B$29:$N$48,10,FALSE))</f>
        <v>-</v>
      </c>
    </row>
    <row r="17" spans="2:6">
      <c r="B17" s="411" t="str">
        <f ca="1">Order!J11</f>
        <v>*Hide*</v>
      </c>
      <c r="C17" s="422" t="str">
        <f ca="1">IF(ISERROR(VLOOKUP(B17,Data!$B$4:$N$23,2,FALSE)),"-",VLOOKUP(B17,Data!$B$4:$N$23,2,FALSE))</f>
        <v>-</v>
      </c>
      <c r="D17" s="423" t="str">
        <f ca="1">IF(ISERROR(VLOOKUP(B17,Data!$B$4:$N$23,3,FALSE)),"-",VLOOKUP(B17,Data!$B$4:$N$23,3,FALSE))</f>
        <v>-</v>
      </c>
      <c r="E17" s="420" t="str">
        <f ca="1">IF(ISERROR(VLOOKUP(B17,Data!$B$4:$N$23,10,FALSE)),"-",VLOOKUP(B17,Data!$B$4:$N$23,10,FALSE))</f>
        <v>-</v>
      </c>
      <c r="F17" s="420" t="str">
        <f ca="1">IF(ISERROR(VLOOKUP(B17,Data!$B$29:$N$48,10,FALSE)),"-",VLOOKUP(B17,Data!$B$29:$N$48,10,FALSE))</f>
        <v>-</v>
      </c>
    </row>
    <row r="18" spans="2:6">
      <c r="B18" s="411" t="str">
        <f ca="1">Order!J12</f>
        <v>*Hide*</v>
      </c>
      <c r="C18" s="422" t="str">
        <f ca="1">IF(ISERROR(VLOOKUP(B18,Data!$B$4:$N$23,2,FALSE)),"-",VLOOKUP(B18,Data!$B$4:$N$23,2,FALSE))</f>
        <v>-</v>
      </c>
      <c r="D18" s="423" t="str">
        <f ca="1">IF(ISERROR(VLOOKUP(B18,Data!$B$4:$N$23,3,FALSE)),"-",VLOOKUP(B18,Data!$B$4:$N$23,3,FALSE))</f>
        <v>-</v>
      </c>
      <c r="E18" s="420" t="str">
        <f ca="1">IF(ISERROR(VLOOKUP(B18,Data!$B$4:$N$23,10,FALSE)),"-",VLOOKUP(B18,Data!$B$4:$N$23,10,FALSE))</f>
        <v>-</v>
      </c>
      <c r="F18" s="420" t="str">
        <f ca="1">IF(ISERROR(VLOOKUP(B18,Data!$B$29:$N$48,10,FALSE)),"-",VLOOKUP(B18,Data!$B$29:$N$48,10,FALSE))</f>
        <v>-</v>
      </c>
    </row>
    <row r="19" spans="2:6">
      <c r="B19" s="411" t="str">
        <f ca="1">Order!J13</f>
        <v>*Hide*</v>
      </c>
      <c r="C19" s="422" t="str">
        <f ca="1">IF(ISERROR(VLOOKUP(B19,Data!$B$4:$N$23,2,FALSE)),"-",VLOOKUP(B19,Data!$B$4:$N$23,2,FALSE))</f>
        <v>-</v>
      </c>
      <c r="D19" s="423" t="str">
        <f ca="1">IF(ISERROR(VLOOKUP(B19,Data!$B$4:$N$23,3,FALSE)),"-",VLOOKUP(B19,Data!$B$4:$N$23,3,FALSE))</f>
        <v>-</v>
      </c>
      <c r="E19" s="420" t="str">
        <f ca="1">IF(ISERROR(VLOOKUP(B19,Data!$B$4:$N$23,10,FALSE)),"-",VLOOKUP(B19,Data!$B$4:$N$23,10,FALSE))</f>
        <v>-</v>
      </c>
      <c r="F19" s="420" t="str">
        <f ca="1">IF(ISERROR(VLOOKUP(B19,Data!$B$29:$N$48,10,FALSE)),"-",VLOOKUP(B19,Data!$B$29:$N$48,10,FALSE))</f>
        <v>-</v>
      </c>
    </row>
    <row r="20" spans="2:6">
      <c r="B20" s="411" t="str">
        <f ca="1">Order!J14</f>
        <v>*Hide*</v>
      </c>
      <c r="C20" s="422" t="str">
        <f ca="1">IF(ISERROR(VLOOKUP(B20,Data!$B$4:$N$23,2,FALSE)),"-",VLOOKUP(B20,Data!$B$4:$N$23,2,FALSE))</f>
        <v>-</v>
      </c>
      <c r="D20" s="423" t="str">
        <f ca="1">IF(ISERROR(VLOOKUP(B20,Data!$B$4:$N$23,3,FALSE)),"-",VLOOKUP(B20,Data!$B$4:$N$23,3,FALSE))</f>
        <v>-</v>
      </c>
      <c r="E20" s="420" t="str">
        <f ca="1">IF(ISERROR(VLOOKUP(B20,Data!$B$4:$N$23,10,FALSE)),"-",VLOOKUP(B20,Data!$B$4:$N$23,10,FALSE))</f>
        <v>-</v>
      </c>
      <c r="F20" s="420" t="str">
        <f ca="1">IF(ISERROR(VLOOKUP(B20,Data!$B$29:$N$48,10,FALSE)),"-",VLOOKUP(B20,Data!$B$29:$N$48,10,FALSE))</f>
        <v>-</v>
      </c>
    </row>
    <row r="21" spans="2:6">
      <c r="B21" s="411" t="str">
        <f ca="1">Order!J15</f>
        <v>*Hide*</v>
      </c>
      <c r="C21" s="422" t="str">
        <f ca="1">IF(ISERROR(VLOOKUP(B21,Data!$B$4:$N$23,2,FALSE)),"-",VLOOKUP(B21,Data!$B$4:$N$23,2,FALSE))</f>
        <v>-</v>
      </c>
      <c r="D21" s="423" t="str">
        <f ca="1">IF(ISERROR(VLOOKUP(B21,Data!$B$4:$N$23,3,FALSE)),"-",VLOOKUP(B21,Data!$B$4:$N$23,3,FALSE))</f>
        <v>-</v>
      </c>
      <c r="E21" s="420" t="str">
        <f ca="1">IF(ISERROR(VLOOKUP(B21,Data!$B$4:$N$23,10,FALSE)),"-",VLOOKUP(B21,Data!$B$4:$N$23,10,FALSE))</f>
        <v>-</v>
      </c>
      <c r="F21" s="420" t="str">
        <f ca="1">IF(ISERROR(VLOOKUP(B21,Data!$B$29:$N$48,10,FALSE)),"-",VLOOKUP(B21,Data!$B$29:$N$48,10,FALSE))</f>
        <v>-</v>
      </c>
    </row>
    <row r="22" spans="2:6">
      <c r="B22" s="411" t="str">
        <f ca="1">Order!J16</f>
        <v>*Hide*</v>
      </c>
      <c r="C22" s="422" t="str">
        <f ca="1">IF(ISERROR(VLOOKUP(B22,Data!$B$4:$N$23,2,FALSE)),"-",VLOOKUP(B22,Data!$B$4:$N$23,2,FALSE))</f>
        <v>-</v>
      </c>
      <c r="D22" s="423" t="str">
        <f ca="1">IF(ISERROR(VLOOKUP(B22,Data!$B$4:$N$23,3,FALSE)),"-",VLOOKUP(B22,Data!$B$4:$N$23,3,FALSE))</f>
        <v>-</v>
      </c>
      <c r="E22" s="420" t="str">
        <f ca="1">IF(ISERROR(VLOOKUP(B22,Data!$B$4:$N$23,10,FALSE)),"-",VLOOKUP(B22,Data!$B$4:$N$23,10,FALSE))</f>
        <v>-</v>
      </c>
      <c r="F22" s="420" t="str">
        <f ca="1">IF(ISERROR(VLOOKUP(B22,Data!$B$29:$N$48,10,FALSE)),"-",VLOOKUP(B22,Data!$B$29:$N$48,10,FALSE))</f>
        <v>-</v>
      </c>
    </row>
    <row r="23" spans="2:6">
      <c r="B23" s="411" t="str">
        <f ca="1">Order!J17</f>
        <v>*Hide*</v>
      </c>
      <c r="C23" s="422" t="str">
        <f ca="1">IF(ISERROR(VLOOKUP(B23,Data!$B$4:$N$23,2,FALSE)),"-",VLOOKUP(B23,Data!$B$4:$N$23,2,FALSE))</f>
        <v>-</v>
      </c>
      <c r="D23" s="423" t="str">
        <f ca="1">IF(ISERROR(VLOOKUP(B23,Data!$B$4:$N$23,3,FALSE)),"-",VLOOKUP(B23,Data!$B$4:$N$23,3,FALSE))</f>
        <v>-</v>
      </c>
      <c r="E23" s="420" t="str">
        <f ca="1">IF(ISERROR(VLOOKUP(B23,Data!$B$4:$N$23,10,FALSE)),"-",VLOOKUP(B23,Data!$B$4:$N$23,10,FALSE))</f>
        <v>-</v>
      </c>
      <c r="F23" s="420" t="str">
        <f ca="1">IF(ISERROR(VLOOKUP(B23,Data!$B$29:$N$48,10,FALSE)),"-",VLOOKUP(B23,Data!$B$29:$N$48,10,FALSE))</f>
        <v>-</v>
      </c>
    </row>
    <row r="24" spans="2:6">
      <c r="B24" s="411" t="str">
        <f ca="1">Order!J18</f>
        <v>*Hide*</v>
      </c>
      <c r="C24" s="422" t="str">
        <f ca="1">IF(ISERROR(VLOOKUP(B24,Data!$B$4:$N$23,2,FALSE)),"-",VLOOKUP(B24,Data!$B$4:$N$23,2,FALSE))</f>
        <v>-</v>
      </c>
      <c r="D24" s="423" t="str">
        <f ca="1">IF(ISERROR(VLOOKUP(B24,Data!$B$4:$N$23,3,FALSE)),"-",VLOOKUP(B24,Data!$B$4:$N$23,3,FALSE))</f>
        <v>-</v>
      </c>
      <c r="E24" s="420" t="str">
        <f ca="1">IF(ISERROR(VLOOKUP(B24,Data!$B$4:$N$23,10,FALSE)),"-",VLOOKUP(B24,Data!$B$4:$N$23,10,FALSE))</f>
        <v>-</v>
      </c>
      <c r="F24" s="420" t="str">
        <f ca="1">IF(ISERROR(VLOOKUP(B24,Data!$B$29:$N$48,10,FALSE)),"-",VLOOKUP(B24,Data!$B$29:$N$48,10,FALSE))</f>
        <v>-</v>
      </c>
    </row>
    <row r="25" spans="2:6">
      <c r="B25" s="411" t="str">
        <f ca="1">Order!J19</f>
        <v>*Hide*</v>
      </c>
      <c r="C25" s="422" t="str">
        <f ca="1">IF(ISERROR(VLOOKUP(B25,Data!$B$4:$N$23,2,FALSE)),"-",VLOOKUP(B25,Data!$B$4:$N$23,2,FALSE))</f>
        <v>-</v>
      </c>
      <c r="D25" s="423" t="str">
        <f ca="1">IF(ISERROR(VLOOKUP(B25,Data!$B$4:$N$23,3,FALSE)),"-",VLOOKUP(B25,Data!$B$4:$N$23,3,FALSE))</f>
        <v>-</v>
      </c>
      <c r="E25" s="420" t="str">
        <f ca="1">IF(ISERROR(VLOOKUP(B25,Data!$B$4:$N$23,10,FALSE)),"-",VLOOKUP(B25,Data!$B$4:$N$23,10,FALSE))</f>
        <v>-</v>
      </c>
      <c r="F25" s="420" t="str">
        <f ca="1">IF(ISERROR(VLOOKUP(B25,Data!$B$29:$N$48,10,FALSE)),"-",VLOOKUP(B25,Data!$B$29:$N$48,10,FALSE))</f>
        <v>-</v>
      </c>
    </row>
    <row r="26" spans="2:6">
      <c r="B26" s="411" t="str">
        <f ca="1">Order!J20</f>
        <v>*Hide*</v>
      </c>
      <c r="C26" s="422" t="str">
        <f ca="1">IF(ISERROR(VLOOKUP(B26,Data!$B$4:$N$23,2,FALSE)),"-",VLOOKUP(B26,Data!$B$4:$N$23,2,FALSE))</f>
        <v>-</v>
      </c>
      <c r="D26" s="423" t="str">
        <f ca="1">IF(ISERROR(VLOOKUP(B26,Data!$B$4:$N$23,3,FALSE)),"-",VLOOKUP(B26,Data!$B$4:$N$23,3,FALSE))</f>
        <v>-</v>
      </c>
      <c r="E26" s="420" t="str">
        <f ca="1">IF(ISERROR(VLOOKUP(B26,Data!$B$4:$N$23,10,FALSE)),"-",VLOOKUP(B26,Data!$B$4:$N$23,10,FALSE))</f>
        <v>-</v>
      </c>
      <c r="F26" s="420" t="str">
        <f ca="1">IF(ISERROR(VLOOKUP(B26,Data!$B$29:$N$48,10,FALSE)),"-",VLOOKUP(B26,Data!$B$29:$N$48,10,FALSE))</f>
        <v>-</v>
      </c>
    </row>
    <row r="27" spans="2:6">
      <c r="B27" s="411" t="str">
        <f ca="1">Order!J21</f>
        <v>*Hide*</v>
      </c>
      <c r="C27" s="422" t="str">
        <f ca="1">IF(ISERROR(VLOOKUP(B27,Data!$B$4:$N$23,2,FALSE)),"-",VLOOKUP(B27,Data!$B$4:$N$23,2,FALSE))</f>
        <v>-</v>
      </c>
      <c r="D27" s="423" t="str">
        <f ca="1">IF(ISERROR(VLOOKUP(B27,Data!$B$4:$N$23,3,FALSE)),"-",VLOOKUP(B27,Data!$B$4:$N$23,3,FALSE))</f>
        <v>-</v>
      </c>
      <c r="E27" s="420" t="str">
        <f ca="1">IF(ISERROR(VLOOKUP(B27,Data!$B$4:$N$23,10,FALSE)),"-",VLOOKUP(B27,Data!$B$4:$N$23,10,FALSE))</f>
        <v>-</v>
      </c>
      <c r="F27" s="420" t="str">
        <f ca="1">IF(ISERROR(VLOOKUP(B27,Data!$B$29:$N$48,10,FALSE)),"-",VLOOKUP(B27,Data!$B$29:$N$48,10,FALSE))</f>
        <v>-</v>
      </c>
    </row>
    <row r="28" spans="2:6">
      <c r="B28" s="411" t="str">
        <f ca="1">Order!J22</f>
        <v>*Hide*</v>
      </c>
      <c r="C28" s="422" t="str">
        <f ca="1">IF(ISERROR(VLOOKUP(B28,Data!$B$4:$N$23,2,FALSE)),"-",VLOOKUP(B28,Data!$B$4:$N$23,2,FALSE))</f>
        <v>-</v>
      </c>
      <c r="D28" s="423" t="str">
        <f ca="1">IF(ISERROR(VLOOKUP(B28,Data!$B$4:$N$23,3,FALSE)),"-",VLOOKUP(B28,Data!$B$4:$N$23,3,FALSE))</f>
        <v>-</v>
      </c>
      <c r="E28" s="420" t="str">
        <f ca="1">IF(ISERROR(VLOOKUP(B28,Data!$B$4:$N$23,10,FALSE)),"-",VLOOKUP(B28,Data!$B$4:$N$23,10,FALSE))</f>
        <v>-</v>
      </c>
      <c r="F28" s="420" t="str">
        <f ca="1">IF(ISERROR(VLOOKUP(B28,Data!$B$29:$N$48,10,FALSE)),"-",VLOOKUP(B28,Data!$B$29:$N$48,10,FALSE))</f>
        <v>-</v>
      </c>
    </row>
    <row r="29" spans="2:6">
      <c r="B29" s="412" t="str">
        <f>Data!B24</f>
        <v>Regulatory</v>
      </c>
      <c r="C29" s="422" t="str">
        <f>Data!C24</f>
        <v>-</v>
      </c>
      <c r="D29" s="423" t="str">
        <f>Data!D24</f>
        <v>-</v>
      </c>
      <c r="E29" s="420">
        <f>Data!K24</f>
        <v>31695</v>
      </c>
      <c r="F29" s="420">
        <f>Data!K49</f>
        <v>15003.2</v>
      </c>
    </row>
    <row r="32" spans="2:6">
      <c r="B32" s="76" t="s">
        <v>667</v>
      </c>
    </row>
    <row r="33" spans="2:8">
      <c r="B33" s="409" t="s">
        <v>644</v>
      </c>
      <c r="C33" s="418" t="s">
        <v>401</v>
      </c>
      <c r="D33" s="418" t="s">
        <v>402</v>
      </c>
    </row>
    <row r="34" spans="2:8">
      <c r="B34" s="411" t="str">
        <f>Data!F3</f>
        <v>Planning / Design</v>
      </c>
      <c r="C34" s="420">
        <f>Data!F25</f>
        <v>112827.14</v>
      </c>
      <c r="D34" s="420">
        <f>Data!F50</f>
        <v>2786719.67</v>
      </c>
    </row>
    <row r="35" spans="2:8">
      <c r="B35" s="411" t="str">
        <f>Data!G3</f>
        <v>Marketing &amp; Delivery</v>
      </c>
      <c r="C35" s="420">
        <f>Data!G25</f>
        <v>3447849</v>
      </c>
      <c r="D35" s="420">
        <f>Data!G50</f>
        <v>329677.81000000006</v>
      </c>
    </row>
    <row r="36" spans="2:8">
      <c r="B36" s="411" t="str">
        <f>Data!H3</f>
        <v>Incentives / Direct Install Costs</v>
      </c>
      <c r="C36" s="420">
        <f>Data!H25</f>
        <v>7677054</v>
      </c>
      <c r="D36" s="420">
        <f>Data!H50</f>
        <v>5141749.2799999993</v>
      </c>
    </row>
    <row r="37" spans="2:8">
      <c r="B37" s="411" t="str">
        <f>Data!I3</f>
        <v>EM&amp;V</v>
      </c>
      <c r="C37" s="420">
        <f>Data!I25</f>
        <v>868551.26</v>
      </c>
      <c r="D37" s="420">
        <f>Data!I50</f>
        <v>1662166.27</v>
      </c>
    </row>
    <row r="38" spans="2:8">
      <c r="B38" s="411" t="str">
        <f>Data!J3</f>
        <v>Administration</v>
      </c>
      <c r="C38" s="420">
        <f>Data!J25</f>
        <v>803787.82</v>
      </c>
      <c r="D38" s="420">
        <f>Data!J50</f>
        <v>435223.03</v>
      </c>
    </row>
    <row r="39" spans="2:8">
      <c r="B39" s="411" t="str">
        <f>Budgets!H26</f>
        <v>Regulatory</v>
      </c>
      <c r="C39" s="420">
        <f>Data!K24</f>
        <v>31695</v>
      </c>
      <c r="D39" s="420">
        <f>Data!K49</f>
        <v>15003.2</v>
      </c>
    </row>
    <row r="42" spans="2:8">
      <c r="B42" s="76" t="s">
        <v>668</v>
      </c>
    </row>
    <row r="43" spans="2:8">
      <c r="B43" s="409" t="s">
        <v>669</v>
      </c>
      <c r="C43" s="409" t="s">
        <v>418</v>
      </c>
      <c r="D43" s="409" t="s">
        <v>670</v>
      </c>
      <c r="E43" s="409" t="s">
        <v>671</v>
      </c>
      <c r="F43" s="409" t="s">
        <v>672</v>
      </c>
      <c r="G43" s="409" t="s">
        <v>403</v>
      </c>
      <c r="H43" s="409" t="s">
        <v>404</v>
      </c>
    </row>
    <row r="44" spans="2:8">
      <c r="B44" s="419">
        <f t="shared" ref="B44:B46" si="0">B45-1</f>
        <v>2021</v>
      </c>
      <c r="C44" s="420">
        <f>VLOOKUP($B44,'Prior Year Portfolio'!$C$10:$J$13,2,FALSE)</f>
        <v>336115122</v>
      </c>
      <c r="D44" s="414">
        <f>VLOOKUP($B44,'Prior Year Portfolio'!$C$10:$J$13,3,FALSE)</f>
        <v>646361388</v>
      </c>
      <c r="E44" s="420">
        <f>VLOOKUP($B44,'Prior Year Portfolio'!$C$10:$J$13,5,FALSE)</f>
        <v>9875810.5492186137</v>
      </c>
      <c r="F44" s="420">
        <f>VLOOKUP($B44,'Prior Year Portfolio'!$C$10:$J$13,6,FALSE)</f>
        <v>9698943.5671800002</v>
      </c>
      <c r="G44" s="414">
        <f>VLOOKUP($B44,'Prior Year Portfolio'!$C$10:$J$13,7,FALSE)</f>
        <v>3800224.7007615659</v>
      </c>
      <c r="H44" s="414">
        <f>VLOOKUP($B44,'Prior Year Portfolio'!$C$10:$J$13,8,FALSE)</f>
        <v>4022955</v>
      </c>
    </row>
    <row r="45" spans="2:8">
      <c r="B45" s="419">
        <f t="shared" si="0"/>
        <v>2022</v>
      </c>
      <c r="C45" s="420">
        <f>VLOOKUP($B45,'Prior Year Portfolio'!$C$10:$J$13,2,FALSE)</f>
        <v>380360550.02999997</v>
      </c>
      <c r="D45" s="414">
        <f>VLOOKUP($B45,'Prior Year Portfolio'!$C$10:$J$13,3,FALSE)</f>
        <v>638961284</v>
      </c>
      <c r="E45" s="420">
        <f>VLOOKUP($B45,'Prior Year Portfolio'!$C$10:$J$13,5,FALSE)</f>
        <v>10025159.423866944</v>
      </c>
      <c r="F45" s="420">
        <f>VLOOKUP($B45,'Prior Year Portfolio'!$C$10:$J$13,6,FALSE)</f>
        <v>9130614.0999999996</v>
      </c>
      <c r="G45" s="414">
        <f>VLOOKUP($B45,'Prior Year Portfolio'!$C$10:$J$13,7,FALSE)</f>
        <v>3832796.495161566</v>
      </c>
      <c r="H45" s="414">
        <f>VLOOKUP($B45,'Prior Year Portfolio'!$C$10:$J$13,8,FALSE)</f>
        <v>4124913</v>
      </c>
    </row>
    <row r="46" spans="2:8">
      <c r="B46" s="419">
        <f t="shared" si="0"/>
        <v>2023</v>
      </c>
      <c r="C46" s="420">
        <f>VLOOKUP($B46,'Prior Year Portfolio'!$C$10:$J$13,2,FALSE)</f>
        <v>447950043</v>
      </c>
      <c r="D46" s="414">
        <f>VLOOKUP($B46,'Prior Year Portfolio'!$C$10:$J$13,3,FALSE)</f>
        <v>628497665</v>
      </c>
      <c r="E46" s="420">
        <f>VLOOKUP($B46,'Prior Year Portfolio'!$C$10:$J$13,5,FALSE)</f>
        <v>10241331</v>
      </c>
      <c r="F46" s="420">
        <f>VLOOKUP($B46,'Prior Year Portfolio'!$C$10:$J$13,6,FALSE)</f>
        <v>8241200</v>
      </c>
      <c r="G46" s="414">
        <f>VLOOKUP($B46,'Prior Year Portfolio'!$C$10:$J$13,7,FALSE)</f>
        <v>3934708</v>
      </c>
      <c r="H46" s="414">
        <f>VLOOKUP($B46,'Prior Year Portfolio'!$C$10:$J$13,8,FALSE)</f>
        <v>3726152</v>
      </c>
    </row>
    <row r="47" spans="2:8">
      <c r="B47" s="419">
        <f>B48-1</f>
        <v>2024</v>
      </c>
      <c r="C47" s="420">
        <f>VLOOKUP($B47,'Prior Year Portfolio'!$C$10:$J$13,2,FALSE)</f>
        <v>463969976</v>
      </c>
      <c r="D47" s="414">
        <f>VLOOKUP($B47,'Prior Year Portfolio'!$C$10:$J$13,3,FALSE)</f>
        <v>590887528</v>
      </c>
      <c r="E47" s="420">
        <f>VLOOKUP($B47,'Prior Year Portfolio'!$C$10:$J$13,5,FALSE)</f>
        <v>12873546</v>
      </c>
      <c r="F47" s="420">
        <f>VLOOKUP($B47,'Prior Year Portfolio'!$C$10:$J$13,6,FALSE)</f>
        <v>10725767</v>
      </c>
      <c r="G47" s="414">
        <f>VLOOKUP($B47,'Prior Year Portfolio'!$C$10:$J$13,7,FALSE)</f>
        <v>4024628</v>
      </c>
      <c r="H47" s="414">
        <f>VLOOKUP($B47,'Prior Year Portfolio'!$C$10:$J$13,8,FALSE)</f>
        <v>3742393</v>
      </c>
    </row>
    <row r="48" spans="2:8">
      <c r="B48" s="419">
        <f>Prg_Year</f>
        <v>2025</v>
      </c>
      <c r="C48" s="420">
        <f>'Utility Information'!F8</f>
        <v>491725009</v>
      </c>
      <c r="D48" s="414">
        <f>'Utility Information'!F11</f>
        <v>582922020</v>
      </c>
      <c r="E48" s="420">
        <f>Budgets!I27</f>
        <v>12941764.219999999</v>
      </c>
      <c r="F48" s="420">
        <f>'Actual Expenses'!J91</f>
        <v>10370539.26</v>
      </c>
      <c r="G48" s="414">
        <f>IF(D49=D50,'Savings &amp; Participants'!E26/1000,'Savings &amp; Participants'!E26)</f>
        <v>3639824</v>
      </c>
      <c r="H48" s="414">
        <f>IF(D49=D50,'Evaluated Savings'!E26/1000,'Evaluated Savings'!E26)</f>
        <v>3639823.76</v>
      </c>
    </row>
    <row r="49" spans="2:15">
      <c r="C49" s="161"/>
      <c r="D49" s="161" t="str">
        <f>Energy_2</f>
        <v>Therms</v>
      </c>
    </row>
    <row r="50" spans="2:15">
      <c r="C50" s="161"/>
      <c r="D50" s="161" t="str">
        <f>Titles!C24</f>
        <v>MWh</v>
      </c>
    </row>
    <row r="51" spans="2:15">
      <c r="C51" s="161"/>
      <c r="D51" s="161"/>
    </row>
    <row r="52" spans="2:15">
      <c r="C52" s="161"/>
      <c r="D52" s="161"/>
    </row>
    <row r="53" spans="2:15">
      <c r="C53" s="161"/>
      <c r="D53" s="161"/>
    </row>
    <row r="54" spans="2:15">
      <c r="C54" s="161"/>
      <c r="D54" s="161"/>
    </row>
    <row r="55" spans="2:15">
      <c r="C55" s="161"/>
      <c r="D55" s="161"/>
    </row>
    <row r="56" spans="2:15">
      <c r="B56" s="76" t="s">
        <v>673</v>
      </c>
    </row>
    <row r="57" spans="2:15">
      <c r="B57" s="409" t="s">
        <v>85</v>
      </c>
      <c r="C57" s="418" t="s">
        <v>86</v>
      </c>
      <c r="D57" s="418" t="s">
        <v>401</v>
      </c>
      <c r="E57" s="418" t="s">
        <v>402</v>
      </c>
      <c r="F57" s="418" t="s">
        <v>403</v>
      </c>
      <c r="G57" s="418" t="s">
        <v>404</v>
      </c>
      <c r="H57" s="418" t="s">
        <v>403</v>
      </c>
      <c r="I57" s="418" t="s">
        <v>402</v>
      </c>
      <c r="J57" s="418" t="s">
        <v>284</v>
      </c>
      <c r="K57" s="418" t="s">
        <v>171</v>
      </c>
      <c r="L57" s="418" t="s">
        <v>674</v>
      </c>
      <c r="N57" s="396" t="s">
        <v>658</v>
      </c>
    </row>
    <row r="58" spans="2:15">
      <c r="B58" s="411" t="str">
        <f ca="1">Order!J3</f>
        <v>Access to Afford Energy &amp; Conservation</v>
      </c>
      <c r="C58" s="411" t="str">
        <f ca="1">IF(ISERROR(VLOOKUP(B58,Data!$B$4:$N$23,2,FALSE)),"-",VLOOKUP(B58,Data!$B$4:$N$23,2,FALSE))</f>
        <v>Residential</v>
      </c>
      <c r="D58" s="420">
        <f ca="1">IF(ISERROR(VLOOKUP(B58,Data!$B$4:$N$23,10,FALSE)),"-",VLOOKUP(B58,Data!$B$4:$N$23,10,FALSE))</f>
        <v>1947356.51</v>
      </c>
      <c r="E58" s="420">
        <f ca="1">IF(ISERROR(VLOOKUP(B58,Data!$B$29:$T$48,10,FALSE)),"-",VLOOKUP(B58,Data!$B$29:$T$48,10,FALSE))</f>
        <v>1451885.4200000002</v>
      </c>
      <c r="F58" s="414">
        <f ca="1">IF(ISERROR(VLOOKUP(B58,Data!$B$4:$N$23,12,FALSE)),"-",VLOOKUP(B58,Data!$B$4:$N$23,12,FALSE))</f>
        <v>541439</v>
      </c>
      <c r="G58" s="414">
        <f ca="1">IF(ISERROR(VLOOKUP(B58,Data!$B$29:$T$48,12,FALSE)),"-",VLOOKUP(B58,Data!$B$29:$T$48,12,FALSE))</f>
        <v>541438.81000000006</v>
      </c>
      <c r="H58" s="414">
        <f ca="1">IF(ISERROR(VLOOKUP(B58,Data!$B$4:$N$23,13,FALSE)),"-",VLOOKUP(B58,Data!$B$4:$N$23,13,FALSE))</f>
        <v>64865</v>
      </c>
      <c r="I58" s="414">
        <f ca="1">IF(ISERROR(VLOOKUP(B58,Data!$B$29:$T$48,13,FALSE)),"-",VLOOKUP(B58,Data!$B$29:$T$48,13,FALSE))</f>
        <v>64865</v>
      </c>
      <c r="J58" s="421">
        <f ca="1">IF(ISERROR(VLOOKUP(B58,Data!$B$29:$T$48,18,FALSE)),"-",VLOOKUP(B58,Data!$B$29:$T$48,18,FALSE))</f>
        <v>4.6967656394391097</v>
      </c>
      <c r="K58" s="420">
        <f ca="1">IF(ISERROR(VLOOKUP(B58,Data!$B$29:$T$48,15,FALSE)),"-",VLOOKUP(B58,Data!$B$29:$T$48,15,FALSE))</f>
        <v>1244.45</v>
      </c>
      <c r="L58" s="424">
        <f ca="1">IF(ISERROR(VLOOKUP(B58,Data!$B$29:$T$48,16,FALSE)),"-",VLOOKUP(B58,Data!$B$29:$T$48,16,FALSE))</f>
        <v>5844.89</v>
      </c>
      <c r="M58" s="161">
        <f ca="1">IF(E58="-",0,E58)</f>
        <v>1451885.4200000002</v>
      </c>
      <c r="N58" s="215">
        <f ca="1">COUNT($M$58:$M$77)-(RANK(M58,$M$58:$M$77)+COUNTIF($M58:M$58,M58)-1)+1</f>
        <v>18</v>
      </c>
      <c r="O58" t="str">
        <f ca="1">OFFSET(B$58,MATCH(LARGE(N$58:N$77,ROW()-ROW(N$58)+1),N$58:N$77,0)-1,0)</f>
        <v>Residential Solutions Program</v>
      </c>
    </row>
    <row r="59" spans="2:15">
      <c r="B59" s="411" t="str">
        <f ca="1">Order!J4</f>
        <v>Residential Solutions Program</v>
      </c>
      <c r="C59" s="411" t="str">
        <f ca="1">IF(ISERROR(VLOOKUP(B59,Data!$B$4:$N$23,2,FALSE)),"-",VLOOKUP(B59,Data!$B$4:$N$23,2,FALSE))</f>
        <v>Res/Small Business</v>
      </c>
      <c r="D59" s="420">
        <f ca="1">IF(ISERROR(VLOOKUP(B59,Data!$B$4:$N$23,10,FALSE)),"-",VLOOKUP(B59,Data!$B$4:$N$23,10,FALSE))</f>
        <v>7035299.9199999999</v>
      </c>
      <c r="E59" s="420">
        <f ca="1">IF(ISERROR(VLOOKUP(B59,Data!$B$29:$T$48,10,FALSE)),"-",VLOOKUP(B59,Data!$B$29:$T$48,10,FALSE))</f>
        <v>4568420.12</v>
      </c>
      <c r="F59" s="414">
        <f ca="1">IF(ISERROR(VLOOKUP(B59,Data!$B$4:$N$23,12,FALSE)),"-",VLOOKUP(B59,Data!$B$4:$N$23,12,FALSE))</f>
        <v>1101642</v>
      </c>
      <c r="G59" s="414">
        <f ca="1">IF(ISERROR(VLOOKUP(B59,Data!$B$29:$T$48,12,FALSE)),"-",VLOOKUP(B59,Data!$B$29:$T$48,12,FALSE))</f>
        <v>1101642</v>
      </c>
      <c r="H59" s="414">
        <f ca="1">IF(ISERROR(VLOOKUP(B59,Data!$B$4:$N$23,13,FALSE)),"-",VLOOKUP(B59,Data!$B$4:$N$23,13,FALSE))</f>
        <v>93318</v>
      </c>
      <c r="I59" s="414">
        <f ca="1">IF(ISERROR(VLOOKUP(B59,Data!$B$29:$T$48,13,FALSE)),"-",VLOOKUP(B59,Data!$B$29:$T$48,13,FALSE))</f>
        <v>93318</v>
      </c>
      <c r="J59" s="421">
        <f ca="1">IF(ISERROR(VLOOKUP(B59,Data!$B$29:$T$48,18,FALSE)),"-",VLOOKUP(B59,Data!$B$29:$T$48,18,FALSE))</f>
        <v>1.7255863527670547</v>
      </c>
      <c r="K59" s="420">
        <f ca="1">IF(ISERROR(VLOOKUP(B59,Data!$B$29:$T$48,15,FALSE)),"-",VLOOKUP(B59,Data!$B$29:$T$48,15,FALSE))</f>
        <v>3621.54</v>
      </c>
      <c r="L59" s="420">
        <f ca="1">IF(ISERROR(VLOOKUP(B59,Data!$B$29:$T$48,16,FALSE)),"-",VLOOKUP(B59,Data!$B$29:$T$48,16,FALSE))</f>
        <v>6249.28</v>
      </c>
      <c r="M59" s="161">
        <f t="shared" ref="M59:M77" ca="1" si="1">IF(E59="-",0,E59)</f>
        <v>4568420.12</v>
      </c>
      <c r="N59" s="215">
        <f ca="1">COUNT($M$58:$M$77)-(RANK(M59,$M$58:$M$77)+COUNTIF($M$58:M59,M59)-1)+1</f>
        <v>20</v>
      </c>
      <c r="O59" t="str">
        <f t="shared" ref="O59:O77" ca="1" si="2">OFFSET(B$58,MATCH(LARGE(N$58:N$77,ROW()-ROW(N$58)+1),N$58:N$77,0)-1,0)</f>
        <v>Commercial Solutions</v>
      </c>
    </row>
    <row r="60" spans="2:15">
      <c r="B60" s="411" t="str">
        <f ca="1">Order!J5</f>
        <v>Commercial Solutions</v>
      </c>
      <c r="C60" s="411" t="str">
        <f ca="1">IF(ISERROR(VLOOKUP(B60,Data!$B$4:$N$23,2,FALSE)),"-",VLOOKUP(B60,Data!$B$4:$N$23,2,FALSE))</f>
        <v>Commercial &amp; Industrial</v>
      </c>
      <c r="D60" s="420">
        <f ca="1">IF(ISERROR(VLOOKUP(B60,Data!$B$4:$N$23,10,FALSE)),"-",VLOOKUP(B60,Data!$B$4:$N$23,10,FALSE))</f>
        <v>3927412.79</v>
      </c>
      <c r="E60" s="420">
        <f ca="1">IF(ISERROR(VLOOKUP(B60,Data!$B$29:$T$48,10,FALSE)),"-",VLOOKUP(B60,Data!$B$29:$T$48,10,FALSE))</f>
        <v>4335230.5199999996</v>
      </c>
      <c r="F60" s="414">
        <f ca="1">IF(ISERROR(VLOOKUP(B60,Data!$B$4:$N$23,12,FALSE)),"-",VLOOKUP(B60,Data!$B$4:$N$23,12,FALSE))</f>
        <v>1996743</v>
      </c>
      <c r="G60" s="414">
        <f ca="1">IF(ISERROR(VLOOKUP(B60,Data!$B$29:$T$48,12,FALSE)),"-",VLOOKUP(B60,Data!$B$29:$T$48,12,FALSE))</f>
        <v>1996742.95</v>
      </c>
      <c r="H60" s="414">
        <f ca="1">IF(ISERROR(VLOOKUP(B60,Data!$B$4:$N$23,13,FALSE)),"-",VLOOKUP(B60,Data!$B$4:$N$23,13,FALSE))</f>
        <v>687</v>
      </c>
      <c r="I60" s="414">
        <f ca="1">IF(ISERROR(VLOOKUP(B60,Data!$B$29:$T$48,13,FALSE)),"-",VLOOKUP(B60,Data!$B$29:$T$48,13,FALSE))</f>
        <v>687</v>
      </c>
      <c r="J60" s="421">
        <f ca="1">IF(ISERROR(VLOOKUP(B60,Data!$B$29:$T$48,18,FALSE)),"-",VLOOKUP(B60,Data!$B$29:$T$48,18,FALSE))</f>
        <v>2.0967435596380963</v>
      </c>
      <c r="K60" s="420">
        <f ca="1">IF(ISERROR(VLOOKUP(B60,Data!$B$29:$T$48,15,FALSE)),"-",VLOOKUP(B60,Data!$B$29:$T$48,15,FALSE))</f>
        <v>5791.6</v>
      </c>
      <c r="L60" s="420">
        <f ca="1">IF(ISERROR(VLOOKUP(B60,Data!$B$29:$T$48,16,FALSE)),"-",VLOOKUP(B60,Data!$B$29:$T$48,16,FALSE))</f>
        <v>12143.5</v>
      </c>
      <c r="M60" s="161">
        <f t="shared" ca="1" si="1"/>
        <v>4335230.5199999996</v>
      </c>
      <c r="N60" s="215">
        <f ca="1">COUNT($M$58:$M$77)-(RANK(M60,$M$58:$M$77)+COUNTIF($M$58:M60,M60)-1)+1</f>
        <v>19</v>
      </c>
      <c r="O60" t="str">
        <f t="shared" ca="1" si="2"/>
        <v>Access to Afford Energy &amp; Conservation</v>
      </c>
    </row>
    <row r="61" spans="2:15">
      <c r="B61" s="411" t="str">
        <f ca="1">Order!J6</f>
        <v>*Hide*</v>
      </c>
      <c r="C61" s="411" t="str">
        <f ca="1">IF(ISERROR(VLOOKUP(B61,Data!$B$4:$N$23,2,FALSE)),"-",VLOOKUP(B61,Data!$B$4:$N$23,2,FALSE))</f>
        <v>-</v>
      </c>
      <c r="D61" s="420" t="str">
        <f ca="1">IF(ISERROR(VLOOKUP(B61,Data!$B$4:$N$23,10,FALSE)),"-",VLOOKUP(B61,Data!$B$4:$N$23,10,FALSE))</f>
        <v>-</v>
      </c>
      <c r="E61" s="420" t="str">
        <f ca="1">IF(ISERROR(VLOOKUP(B61,Data!$B$29:$T$48,10,FALSE)),"-",VLOOKUP(B61,Data!$B$29:$T$48,10,FALSE))</f>
        <v>-</v>
      </c>
      <c r="F61" s="414" t="str">
        <f ca="1">IF(ISERROR(VLOOKUP(B61,Data!$B$4:$N$23,12,FALSE)),"-",VLOOKUP(B61,Data!$B$4:$N$23,12,FALSE))</f>
        <v>-</v>
      </c>
      <c r="G61" s="414" t="str">
        <f ca="1">IF(ISERROR(VLOOKUP(B61,Data!$B$29:$T$48,12,FALSE)),"-",VLOOKUP(B61,Data!$B$29:$T$48,12,FALSE))</f>
        <v>-</v>
      </c>
      <c r="H61" s="414" t="str">
        <f ca="1">IF(ISERROR(VLOOKUP(B61,Data!$B$4:$N$23,13,FALSE)),"-",VLOOKUP(B61,Data!$B$4:$N$23,13,FALSE))</f>
        <v>-</v>
      </c>
      <c r="I61" s="414" t="str">
        <f ca="1">IF(ISERROR(VLOOKUP(B61,Data!$B$29:$T$48,13,FALSE)),"-",VLOOKUP(B61,Data!$B$29:$T$48,13,FALSE))</f>
        <v>-</v>
      </c>
      <c r="J61" s="421" t="str">
        <f ca="1">IF(ISERROR(VLOOKUP(B61,Data!$B$29:$T$48,18,FALSE)),"-",VLOOKUP(B61,Data!$B$29:$T$48,18,FALSE))</f>
        <v>-</v>
      </c>
      <c r="K61" s="420" t="str">
        <f ca="1">IF(ISERROR(VLOOKUP(B61,Data!$B$29:$T$48,15,FALSE)),"-",VLOOKUP(B61,Data!$B$29:$T$48,15,FALSE))</f>
        <v>-</v>
      </c>
      <c r="L61" s="420" t="str">
        <f ca="1">IF(ISERROR(VLOOKUP(B61,Data!$B$29:$T$48,16,FALSE)),"-",VLOOKUP(B61,Data!$B$29:$T$48,16,FALSE))</f>
        <v>-</v>
      </c>
      <c r="M61" s="161">
        <f t="shared" ca="1" si="1"/>
        <v>0</v>
      </c>
      <c r="N61" s="215">
        <f ca="1">COUNT($M$58:$M$77)-(RANK(M61,$M$58:$M$77)+COUNTIF($M$58:M61,M61)-1)+1</f>
        <v>17</v>
      </c>
      <c r="O61" t="str">
        <f t="shared" ca="1" si="2"/>
        <v>*Hide*</v>
      </c>
    </row>
    <row r="62" spans="2:15">
      <c r="B62" s="411" t="str">
        <f ca="1">Order!J7</f>
        <v>*Hide*</v>
      </c>
      <c r="C62" s="411" t="str">
        <f ca="1">IF(ISERROR(VLOOKUP(B62,Data!$B$4:$N$23,2,FALSE)),"-",VLOOKUP(B62,Data!$B$4:$N$23,2,FALSE))</f>
        <v>-</v>
      </c>
      <c r="D62" s="420" t="str">
        <f ca="1">IF(ISERROR(VLOOKUP(B62,Data!$B$4:$N$23,10,FALSE)),"-",VLOOKUP(B62,Data!$B$4:$N$23,10,FALSE))</f>
        <v>-</v>
      </c>
      <c r="E62" s="420" t="str">
        <f ca="1">IF(ISERROR(VLOOKUP(B62,Data!$B$29:$T$48,10,FALSE)),"-",VLOOKUP(B62,Data!$B$29:$T$48,10,FALSE))</f>
        <v>-</v>
      </c>
      <c r="F62" s="414" t="str">
        <f ca="1">IF(ISERROR(VLOOKUP(B62,Data!$B$4:$N$23,12,FALSE)),"-",VLOOKUP(B62,Data!$B$4:$N$23,12,FALSE))</f>
        <v>-</v>
      </c>
      <c r="G62" s="414" t="str">
        <f ca="1">IF(ISERROR(VLOOKUP(B62,Data!$B$29:$T$48,12,FALSE)),"-",VLOOKUP(B62,Data!$B$29:$T$48,12,FALSE))</f>
        <v>-</v>
      </c>
      <c r="H62" s="414" t="str">
        <f ca="1">IF(ISERROR(VLOOKUP(B62,Data!$B$4:$N$23,13,FALSE)),"-",VLOOKUP(B62,Data!$B$4:$N$23,13,FALSE))</f>
        <v>-</v>
      </c>
      <c r="I62" s="414" t="str">
        <f ca="1">IF(ISERROR(VLOOKUP(B62,Data!$B$29:$T$48,13,FALSE)),"-",VLOOKUP(B62,Data!$B$29:$T$48,13,FALSE))</f>
        <v>-</v>
      </c>
      <c r="J62" s="421" t="str">
        <f ca="1">IF(ISERROR(VLOOKUP(B62,Data!$B$29:$T$48,18,FALSE)),"-",VLOOKUP(B62,Data!$B$29:$T$48,18,FALSE))</f>
        <v>-</v>
      </c>
      <c r="K62" s="420" t="str">
        <f ca="1">IF(ISERROR(VLOOKUP(B62,Data!$B$29:$T$48,15,FALSE)),"-",VLOOKUP(B62,Data!$B$29:$T$48,15,FALSE))</f>
        <v>-</v>
      </c>
      <c r="L62" s="420" t="str">
        <f ca="1">IF(ISERROR(VLOOKUP(B62,Data!$B$29:$T$48,16,FALSE)),"-",VLOOKUP(B62,Data!$B$29:$T$48,16,FALSE))</f>
        <v>-</v>
      </c>
      <c r="M62" s="161">
        <f t="shared" ca="1" si="1"/>
        <v>0</v>
      </c>
      <c r="N62" s="215">
        <f ca="1">COUNT($M$58:$M$77)-(RANK(M62,$M$58:$M$77)+COUNTIF($M$58:M62,M62)-1)+1</f>
        <v>16</v>
      </c>
      <c r="O62" t="str">
        <f t="shared" ca="1" si="2"/>
        <v>*Hide*</v>
      </c>
    </row>
    <row r="63" spans="2:15">
      <c r="B63" s="411" t="str">
        <f ca="1">Order!J8</f>
        <v>*Hide*</v>
      </c>
      <c r="C63" s="411" t="str">
        <f ca="1">IF(ISERROR(VLOOKUP(B63,Data!$B$4:$N$23,2,FALSE)),"-",VLOOKUP(B63,Data!$B$4:$N$23,2,FALSE))</f>
        <v>-</v>
      </c>
      <c r="D63" s="420" t="str">
        <f ca="1">IF(ISERROR(VLOOKUP(B63,Data!$B$4:$N$23,10,FALSE)),"-",VLOOKUP(B63,Data!$B$4:$N$23,10,FALSE))</f>
        <v>-</v>
      </c>
      <c r="E63" s="420" t="str">
        <f ca="1">IF(ISERROR(VLOOKUP(B63,Data!$B$29:$T$48,10,FALSE)),"-",VLOOKUP(B63,Data!$B$29:$T$48,10,FALSE))</f>
        <v>-</v>
      </c>
      <c r="F63" s="414" t="str">
        <f ca="1">IF(ISERROR(VLOOKUP(B63,Data!$B$4:$N$23,12,FALSE)),"-",VLOOKUP(B63,Data!$B$4:$N$23,12,FALSE))</f>
        <v>-</v>
      </c>
      <c r="G63" s="414" t="str">
        <f ca="1">IF(ISERROR(VLOOKUP(B63,Data!$B$29:$T$48,12,FALSE)),"-",VLOOKUP(B63,Data!$B$29:$T$48,12,FALSE))</f>
        <v>-</v>
      </c>
      <c r="H63" s="414" t="str">
        <f ca="1">IF(ISERROR(VLOOKUP(B63,Data!$B$4:$N$23,13,FALSE)),"-",VLOOKUP(B63,Data!$B$4:$N$23,13,FALSE))</f>
        <v>-</v>
      </c>
      <c r="I63" s="414" t="str">
        <f ca="1">IF(ISERROR(VLOOKUP(B63,Data!$B$29:$T$48,13,FALSE)),"-",VLOOKUP(B63,Data!$B$29:$T$48,13,FALSE))</f>
        <v>-</v>
      </c>
      <c r="J63" s="421" t="str">
        <f ca="1">IF(ISERROR(VLOOKUP(B63,Data!$B$29:$T$48,18,FALSE)),"-",VLOOKUP(B63,Data!$B$29:$T$48,18,FALSE))</f>
        <v>-</v>
      </c>
      <c r="K63" s="420" t="str">
        <f ca="1">IF(ISERROR(VLOOKUP(B63,Data!$B$29:$T$48,15,FALSE)),"-",VLOOKUP(B63,Data!$B$29:$T$48,15,FALSE))</f>
        <v>-</v>
      </c>
      <c r="L63" s="420" t="str">
        <f ca="1">IF(ISERROR(VLOOKUP(B63,Data!$B$29:$T$48,16,FALSE)),"-",VLOOKUP(B63,Data!$B$29:$T$48,16,FALSE))</f>
        <v>-</v>
      </c>
      <c r="M63" s="161">
        <f t="shared" ca="1" si="1"/>
        <v>0</v>
      </c>
      <c r="N63" s="215">
        <f ca="1">COUNT($M$58:$M$77)-(RANK(M63,$M$58:$M$77)+COUNTIF($M$58:M63,M63)-1)+1</f>
        <v>15</v>
      </c>
      <c r="O63" t="str">
        <f t="shared" ca="1" si="2"/>
        <v>*Hide*</v>
      </c>
    </row>
    <row r="64" spans="2:15">
      <c r="B64" s="411" t="str">
        <f ca="1">Order!J9</f>
        <v>*Hide*</v>
      </c>
      <c r="C64" s="411" t="str">
        <f ca="1">IF(ISERROR(VLOOKUP(B64,Data!$B$4:$N$23,2,FALSE)),"-",VLOOKUP(B64,Data!$B$4:$N$23,2,FALSE))</f>
        <v>-</v>
      </c>
      <c r="D64" s="420" t="str">
        <f ca="1">IF(ISERROR(VLOOKUP(B64,Data!$B$4:$N$23,10,FALSE)),"-",VLOOKUP(B64,Data!$B$4:$N$23,10,FALSE))</f>
        <v>-</v>
      </c>
      <c r="E64" s="420" t="str">
        <f ca="1">IF(ISERROR(VLOOKUP(B64,Data!$B$29:$T$48,10,FALSE)),"-",VLOOKUP(B64,Data!$B$29:$T$48,10,FALSE))</f>
        <v>-</v>
      </c>
      <c r="F64" s="414" t="str">
        <f ca="1">IF(ISERROR(VLOOKUP(B64,Data!$B$4:$N$23,12,FALSE)),"-",VLOOKUP(B64,Data!$B$4:$N$23,12,FALSE))</f>
        <v>-</v>
      </c>
      <c r="G64" s="414" t="str">
        <f ca="1">IF(ISERROR(VLOOKUP(B64,Data!$B$29:$T$48,12,FALSE)),"-",VLOOKUP(B64,Data!$B$29:$T$48,12,FALSE))</f>
        <v>-</v>
      </c>
      <c r="H64" s="414" t="str">
        <f ca="1">IF(ISERROR(VLOOKUP(B64,Data!$B$4:$N$23,13,FALSE)),"-",VLOOKUP(B64,Data!$B$4:$N$23,13,FALSE))</f>
        <v>-</v>
      </c>
      <c r="I64" s="414" t="str">
        <f ca="1">IF(ISERROR(VLOOKUP(B64,Data!$B$29:$T$48,13,FALSE)),"-",VLOOKUP(B64,Data!$B$29:$T$48,13,FALSE))</f>
        <v>-</v>
      </c>
      <c r="J64" s="421" t="str">
        <f ca="1">IF(ISERROR(VLOOKUP(B64,Data!$B$29:$T$48,18,FALSE)),"-",VLOOKUP(B64,Data!$B$29:$T$48,18,FALSE))</f>
        <v>-</v>
      </c>
      <c r="K64" s="420" t="str">
        <f ca="1">IF(ISERROR(VLOOKUP(B64,Data!$B$29:$T$48,15,FALSE)),"-",VLOOKUP(B64,Data!$B$29:$T$48,15,FALSE))</f>
        <v>-</v>
      </c>
      <c r="L64" s="420" t="str">
        <f ca="1">IF(ISERROR(VLOOKUP(B64,Data!$B$29:$T$48,16,FALSE)),"-",VLOOKUP(B64,Data!$B$29:$T$48,16,FALSE))</f>
        <v>-</v>
      </c>
      <c r="M64" s="161">
        <f t="shared" ca="1" si="1"/>
        <v>0</v>
      </c>
      <c r="N64" s="215">
        <f ca="1">COUNT($M$58:$M$77)-(RANK(M64,$M$58:$M$77)+COUNTIF($M$58:M64,M64)-1)+1</f>
        <v>14</v>
      </c>
      <c r="O64" t="str">
        <f t="shared" ca="1" si="2"/>
        <v>*Hide*</v>
      </c>
    </row>
    <row r="65" spans="2:15">
      <c r="B65" s="411" t="str">
        <f ca="1">Order!J10</f>
        <v>*Hide*</v>
      </c>
      <c r="C65" s="411" t="str">
        <f ca="1">IF(ISERROR(VLOOKUP(B65,Data!$B$4:$N$23,2,FALSE)),"-",VLOOKUP(B65,Data!$B$4:$N$23,2,FALSE))</f>
        <v>-</v>
      </c>
      <c r="D65" s="420" t="str">
        <f ca="1">IF(ISERROR(VLOOKUP(B65,Data!$B$4:$N$23,10,FALSE)),"-",VLOOKUP(B65,Data!$B$4:$N$23,10,FALSE))</f>
        <v>-</v>
      </c>
      <c r="E65" s="420" t="str">
        <f ca="1">IF(ISERROR(VLOOKUP(B65,Data!$B$29:$T$48,10,FALSE)),"-",VLOOKUP(B65,Data!$B$29:$T$48,10,FALSE))</f>
        <v>-</v>
      </c>
      <c r="F65" s="414" t="str">
        <f ca="1">IF(ISERROR(VLOOKUP(B65,Data!$B$4:$N$23,12,FALSE)),"-",VLOOKUP(B65,Data!$B$4:$N$23,12,FALSE))</f>
        <v>-</v>
      </c>
      <c r="G65" s="414" t="str">
        <f ca="1">IF(ISERROR(VLOOKUP(B65,Data!$B$29:$T$48,12,FALSE)),"-",VLOOKUP(B65,Data!$B$29:$T$48,12,FALSE))</f>
        <v>-</v>
      </c>
      <c r="H65" s="414" t="str">
        <f ca="1">IF(ISERROR(VLOOKUP(B65,Data!$B$4:$N$23,13,FALSE)),"-",VLOOKUP(B65,Data!$B$4:$N$23,13,FALSE))</f>
        <v>-</v>
      </c>
      <c r="I65" s="414" t="str">
        <f ca="1">IF(ISERROR(VLOOKUP(B65,Data!$B$29:$T$48,13,FALSE)),"-",VLOOKUP(B65,Data!$B$29:$T$48,13,FALSE))</f>
        <v>-</v>
      </c>
      <c r="J65" s="421" t="str">
        <f ca="1">IF(ISERROR(VLOOKUP(B65,Data!$B$29:$T$48,18,FALSE)),"-",VLOOKUP(B65,Data!$B$29:$T$48,18,FALSE))</f>
        <v>-</v>
      </c>
      <c r="K65" s="420" t="str">
        <f ca="1">IF(ISERROR(VLOOKUP(B65,Data!$B$29:$T$48,15,FALSE)),"-",VLOOKUP(B65,Data!$B$29:$T$48,15,FALSE))</f>
        <v>-</v>
      </c>
      <c r="L65" s="420" t="str">
        <f ca="1">IF(ISERROR(VLOOKUP(B65,Data!$B$29:$T$48,16,FALSE)),"-",VLOOKUP(B65,Data!$B$29:$T$48,16,FALSE))</f>
        <v>-</v>
      </c>
      <c r="M65" s="161">
        <f t="shared" ca="1" si="1"/>
        <v>0</v>
      </c>
      <c r="N65" s="215">
        <f ca="1">COUNT($M$58:$M$77)-(RANK(M65,$M$58:$M$77)+COUNTIF($M$58:M65,M65)-1)+1</f>
        <v>13</v>
      </c>
      <c r="O65" t="str">
        <f t="shared" ca="1" si="2"/>
        <v>*Hide*</v>
      </c>
    </row>
    <row r="66" spans="2:15">
      <c r="B66" s="411" t="str">
        <f ca="1">Order!J11</f>
        <v>*Hide*</v>
      </c>
      <c r="C66" s="411" t="str">
        <f ca="1">IF(ISERROR(VLOOKUP(B66,Data!$B$4:$N$23,2,FALSE)),"-",VLOOKUP(B66,Data!$B$4:$N$23,2,FALSE))</f>
        <v>-</v>
      </c>
      <c r="D66" s="420" t="str">
        <f ca="1">IF(ISERROR(VLOOKUP(B66,Data!$B$4:$N$23,10,FALSE)),"-",VLOOKUP(B66,Data!$B$4:$N$23,10,FALSE))</f>
        <v>-</v>
      </c>
      <c r="E66" s="420" t="str">
        <f ca="1">IF(ISERROR(VLOOKUP(B66,Data!$B$29:$T$48,10,FALSE)),"-",VLOOKUP(B66,Data!$B$29:$T$48,10,FALSE))</f>
        <v>-</v>
      </c>
      <c r="F66" s="414" t="str">
        <f ca="1">IF(ISERROR(VLOOKUP(B66,Data!$B$4:$N$23,12,FALSE)),"-",VLOOKUP(B66,Data!$B$4:$N$23,12,FALSE))</f>
        <v>-</v>
      </c>
      <c r="G66" s="414" t="str">
        <f ca="1">IF(ISERROR(VLOOKUP(B66,Data!$B$29:$T$48,12,FALSE)),"-",VLOOKUP(B66,Data!$B$29:$T$48,12,FALSE))</f>
        <v>-</v>
      </c>
      <c r="H66" s="414" t="str">
        <f ca="1">IF(ISERROR(VLOOKUP(B66,Data!$B$4:$N$23,13,FALSE)),"-",VLOOKUP(B66,Data!$B$4:$N$23,13,FALSE))</f>
        <v>-</v>
      </c>
      <c r="I66" s="414" t="str">
        <f ca="1">IF(ISERROR(VLOOKUP(B66,Data!$B$29:$T$48,13,FALSE)),"-",VLOOKUP(B66,Data!$B$29:$T$48,13,FALSE))</f>
        <v>-</v>
      </c>
      <c r="J66" s="421" t="str">
        <f ca="1">IF(ISERROR(VLOOKUP(B66,Data!$B$29:$T$48,18,FALSE)),"-",VLOOKUP(B66,Data!$B$29:$T$48,18,FALSE))</f>
        <v>-</v>
      </c>
      <c r="K66" s="420" t="str">
        <f ca="1">IF(ISERROR(VLOOKUP(B66,Data!$B$29:$T$48,15,FALSE)),"-",VLOOKUP(B66,Data!$B$29:$T$48,15,FALSE))</f>
        <v>-</v>
      </c>
      <c r="L66" s="420" t="str">
        <f ca="1">IF(ISERROR(VLOOKUP(B66,Data!$B$29:$T$48,16,FALSE)),"-",VLOOKUP(B66,Data!$B$29:$T$48,16,FALSE))</f>
        <v>-</v>
      </c>
      <c r="M66" s="161">
        <f t="shared" ca="1" si="1"/>
        <v>0</v>
      </c>
      <c r="N66" s="215">
        <f ca="1">COUNT($M$58:$M$77)-(RANK(M66,$M$58:$M$77)+COUNTIF($M$58:M66,M66)-1)+1</f>
        <v>12</v>
      </c>
      <c r="O66" t="str">
        <f t="shared" ca="1" si="2"/>
        <v>*Hide*</v>
      </c>
    </row>
    <row r="67" spans="2:15">
      <c r="B67" s="411" t="str">
        <f ca="1">Order!J12</f>
        <v>*Hide*</v>
      </c>
      <c r="C67" s="411" t="str">
        <f ca="1">IF(ISERROR(VLOOKUP(B67,Data!$B$4:$N$23,2,FALSE)),"-",VLOOKUP(B67,Data!$B$4:$N$23,2,FALSE))</f>
        <v>-</v>
      </c>
      <c r="D67" s="420" t="str">
        <f ca="1">IF(ISERROR(VLOOKUP(B67,Data!$B$4:$N$23,10,FALSE)),"-",VLOOKUP(B67,Data!$B$4:$N$23,10,FALSE))</f>
        <v>-</v>
      </c>
      <c r="E67" s="420" t="str">
        <f ca="1">IF(ISERROR(VLOOKUP(B67,Data!$B$29:$T$48,10,FALSE)),"-",VLOOKUP(B67,Data!$B$29:$T$48,10,FALSE))</f>
        <v>-</v>
      </c>
      <c r="F67" s="414" t="str">
        <f ca="1">IF(ISERROR(VLOOKUP(B67,Data!$B$4:$N$23,12,FALSE)),"-",VLOOKUP(B67,Data!$B$4:$N$23,12,FALSE))</f>
        <v>-</v>
      </c>
      <c r="G67" s="414" t="str">
        <f ca="1">IF(ISERROR(VLOOKUP(B67,Data!$B$29:$T$48,12,FALSE)),"-",VLOOKUP(B67,Data!$B$29:$T$48,12,FALSE))</f>
        <v>-</v>
      </c>
      <c r="H67" s="414" t="str">
        <f ca="1">IF(ISERROR(VLOOKUP(B67,Data!$B$4:$N$23,13,FALSE)),"-",VLOOKUP(B67,Data!$B$4:$N$23,13,FALSE))</f>
        <v>-</v>
      </c>
      <c r="I67" s="414" t="str">
        <f ca="1">IF(ISERROR(VLOOKUP(B67,Data!$B$29:$T$48,13,FALSE)),"-",VLOOKUP(B67,Data!$B$29:$T$48,13,FALSE))</f>
        <v>-</v>
      </c>
      <c r="J67" s="421" t="str">
        <f ca="1">IF(ISERROR(VLOOKUP(B67,Data!$B$29:$T$48,18,FALSE)),"-",VLOOKUP(B67,Data!$B$29:$T$48,18,FALSE))</f>
        <v>-</v>
      </c>
      <c r="K67" s="420" t="str">
        <f ca="1">IF(ISERROR(VLOOKUP(B67,Data!$B$29:$T$48,15,FALSE)),"-",VLOOKUP(B67,Data!$B$29:$T$48,15,FALSE))</f>
        <v>-</v>
      </c>
      <c r="L67" s="420" t="str">
        <f ca="1">IF(ISERROR(VLOOKUP(B67,Data!$B$29:$T$48,16,FALSE)),"-",VLOOKUP(B67,Data!$B$29:$T$48,16,FALSE))</f>
        <v>-</v>
      </c>
      <c r="M67" s="161">
        <f t="shared" ca="1" si="1"/>
        <v>0</v>
      </c>
      <c r="N67" s="215">
        <f ca="1">COUNT($M$58:$M$77)-(RANK(M67,$M$58:$M$77)+COUNTIF($M$58:M67,M67)-1)+1</f>
        <v>11</v>
      </c>
      <c r="O67" t="str">
        <f t="shared" ca="1" si="2"/>
        <v>*Hide*</v>
      </c>
    </row>
    <row r="68" spans="2:15">
      <c r="B68" s="411" t="str">
        <f ca="1">Order!J13</f>
        <v>*Hide*</v>
      </c>
      <c r="C68" s="411" t="str">
        <f ca="1">IF(ISERROR(VLOOKUP(B68,Data!$B$4:$N$23,2,FALSE)),"-",VLOOKUP(B68,Data!$B$4:$N$23,2,FALSE))</f>
        <v>-</v>
      </c>
      <c r="D68" s="420" t="str">
        <f ca="1">IF(ISERROR(VLOOKUP(B68,Data!$B$4:$N$23,10,FALSE)),"-",VLOOKUP(B68,Data!$B$4:$N$23,10,FALSE))</f>
        <v>-</v>
      </c>
      <c r="E68" s="420" t="str">
        <f ca="1">IF(ISERROR(VLOOKUP(B68,Data!$B$29:$T$48,10,FALSE)),"-",VLOOKUP(B68,Data!$B$29:$T$48,10,FALSE))</f>
        <v>-</v>
      </c>
      <c r="F68" s="414" t="str">
        <f ca="1">IF(ISERROR(VLOOKUP(B68,Data!$B$4:$N$23,12,FALSE)),"-",VLOOKUP(B68,Data!$B$4:$N$23,12,FALSE))</f>
        <v>-</v>
      </c>
      <c r="G68" s="414" t="str">
        <f ca="1">IF(ISERROR(VLOOKUP(B68,Data!$B$29:$T$48,12,FALSE)),"-",VLOOKUP(B68,Data!$B$29:$T$48,12,FALSE))</f>
        <v>-</v>
      </c>
      <c r="H68" s="414" t="str">
        <f ca="1">IF(ISERROR(VLOOKUP(B68,Data!$B$4:$N$23,13,FALSE)),"-",VLOOKUP(B68,Data!$B$4:$N$23,13,FALSE))</f>
        <v>-</v>
      </c>
      <c r="I68" s="414" t="str">
        <f ca="1">IF(ISERROR(VLOOKUP(B68,Data!$B$29:$T$48,13,FALSE)),"-",VLOOKUP(B68,Data!$B$29:$T$48,13,FALSE))</f>
        <v>-</v>
      </c>
      <c r="J68" s="421" t="str">
        <f ca="1">IF(ISERROR(VLOOKUP(B68,Data!$B$29:$T$48,18,FALSE)),"-",VLOOKUP(B68,Data!$B$29:$T$48,18,FALSE))</f>
        <v>-</v>
      </c>
      <c r="K68" s="420" t="str">
        <f ca="1">IF(ISERROR(VLOOKUP(B68,Data!$B$29:$T$48,15,FALSE)),"-",VLOOKUP(B68,Data!$B$29:$T$48,15,FALSE))</f>
        <v>-</v>
      </c>
      <c r="L68" s="420" t="str">
        <f ca="1">IF(ISERROR(VLOOKUP(B68,Data!$B$29:$T$48,16,FALSE)),"-",VLOOKUP(B68,Data!$B$29:$T$48,16,FALSE))</f>
        <v>-</v>
      </c>
      <c r="M68" s="161">
        <f t="shared" ca="1" si="1"/>
        <v>0</v>
      </c>
      <c r="N68" s="215">
        <f ca="1">COUNT($M$58:$M$77)-(RANK(M68,$M$58:$M$77)+COUNTIF($M$58:M68,M68)-1)+1</f>
        <v>10</v>
      </c>
      <c r="O68" t="str">
        <f t="shared" ca="1" si="2"/>
        <v>*Hide*</v>
      </c>
    </row>
    <row r="69" spans="2:15">
      <c r="B69" s="411" t="str">
        <f ca="1">Order!J14</f>
        <v>*Hide*</v>
      </c>
      <c r="C69" s="411" t="str">
        <f ca="1">IF(ISERROR(VLOOKUP(B69,Data!$B$4:$N$23,2,FALSE)),"-",VLOOKUP(B69,Data!$B$4:$N$23,2,FALSE))</f>
        <v>-</v>
      </c>
      <c r="D69" s="420" t="str">
        <f ca="1">IF(ISERROR(VLOOKUP(B69,Data!$B$4:$N$23,10,FALSE)),"-",VLOOKUP(B69,Data!$B$4:$N$23,10,FALSE))</f>
        <v>-</v>
      </c>
      <c r="E69" s="420" t="str">
        <f ca="1">IF(ISERROR(VLOOKUP(B69,Data!$B$29:$T$48,10,FALSE)),"-",VLOOKUP(B69,Data!$B$29:$T$48,10,FALSE))</f>
        <v>-</v>
      </c>
      <c r="F69" s="414" t="str">
        <f ca="1">IF(ISERROR(VLOOKUP(B69,Data!$B$4:$N$23,12,FALSE)),"-",VLOOKUP(B69,Data!$B$4:$N$23,12,FALSE))</f>
        <v>-</v>
      </c>
      <c r="G69" s="414" t="str">
        <f ca="1">IF(ISERROR(VLOOKUP(B69,Data!$B$29:$T$48,12,FALSE)),"-",VLOOKUP(B69,Data!$B$29:$T$48,12,FALSE))</f>
        <v>-</v>
      </c>
      <c r="H69" s="414" t="str">
        <f ca="1">IF(ISERROR(VLOOKUP(B69,Data!$B$4:$N$23,13,FALSE)),"-",VLOOKUP(B69,Data!$B$4:$N$23,13,FALSE))</f>
        <v>-</v>
      </c>
      <c r="I69" s="414" t="str">
        <f ca="1">IF(ISERROR(VLOOKUP(B69,Data!$B$29:$T$48,13,FALSE)),"-",VLOOKUP(B69,Data!$B$29:$T$48,13,FALSE))</f>
        <v>-</v>
      </c>
      <c r="J69" s="421" t="str">
        <f ca="1">IF(ISERROR(VLOOKUP(B69,Data!$B$29:$T$48,18,FALSE)),"-",VLOOKUP(B69,Data!$B$29:$T$48,18,FALSE))</f>
        <v>-</v>
      </c>
      <c r="K69" s="420" t="str">
        <f ca="1">IF(ISERROR(VLOOKUP(B69,Data!$B$29:$T$48,15,FALSE)),"-",VLOOKUP(B69,Data!$B$29:$T$48,15,FALSE))</f>
        <v>-</v>
      </c>
      <c r="L69" s="420" t="str">
        <f ca="1">IF(ISERROR(VLOOKUP(B69,Data!$B$29:$T$48,16,FALSE)),"-",VLOOKUP(B69,Data!$B$29:$T$48,16,FALSE))</f>
        <v>-</v>
      </c>
      <c r="M69" s="161">
        <f t="shared" ca="1" si="1"/>
        <v>0</v>
      </c>
      <c r="N69" s="215">
        <f ca="1">COUNT($M$58:$M$77)-(RANK(M69,$M$58:$M$77)+COUNTIF($M$58:M69,M69)-1)+1</f>
        <v>9</v>
      </c>
      <c r="O69" t="str">
        <f t="shared" ca="1" si="2"/>
        <v>*Hide*</v>
      </c>
    </row>
    <row r="70" spans="2:15">
      <c r="B70" s="411" t="str">
        <f ca="1">Order!J15</f>
        <v>*Hide*</v>
      </c>
      <c r="C70" s="411" t="str">
        <f ca="1">IF(ISERROR(VLOOKUP(B70,Data!$B$4:$N$23,2,FALSE)),"-",VLOOKUP(B70,Data!$B$4:$N$23,2,FALSE))</f>
        <v>-</v>
      </c>
      <c r="D70" s="420" t="str">
        <f ca="1">IF(ISERROR(VLOOKUP(B70,Data!$B$4:$N$23,10,FALSE)),"-",VLOOKUP(B70,Data!$B$4:$N$23,10,FALSE))</f>
        <v>-</v>
      </c>
      <c r="E70" s="420" t="str">
        <f ca="1">IF(ISERROR(VLOOKUP(B70,Data!$B$29:$T$48,10,FALSE)),"-",VLOOKUP(B70,Data!$B$29:$T$48,10,FALSE))</f>
        <v>-</v>
      </c>
      <c r="F70" s="414" t="str">
        <f ca="1">IF(ISERROR(VLOOKUP(B70,Data!$B$4:$N$23,12,FALSE)),"-",VLOOKUP(B70,Data!$B$4:$N$23,12,FALSE))</f>
        <v>-</v>
      </c>
      <c r="G70" s="414" t="str">
        <f ca="1">IF(ISERROR(VLOOKUP(B70,Data!$B$29:$T$48,12,FALSE)),"-",VLOOKUP(B70,Data!$B$29:$T$48,12,FALSE))</f>
        <v>-</v>
      </c>
      <c r="H70" s="414" t="str">
        <f ca="1">IF(ISERROR(VLOOKUP(B70,Data!$B$4:$N$23,13,FALSE)),"-",VLOOKUP(B70,Data!$B$4:$N$23,13,FALSE))</f>
        <v>-</v>
      </c>
      <c r="I70" s="414" t="str">
        <f ca="1">IF(ISERROR(VLOOKUP(B70,Data!$B$29:$T$48,13,FALSE)),"-",VLOOKUP(B70,Data!$B$29:$T$48,13,FALSE))</f>
        <v>-</v>
      </c>
      <c r="J70" s="421" t="str">
        <f ca="1">IF(ISERROR(VLOOKUP(B70,Data!$B$29:$T$48,18,FALSE)),"-",VLOOKUP(B70,Data!$B$29:$T$48,18,FALSE))</f>
        <v>-</v>
      </c>
      <c r="K70" s="420" t="str">
        <f ca="1">IF(ISERROR(VLOOKUP(B70,Data!$B$29:$T$48,15,FALSE)),"-",VLOOKUP(B70,Data!$B$29:$T$48,15,FALSE))</f>
        <v>-</v>
      </c>
      <c r="L70" s="420" t="str">
        <f ca="1">IF(ISERROR(VLOOKUP(B70,Data!$B$29:$T$48,16,FALSE)),"-",VLOOKUP(B70,Data!$B$29:$T$48,16,FALSE))</f>
        <v>-</v>
      </c>
      <c r="M70" s="161">
        <f t="shared" ca="1" si="1"/>
        <v>0</v>
      </c>
      <c r="N70" s="215">
        <f ca="1">COUNT($M$58:$M$77)-(RANK(M70,$M$58:$M$77)+COUNTIF($M$58:M70,M70)-1)+1</f>
        <v>8</v>
      </c>
      <c r="O70" t="str">
        <f t="shared" ca="1" si="2"/>
        <v>*Hide*</v>
      </c>
    </row>
    <row r="71" spans="2:15">
      <c r="B71" s="411" t="str">
        <f ca="1">Order!J16</f>
        <v>*Hide*</v>
      </c>
      <c r="C71" s="411" t="str">
        <f ca="1">IF(ISERROR(VLOOKUP(B71,Data!$B$4:$N$23,2,FALSE)),"-",VLOOKUP(B71,Data!$B$4:$N$23,2,FALSE))</f>
        <v>-</v>
      </c>
      <c r="D71" s="420" t="str">
        <f ca="1">IF(ISERROR(VLOOKUP(B71,Data!$B$4:$N$23,10,FALSE)),"-",VLOOKUP(B71,Data!$B$4:$N$23,10,FALSE))</f>
        <v>-</v>
      </c>
      <c r="E71" s="420" t="str">
        <f ca="1">IF(ISERROR(VLOOKUP(B71,Data!$B$29:$T$48,10,FALSE)),"-",VLOOKUP(B71,Data!$B$29:$T$48,10,FALSE))</f>
        <v>-</v>
      </c>
      <c r="F71" s="414" t="str">
        <f ca="1">IF(ISERROR(VLOOKUP(B71,Data!$B$4:$N$23,12,FALSE)),"-",VLOOKUP(B71,Data!$B$4:$N$23,12,FALSE))</f>
        <v>-</v>
      </c>
      <c r="G71" s="414" t="str">
        <f ca="1">IF(ISERROR(VLOOKUP(B71,Data!$B$29:$T$48,12,FALSE)),"-",VLOOKUP(B71,Data!$B$29:$T$48,12,FALSE))</f>
        <v>-</v>
      </c>
      <c r="H71" s="414" t="str">
        <f ca="1">IF(ISERROR(VLOOKUP(B71,Data!$B$4:$N$23,13,FALSE)),"-",VLOOKUP(B71,Data!$B$4:$N$23,13,FALSE))</f>
        <v>-</v>
      </c>
      <c r="I71" s="414" t="str">
        <f ca="1">IF(ISERROR(VLOOKUP(B71,Data!$B$29:$T$48,13,FALSE)),"-",VLOOKUP(B71,Data!$B$29:$T$48,13,FALSE))</f>
        <v>-</v>
      </c>
      <c r="J71" s="421" t="str">
        <f ca="1">IF(ISERROR(VLOOKUP(B71,Data!$B$29:$T$48,18,FALSE)),"-",VLOOKUP(B71,Data!$B$29:$T$48,18,FALSE))</f>
        <v>-</v>
      </c>
      <c r="K71" s="420" t="str">
        <f ca="1">IF(ISERROR(VLOOKUP(B71,Data!$B$29:$T$48,15,FALSE)),"-",VLOOKUP(B71,Data!$B$29:$T$48,15,FALSE))</f>
        <v>-</v>
      </c>
      <c r="L71" s="420" t="str">
        <f ca="1">IF(ISERROR(VLOOKUP(B71,Data!$B$29:$T$48,16,FALSE)),"-",VLOOKUP(B71,Data!$B$29:$T$48,16,FALSE))</f>
        <v>-</v>
      </c>
      <c r="M71" s="161">
        <f t="shared" ca="1" si="1"/>
        <v>0</v>
      </c>
      <c r="N71" s="215">
        <f ca="1">COUNT($M$58:$M$77)-(RANK(M71,$M$58:$M$77)+COUNTIF($M$58:M71,M71)-1)+1</f>
        <v>7</v>
      </c>
      <c r="O71" t="str">
        <f t="shared" ca="1" si="2"/>
        <v>*Hide*</v>
      </c>
    </row>
    <row r="72" spans="2:15">
      <c r="B72" s="411" t="str">
        <f ca="1">Order!J17</f>
        <v>*Hide*</v>
      </c>
      <c r="C72" s="411" t="str">
        <f ca="1">IF(ISERROR(VLOOKUP(B72,Data!$B$4:$N$23,2,FALSE)),"-",VLOOKUP(B72,Data!$B$4:$N$23,2,FALSE))</f>
        <v>-</v>
      </c>
      <c r="D72" s="420" t="str">
        <f ca="1">IF(ISERROR(VLOOKUP(B72,Data!$B$4:$N$23,10,FALSE)),"-",VLOOKUP(B72,Data!$B$4:$N$23,10,FALSE))</f>
        <v>-</v>
      </c>
      <c r="E72" s="420" t="str">
        <f ca="1">IF(ISERROR(VLOOKUP(B72,Data!$B$29:$T$48,10,FALSE)),"-",VLOOKUP(B72,Data!$B$29:$T$48,10,FALSE))</f>
        <v>-</v>
      </c>
      <c r="F72" s="414" t="str">
        <f ca="1">IF(ISERROR(VLOOKUP(B72,Data!$B$4:$N$23,12,FALSE)),"-",VLOOKUP(B72,Data!$B$4:$N$23,12,FALSE))</f>
        <v>-</v>
      </c>
      <c r="G72" s="414" t="str">
        <f ca="1">IF(ISERROR(VLOOKUP(B72,Data!$B$29:$T$48,12,FALSE)),"-",VLOOKUP(B72,Data!$B$29:$T$48,12,FALSE))</f>
        <v>-</v>
      </c>
      <c r="H72" s="414" t="str">
        <f ca="1">IF(ISERROR(VLOOKUP(B72,Data!$B$4:$N$23,13,FALSE)),"-",VLOOKUP(B72,Data!$B$4:$N$23,13,FALSE))</f>
        <v>-</v>
      </c>
      <c r="I72" s="414" t="str">
        <f ca="1">IF(ISERROR(VLOOKUP(B72,Data!$B$29:$T$48,13,FALSE)),"-",VLOOKUP(B72,Data!$B$29:$T$48,13,FALSE))</f>
        <v>-</v>
      </c>
      <c r="J72" s="421" t="str">
        <f ca="1">IF(ISERROR(VLOOKUP(B72,Data!$B$29:$T$48,18,FALSE)),"-",VLOOKUP(B72,Data!$B$29:$T$48,18,FALSE))</f>
        <v>-</v>
      </c>
      <c r="K72" s="420" t="str">
        <f ca="1">IF(ISERROR(VLOOKUP(B72,Data!$B$29:$T$48,15,FALSE)),"-",VLOOKUP(B72,Data!$B$29:$T$48,15,FALSE))</f>
        <v>-</v>
      </c>
      <c r="L72" s="420" t="str">
        <f ca="1">IF(ISERROR(VLOOKUP(B72,Data!$B$29:$T$48,16,FALSE)),"-",VLOOKUP(B72,Data!$B$29:$T$48,16,FALSE))</f>
        <v>-</v>
      </c>
      <c r="M72" s="161">
        <f t="shared" ca="1" si="1"/>
        <v>0</v>
      </c>
      <c r="N72" s="215">
        <f ca="1">COUNT($M$58:$M$77)-(RANK(M72,$M$58:$M$77)+COUNTIF($M$58:M72,M72)-1)+1</f>
        <v>6</v>
      </c>
      <c r="O72" t="str">
        <f t="shared" ca="1" si="2"/>
        <v>*Hide*</v>
      </c>
    </row>
    <row r="73" spans="2:15">
      <c r="B73" s="411" t="str">
        <f ca="1">Order!J18</f>
        <v>*Hide*</v>
      </c>
      <c r="C73" s="411" t="str">
        <f ca="1">IF(ISERROR(VLOOKUP(B73,Data!$B$4:$N$23,2,FALSE)),"-",VLOOKUP(B73,Data!$B$4:$N$23,2,FALSE))</f>
        <v>-</v>
      </c>
      <c r="D73" s="420" t="str">
        <f ca="1">IF(ISERROR(VLOOKUP(B73,Data!$B$4:$N$23,10,FALSE)),"-",VLOOKUP(B73,Data!$B$4:$N$23,10,FALSE))</f>
        <v>-</v>
      </c>
      <c r="E73" s="420" t="str">
        <f ca="1">IF(ISERROR(VLOOKUP(B73,Data!$B$29:$T$48,10,FALSE)),"-",VLOOKUP(B73,Data!$B$29:$T$48,10,FALSE))</f>
        <v>-</v>
      </c>
      <c r="F73" s="414" t="str">
        <f ca="1">IF(ISERROR(VLOOKUP(B73,Data!$B$4:$N$23,12,FALSE)),"-",VLOOKUP(B73,Data!$B$4:$N$23,12,FALSE))</f>
        <v>-</v>
      </c>
      <c r="G73" s="414" t="str">
        <f ca="1">IF(ISERROR(VLOOKUP(B73,Data!$B$29:$T$48,12,FALSE)),"-",VLOOKUP(B73,Data!$B$29:$T$48,12,FALSE))</f>
        <v>-</v>
      </c>
      <c r="H73" s="414" t="str">
        <f ca="1">IF(ISERROR(VLOOKUP(B73,Data!$B$4:$N$23,13,FALSE)),"-",VLOOKUP(B73,Data!$B$4:$N$23,13,FALSE))</f>
        <v>-</v>
      </c>
      <c r="I73" s="414" t="str">
        <f ca="1">IF(ISERROR(VLOOKUP(B73,Data!$B$29:$T$48,13,FALSE)),"-",VLOOKUP(B73,Data!$B$29:$T$48,13,FALSE))</f>
        <v>-</v>
      </c>
      <c r="J73" s="421" t="str">
        <f ca="1">IF(ISERROR(VLOOKUP(B73,Data!$B$29:$T$48,18,FALSE)),"-",VLOOKUP(B73,Data!$B$29:$T$48,18,FALSE))</f>
        <v>-</v>
      </c>
      <c r="K73" s="420" t="str">
        <f ca="1">IF(ISERROR(VLOOKUP(B73,Data!$B$29:$T$48,15,FALSE)),"-",VLOOKUP(B73,Data!$B$29:$T$48,15,FALSE))</f>
        <v>-</v>
      </c>
      <c r="L73" s="420" t="str">
        <f ca="1">IF(ISERROR(VLOOKUP(B73,Data!$B$29:$T$48,16,FALSE)),"-",VLOOKUP(B73,Data!$B$29:$T$48,16,FALSE))</f>
        <v>-</v>
      </c>
      <c r="M73" s="161">
        <f t="shared" ca="1" si="1"/>
        <v>0</v>
      </c>
      <c r="N73" s="215">
        <f ca="1">COUNT($M$58:$M$77)-(RANK(M73,$M$58:$M$77)+COUNTIF($M$58:M73,M73)-1)+1</f>
        <v>5</v>
      </c>
      <c r="O73" t="str">
        <f t="shared" ca="1" si="2"/>
        <v>*Hide*</v>
      </c>
    </row>
    <row r="74" spans="2:15">
      <c r="B74" s="411" t="str">
        <f ca="1">Order!J19</f>
        <v>*Hide*</v>
      </c>
      <c r="C74" s="411" t="str">
        <f ca="1">IF(ISERROR(VLOOKUP(B74,Data!$B$4:$N$23,2,FALSE)),"-",VLOOKUP(B74,Data!$B$4:$N$23,2,FALSE))</f>
        <v>-</v>
      </c>
      <c r="D74" s="420" t="str">
        <f ca="1">IF(ISERROR(VLOOKUP(B74,Data!$B$4:$N$23,10,FALSE)),"-",VLOOKUP(B74,Data!$B$4:$N$23,10,FALSE))</f>
        <v>-</v>
      </c>
      <c r="E74" s="420" t="str">
        <f ca="1">IF(ISERROR(VLOOKUP(B74,Data!$B$29:$T$48,10,FALSE)),"-",VLOOKUP(B74,Data!$B$29:$T$48,10,FALSE))</f>
        <v>-</v>
      </c>
      <c r="F74" s="414" t="str">
        <f ca="1">IF(ISERROR(VLOOKUP(B74,Data!$B$4:$N$23,12,FALSE)),"-",VLOOKUP(B74,Data!$B$4:$N$23,12,FALSE))</f>
        <v>-</v>
      </c>
      <c r="G74" s="414" t="str">
        <f ca="1">IF(ISERROR(VLOOKUP(B74,Data!$B$29:$T$48,12,FALSE)),"-",VLOOKUP(B74,Data!$B$29:$T$48,12,FALSE))</f>
        <v>-</v>
      </c>
      <c r="H74" s="414" t="str">
        <f ca="1">IF(ISERROR(VLOOKUP(B74,Data!$B$4:$N$23,13,FALSE)),"-",VLOOKUP(B74,Data!$B$4:$N$23,13,FALSE))</f>
        <v>-</v>
      </c>
      <c r="I74" s="414" t="str">
        <f ca="1">IF(ISERROR(VLOOKUP(B74,Data!$B$29:$T$48,13,FALSE)),"-",VLOOKUP(B74,Data!$B$29:$T$48,13,FALSE))</f>
        <v>-</v>
      </c>
      <c r="J74" s="421" t="str">
        <f ca="1">IF(ISERROR(VLOOKUP(B74,Data!$B$29:$T$48,18,FALSE)),"-",VLOOKUP(B74,Data!$B$29:$T$48,18,FALSE))</f>
        <v>-</v>
      </c>
      <c r="K74" s="420" t="str">
        <f ca="1">IF(ISERROR(VLOOKUP(B74,Data!$B$29:$T$48,15,FALSE)),"-",VLOOKUP(B74,Data!$B$29:$T$48,15,FALSE))</f>
        <v>-</v>
      </c>
      <c r="L74" s="420" t="str">
        <f ca="1">IF(ISERROR(VLOOKUP(B74,Data!$B$29:$T$48,16,FALSE)),"-",VLOOKUP(B74,Data!$B$29:$T$48,16,FALSE))</f>
        <v>-</v>
      </c>
      <c r="M74" s="161">
        <f t="shared" ca="1" si="1"/>
        <v>0</v>
      </c>
      <c r="N74" s="215">
        <f ca="1">COUNT($M$58:$M$77)-(RANK(M74,$M$58:$M$77)+COUNTIF($M$58:M74,M74)-1)+1</f>
        <v>4</v>
      </c>
      <c r="O74" t="str">
        <f t="shared" ca="1" si="2"/>
        <v>*Hide*</v>
      </c>
    </row>
    <row r="75" spans="2:15">
      <c r="B75" s="411" t="str">
        <f ca="1">Order!J20</f>
        <v>*Hide*</v>
      </c>
      <c r="C75" s="411" t="str">
        <f ca="1">IF(ISERROR(VLOOKUP(B75,Data!$B$4:$N$23,2,FALSE)),"-",VLOOKUP(B75,Data!$B$4:$N$23,2,FALSE))</f>
        <v>-</v>
      </c>
      <c r="D75" s="420" t="str">
        <f ca="1">IF(ISERROR(VLOOKUP(B75,Data!$B$4:$N$23,10,FALSE)),"-",VLOOKUP(B75,Data!$B$4:$N$23,10,FALSE))</f>
        <v>-</v>
      </c>
      <c r="E75" s="420" t="str">
        <f ca="1">IF(ISERROR(VLOOKUP(B75,Data!$B$29:$T$48,10,FALSE)),"-",VLOOKUP(B75,Data!$B$29:$T$48,10,FALSE))</f>
        <v>-</v>
      </c>
      <c r="F75" s="414" t="str">
        <f ca="1">IF(ISERROR(VLOOKUP(B75,Data!$B$4:$N$23,12,FALSE)),"-",VLOOKUP(B75,Data!$B$4:$N$23,12,FALSE))</f>
        <v>-</v>
      </c>
      <c r="G75" s="414" t="str">
        <f ca="1">IF(ISERROR(VLOOKUP(B75,Data!$B$29:$T$48,12,FALSE)),"-",VLOOKUP(B75,Data!$B$29:$T$48,12,FALSE))</f>
        <v>-</v>
      </c>
      <c r="H75" s="414" t="str">
        <f ca="1">IF(ISERROR(VLOOKUP(B75,Data!$B$4:$N$23,13,FALSE)),"-",VLOOKUP(B75,Data!$B$4:$N$23,13,FALSE))</f>
        <v>-</v>
      </c>
      <c r="I75" s="414" t="str">
        <f ca="1">IF(ISERROR(VLOOKUP(B75,Data!$B$29:$T$48,13,FALSE)),"-",VLOOKUP(B75,Data!$B$29:$T$48,13,FALSE))</f>
        <v>-</v>
      </c>
      <c r="J75" s="421" t="str">
        <f ca="1">IF(ISERROR(VLOOKUP(B75,Data!$B$29:$T$48,18,FALSE)),"-",VLOOKUP(B75,Data!$B$29:$T$48,18,FALSE))</f>
        <v>-</v>
      </c>
      <c r="K75" s="420" t="str">
        <f ca="1">IF(ISERROR(VLOOKUP(B75,Data!$B$29:$T$48,15,FALSE)),"-",VLOOKUP(B75,Data!$B$29:$T$48,15,FALSE))</f>
        <v>-</v>
      </c>
      <c r="L75" s="420" t="str">
        <f ca="1">IF(ISERROR(VLOOKUP(B75,Data!$B$29:$T$48,16,FALSE)),"-",VLOOKUP(B75,Data!$B$29:$T$48,16,FALSE))</f>
        <v>-</v>
      </c>
      <c r="M75" s="161">
        <f t="shared" ca="1" si="1"/>
        <v>0</v>
      </c>
      <c r="N75" s="215">
        <f ca="1">COUNT($M$58:$M$77)-(RANK(M75,$M$58:$M$77)+COUNTIF($M$58:M75,M75)-1)+1</f>
        <v>3</v>
      </c>
      <c r="O75" t="str">
        <f t="shared" ca="1" si="2"/>
        <v>*Hide*</v>
      </c>
    </row>
    <row r="76" spans="2:15">
      <c r="B76" s="411" t="str">
        <f ca="1">Order!J21</f>
        <v>*Hide*</v>
      </c>
      <c r="C76" s="411" t="str">
        <f ca="1">IF(ISERROR(VLOOKUP(B76,Data!$B$4:$N$23,2,FALSE)),"-",VLOOKUP(B76,Data!$B$4:$N$23,2,FALSE))</f>
        <v>-</v>
      </c>
      <c r="D76" s="420" t="str">
        <f ca="1">IF(ISERROR(VLOOKUP(B76,Data!$B$4:$N$23,10,FALSE)),"-",VLOOKUP(B76,Data!$B$4:$N$23,10,FALSE))</f>
        <v>-</v>
      </c>
      <c r="E76" s="420" t="str">
        <f ca="1">IF(ISERROR(VLOOKUP(B76,Data!$B$29:$T$48,10,FALSE)),"-",VLOOKUP(B76,Data!$B$29:$T$48,10,FALSE))</f>
        <v>-</v>
      </c>
      <c r="F76" s="414" t="str">
        <f ca="1">IF(ISERROR(VLOOKUP(B76,Data!$B$4:$N$23,12,FALSE)),"-",VLOOKUP(B76,Data!$B$4:$N$23,12,FALSE))</f>
        <v>-</v>
      </c>
      <c r="G76" s="414" t="str">
        <f ca="1">IF(ISERROR(VLOOKUP(B76,Data!$B$29:$T$48,12,FALSE)),"-",VLOOKUP(B76,Data!$B$29:$T$48,12,FALSE))</f>
        <v>-</v>
      </c>
      <c r="H76" s="414" t="str">
        <f ca="1">IF(ISERROR(VLOOKUP(B76,Data!$B$4:$N$23,13,FALSE)),"-",VLOOKUP(B76,Data!$B$4:$N$23,13,FALSE))</f>
        <v>-</v>
      </c>
      <c r="I76" s="414" t="str">
        <f ca="1">IF(ISERROR(VLOOKUP(B76,Data!$B$29:$T$48,13,FALSE)),"-",VLOOKUP(B76,Data!$B$29:$T$48,13,FALSE))</f>
        <v>-</v>
      </c>
      <c r="J76" s="421" t="str">
        <f ca="1">IF(ISERROR(VLOOKUP(B76,Data!$B$29:$T$48,18,FALSE)),"-",VLOOKUP(B76,Data!$B$29:$T$48,18,FALSE))</f>
        <v>-</v>
      </c>
      <c r="K76" s="420" t="str">
        <f ca="1">IF(ISERROR(VLOOKUP(B76,Data!$B$29:$T$48,15,FALSE)),"-",VLOOKUP(B76,Data!$B$29:$T$48,15,FALSE))</f>
        <v>-</v>
      </c>
      <c r="L76" s="420" t="str">
        <f ca="1">IF(ISERROR(VLOOKUP(B76,Data!$B$29:$T$48,16,FALSE)),"-",VLOOKUP(B76,Data!$B$29:$T$48,16,FALSE))</f>
        <v>-</v>
      </c>
      <c r="M76" s="161">
        <f t="shared" ca="1" si="1"/>
        <v>0</v>
      </c>
      <c r="N76" s="215">
        <f ca="1">COUNT($M$58:$M$77)-(RANK(M76,$M$58:$M$77)+COUNTIF($M$58:M76,M76)-1)+1</f>
        <v>2</v>
      </c>
      <c r="O76" t="str">
        <f t="shared" ca="1" si="2"/>
        <v>*Hide*</v>
      </c>
    </row>
    <row r="77" spans="2:15">
      <c r="B77" s="411" t="str">
        <f ca="1">Order!J22</f>
        <v>*Hide*</v>
      </c>
      <c r="C77" s="411" t="str">
        <f ca="1">IF(ISERROR(VLOOKUP(B77,Data!$B$4:$N$23,2,FALSE)),"-",VLOOKUP(B77,Data!$B$4:$N$23,2,FALSE))</f>
        <v>-</v>
      </c>
      <c r="D77" s="420" t="str">
        <f ca="1">IF(ISERROR(VLOOKUP(B77,Data!$B$4:$N$23,10,FALSE)),"-",VLOOKUP(B77,Data!$B$4:$N$23,10,FALSE))</f>
        <v>-</v>
      </c>
      <c r="E77" s="420" t="str">
        <f ca="1">IF(ISERROR(VLOOKUP(B77,Data!$B$29:$T$48,10,FALSE)),"-",VLOOKUP(B77,Data!$B$29:$T$48,10,FALSE))</f>
        <v>-</v>
      </c>
      <c r="F77" s="414" t="str">
        <f ca="1">IF(ISERROR(VLOOKUP(B77,Data!$B$4:$N$23,12,FALSE)),"-",VLOOKUP(B77,Data!$B$4:$N$23,12,FALSE))</f>
        <v>-</v>
      </c>
      <c r="G77" s="414" t="str">
        <f ca="1">IF(ISERROR(VLOOKUP(B77,Data!$B$29:$T$48,12,FALSE)),"-",VLOOKUP(B77,Data!$B$29:$T$48,12,FALSE))</f>
        <v>-</v>
      </c>
      <c r="H77" s="414" t="str">
        <f ca="1">IF(ISERROR(VLOOKUP(B77,Data!$B$4:$N$23,13,FALSE)),"-",VLOOKUP(B77,Data!$B$4:$N$23,13,FALSE))</f>
        <v>-</v>
      </c>
      <c r="I77" s="414" t="str">
        <f ca="1">IF(ISERROR(VLOOKUP(B77,Data!$B$29:$T$48,13,FALSE)),"-",VLOOKUP(B77,Data!$B$29:$T$48,13,FALSE))</f>
        <v>-</v>
      </c>
      <c r="J77" s="421" t="str">
        <f ca="1">IF(ISERROR(VLOOKUP(B77,Data!$B$29:$T$48,18,FALSE)),"-",VLOOKUP(B77,Data!$B$29:$T$48,18,FALSE))</f>
        <v>-</v>
      </c>
      <c r="K77" s="420" t="str">
        <f ca="1">IF(ISERROR(VLOOKUP(B77,Data!$B$29:$T$48,15,FALSE)),"-",VLOOKUP(B77,Data!$B$29:$T$48,15,FALSE))</f>
        <v>-</v>
      </c>
      <c r="L77" s="420" t="str">
        <f ca="1">IF(ISERROR(VLOOKUP(B77,Data!$B$29:$T$48,16,FALSE)),"-",VLOOKUP(B77,Data!$B$29:$T$48,16,FALSE))</f>
        <v>-</v>
      </c>
      <c r="M77" s="161">
        <f t="shared" ca="1" si="1"/>
        <v>0</v>
      </c>
      <c r="N77" s="215">
        <f ca="1">COUNT($M$58:$M$77)-(RANK(M77,$M$58:$M$77)+COUNTIF($M$58:M77,M77)-1)+1</f>
        <v>1</v>
      </c>
      <c r="O77" t="str">
        <f t="shared" ca="1" si="2"/>
        <v>*Hide*</v>
      </c>
    </row>
    <row r="80" spans="2:15">
      <c r="D80" s="76" t="s">
        <v>675</v>
      </c>
    </row>
    <row r="81" spans="2:15">
      <c r="C81" s="396" t="s">
        <v>658</v>
      </c>
      <c r="D81" s="418" t="s">
        <v>401</v>
      </c>
      <c r="E81" s="418" t="s">
        <v>402</v>
      </c>
      <c r="F81" s="418" t="s">
        <v>403</v>
      </c>
      <c r="G81" s="418" t="s">
        <v>404</v>
      </c>
      <c r="H81" s="418" t="s">
        <v>403</v>
      </c>
      <c r="I81" s="418" t="s">
        <v>402</v>
      </c>
      <c r="J81" s="418" t="s">
        <v>171</v>
      </c>
      <c r="K81" s="418" t="s">
        <v>674</v>
      </c>
      <c r="L81" s="418" t="s">
        <v>676</v>
      </c>
      <c r="M81" s="418" t="s">
        <v>284</v>
      </c>
      <c r="O81" s="114" t="s">
        <v>624</v>
      </c>
    </row>
    <row r="82" spans="2:15">
      <c r="B82" t="str">
        <f>List!B7</f>
        <v>Residential</v>
      </c>
      <c r="C82" s="215">
        <f ca="1">COUNT($D$82:$D$91)-(RANK(D82,$D$82:$D$91)+COUNTIF($D$82:D82,D82)-1)+1</f>
        <v>8</v>
      </c>
      <c r="D82" s="420">
        <f ca="1">SUMIF($C$58:$C$77,$B82,D$58:D$77)</f>
        <v>1947356.51</v>
      </c>
      <c r="E82" s="420">
        <f ca="1">SUMIF($C$58:$C$77,$B82,E$58:E$77)</f>
        <v>1451885.4200000002</v>
      </c>
      <c r="F82" s="414">
        <f ca="1">SUMIF($C$58:$C$77,$B82,F$58:F$77)</f>
        <v>541439</v>
      </c>
      <c r="G82" s="414">
        <f t="shared" ref="G82:I91" ca="1" si="3">SUMIF($C$58:$C$77,$B82,G$58:G$77)</f>
        <v>541438.81000000006</v>
      </c>
      <c r="H82" s="414">
        <f t="shared" ca="1" si="3"/>
        <v>64865</v>
      </c>
      <c r="I82" s="414">
        <f t="shared" ca="1" si="3"/>
        <v>64865</v>
      </c>
      <c r="J82" s="420">
        <f t="shared" ref="J82:K91" ca="1" si="4">SUMIF($C$58:$C$77,$B82,K$58:K$77)</f>
        <v>1244.45</v>
      </c>
      <c r="K82" s="420">
        <f t="shared" ca="1" si="4"/>
        <v>5844.89</v>
      </c>
      <c r="L82" s="420">
        <f ca="1">K82-J82</f>
        <v>4600.4400000000005</v>
      </c>
      <c r="M82" s="421">
        <f ca="1">IF(ISERROR(K82/J82),"n/a",K82/J82)</f>
        <v>4.6967656394391097</v>
      </c>
      <c r="O82" t="str">
        <f ca="1">OFFSET(B$82,MATCH(LARGE(C$82:C$91,ROW()-ROW(C$82)+1),C$82:C$91,0)-1,0)</f>
        <v>Res/Small Business</v>
      </c>
    </row>
    <row r="83" spans="2:15">
      <c r="B83" t="str">
        <f>List!B8</f>
        <v>Small Business</v>
      </c>
      <c r="C83" s="215">
        <f ca="1">COUNT($D$82:$D$91)-(RANK(D83,$D$82:$D$91)+COUNTIF($D$82:D83,D83)-1)+1</f>
        <v>7</v>
      </c>
      <c r="D83" s="420">
        <f t="shared" ref="D83:F91" ca="1" si="5">SUMIF($C$58:$C$77,$B83,D$58:D$77)</f>
        <v>0</v>
      </c>
      <c r="E83" s="420">
        <f t="shared" ca="1" si="5"/>
        <v>0</v>
      </c>
      <c r="F83" s="414">
        <f t="shared" ca="1" si="5"/>
        <v>0</v>
      </c>
      <c r="G83" s="414">
        <f t="shared" ca="1" si="3"/>
        <v>0</v>
      </c>
      <c r="H83" s="414">
        <f t="shared" ca="1" si="3"/>
        <v>0</v>
      </c>
      <c r="I83" s="414">
        <f t="shared" ca="1" si="3"/>
        <v>0</v>
      </c>
      <c r="J83" s="420">
        <f t="shared" ca="1" si="4"/>
        <v>0</v>
      </c>
      <c r="K83" s="420">
        <f t="shared" ca="1" si="4"/>
        <v>0</v>
      </c>
      <c r="L83" s="420">
        <f t="shared" ref="L83:L91" ca="1" si="6">K83-J83</f>
        <v>0</v>
      </c>
      <c r="M83" s="421" t="str">
        <f t="shared" ref="M83:M91" ca="1" si="7">IF(ISERROR(K83/J83),"n/a",K83/J83)</f>
        <v>n/a</v>
      </c>
      <c r="O83" t="str">
        <f t="shared" ref="O83:O91" ca="1" si="8">OFFSET(B$82,MATCH(LARGE(C$82:C$91,ROW()-ROW(C$82)+1),C$82:C$91,0)-1,0)</f>
        <v>Commercial &amp; Industrial</v>
      </c>
    </row>
    <row r="84" spans="2:15">
      <c r="B84" t="str">
        <f>List!B9</f>
        <v>Commercial &amp; Industrial</v>
      </c>
      <c r="C84" s="215">
        <f ca="1">COUNT($D$82:$D$91)-(RANK(D84,$D$82:$D$91)+COUNTIF($D$82:D84,D84)-1)+1</f>
        <v>9</v>
      </c>
      <c r="D84" s="420">
        <f t="shared" ca="1" si="5"/>
        <v>3927412.79</v>
      </c>
      <c r="E84" s="420">
        <f t="shared" ca="1" si="5"/>
        <v>4335230.5199999996</v>
      </c>
      <c r="F84" s="414">
        <f t="shared" ca="1" si="5"/>
        <v>1996743</v>
      </c>
      <c r="G84" s="414">
        <f t="shared" ca="1" si="3"/>
        <v>1996742.95</v>
      </c>
      <c r="H84" s="414">
        <f t="shared" ca="1" si="3"/>
        <v>687</v>
      </c>
      <c r="I84" s="414">
        <f t="shared" ca="1" si="3"/>
        <v>687</v>
      </c>
      <c r="J84" s="420">
        <f t="shared" ca="1" si="4"/>
        <v>5791.6</v>
      </c>
      <c r="K84" s="420">
        <f t="shared" ca="1" si="4"/>
        <v>12143.5</v>
      </c>
      <c r="L84" s="420">
        <f t="shared" ca="1" si="6"/>
        <v>6351.9</v>
      </c>
      <c r="M84" s="421">
        <f t="shared" ca="1" si="7"/>
        <v>2.0967435596380963</v>
      </c>
      <c r="O84" t="str">
        <f t="shared" ca="1" si="8"/>
        <v>Residential</v>
      </c>
    </row>
    <row r="85" spans="2:15">
      <c r="B85" t="str">
        <f>List!B10</f>
        <v>Municipalities/Schools</v>
      </c>
      <c r="C85" s="215">
        <f ca="1">COUNT($D$82:$D$91)-(RANK(D85,$D$82:$D$91)+COUNTIF($D$82:D85,D85)-1)+1</f>
        <v>6</v>
      </c>
      <c r="D85" s="420">
        <f t="shared" ca="1" si="5"/>
        <v>0</v>
      </c>
      <c r="E85" s="420">
        <f t="shared" ca="1" si="5"/>
        <v>0</v>
      </c>
      <c r="F85" s="414">
        <f t="shared" ca="1" si="5"/>
        <v>0</v>
      </c>
      <c r="G85" s="414">
        <f t="shared" ca="1" si="3"/>
        <v>0</v>
      </c>
      <c r="H85" s="414">
        <f t="shared" ca="1" si="3"/>
        <v>0</v>
      </c>
      <c r="I85" s="414">
        <f t="shared" ca="1" si="3"/>
        <v>0</v>
      </c>
      <c r="J85" s="420">
        <f t="shared" ca="1" si="4"/>
        <v>0</v>
      </c>
      <c r="K85" s="420">
        <f t="shared" ca="1" si="4"/>
        <v>0</v>
      </c>
      <c r="L85" s="420">
        <f t="shared" ca="1" si="6"/>
        <v>0</v>
      </c>
      <c r="M85" s="421" t="str">
        <f t="shared" ca="1" si="7"/>
        <v>n/a</v>
      </c>
      <c r="O85" t="str">
        <f t="shared" ca="1" si="8"/>
        <v>Small Business</v>
      </c>
    </row>
    <row r="86" spans="2:15">
      <c r="B86" t="str">
        <f>List!B11</f>
        <v>Agriculture</v>
      </c>
      <c r="C86" s="215">
        <f ca="1">COUNT($D$82:$D$91)-(RANK(D86,$D$82:$D$91)+COUNTIF($D$82:D86,D86)-1)+1</f>
        <v>5</v>
      </c>
      <c r="D86" s="420">
        <f t="shared" ca="1" si="5"/>
        <v>0</v>
      </c>
      <c r="E86" s="420">
        <f t="shared" ca="1" si="5"/>
        <v>0</v>
      </c>
      <c r="F86" s="414">
        <f t="shared" ca="1" si="5"/>
        <v>0</v>
      </c>
      <c r="G86" s="414">
        <f t="shared" ca="1" si="3"/>
        <v>0</v>
      </c>
      <c r="H86" s="414">
        <f t="shared" ca="1" si="3"/>
        <v>0</v>
      </c>
      <c r="I86" s="414">
        <f t="shared" ca="1" si="3"/>
        <v>0</v>
      </c>
      <c r="J86" s="420">
        <f t="shared" ca="1" si="4"/>
        <v>0</v>
      </c>
      <c r="K86" s="420">
        <f t="shared" ca="1" si="4"/>
        <v>0</v>
      </c>
      <c r="L86" s="420">
        <f t="shared" ca="1" si="6"/>
        <v>0</v>
      </c>
      <c r="M86" s="421" t="str">
        <f t="shared" ca="1" si="7"/>
        <v>n/a</v>
      </c>
      <c r="O86" t="str">
        <f t="shared" ca="1" si="8"/>
        <v>Municipalities/Schools</v>
      </c>
    </row>
    <row r="87" spans="2:15">
      <c r="B87" t="str">
        <f>List!B12</f>
        <v>Other</v>
      </c>
      <c r="C87" s="215">
        <f ca="1">COUNT($D$82:$D$91)-(RANK(D87,$D$82:$D$91)+COUNTIF($D$82:D87,D87)-1)+1</f>
        <v>4</v>
      </c>
      <c r="D87" s="420">
        <f t="shared" ca="1" si="5"/>
        <v>0</v>
      </c>
      <c r="E87" s="420">
        <f t="shared" ca="1" si="5"/>
        <v>0</v>
      </c>
      <c r="F87" s="414">
        <f t="shared" ca="1" si="5"/>
        <v>0</v>
      </c>
      <c r="G87" s="414">
        <f t="shared" ca="1" si="3"/>
        <v>0</v>
      </c>
      <c r="H87" s="414">
        <f t="shared" ca="1" si="3"/>
        <v>0</v>
      </c>
      <c r="I87" s="414">
        <f t="shared" ca="1" si="3"/>
        <v>0</v>
      </c>
      <c r="J87" s="420">
        <f t="shared" ca="1" si="4"/>
        <v>0</v>
      </c>
      <c r="K87" s="420">
        <f t="shared" ca="1" si="4"/>
        <v>0</v>
      </c>
      <c r="L87" s="420">
        <f t="shared" ca="1" si="6"/>
        <v>0</v>
      </c>
      <c r="M87" s="421" t="str">
        <f t="shared" ca="1" si="7"/>
        <v>n/a</v>
      </c>
      <c r="O87" t="str">
        <f t="shared" ca="1" si="8"/>
        <v>Agriculture</v>
      </c>
    </row>
    <row r="88" spans="2:15">
      <c r="B88" t="str">
        <f>List!B14</f>
        <v>Res/Small Business</v>
      </c>
      <c r="C88" s="215">
        <f ca="1">COUNT($D$82:$D$91)-(RANK(D88,$D$82:$D$91)+COUNTIF($D$82:D88,D88)-1)+1</f>
        <v>10</v>
      </c>
      <c r="D88" s="420">
        <f t="shared" ca="1" si="5"/>
        <v>7035299.9199999999</v>
      </c>
      <c r="E88" s="420">
        <f t="shared" ca="1" si="5"/>
        <v>4568420.12</v>
      </c>
      <c r="F88" s="414">
        <f t="shared" ca="1" si="5"/>
        <v>1101642</v>
      </c>
      <c r="G88" s="414">
        <f t="shared" ca="1" si="3"/>
        <v>1101642</v>
      </c>
      <c r="H88" s="414">
        <f t="shared" ca="1" si="3"/>
        <v>93318</v>
      </c>
      <c r="I88" s="414">
        <f t="shared" ca="1" si="3"/>
        <v>93318</v>
      </c>
      <c r="J88" s="420">
        <f t="shared" ca="1" si="4"/>
        <v>3621.54</v>
      </c>
      <c r="K88" s="420">
        <f t="shared" ca="1" si="4"/>
        <v>6249.28</v>
      </c>
      <c r="L88" s="420">
        <f t="shared" ca="1" si="6"/>
        <v>2627.74</v>
      </c>
      <c r="M88" s="421">
        <f t="shared" ca="1" si="7"/>
        <v>1.7255863527670547</v>
      </c>
      <c r="O88" t="str">
        <f t="shared" ca="1" si="8"/>
        <v>Other</v>
      </c>
    </row>
    <row r="89" spans="2:15">
      <c r="B89" t="str">
        <f>List!B15</f>
        <v>Res/C&amp;I</v>
      </c>
      <c r="C89" s="215">
        <f ca="1">COUNT($D$82:$D$91)-(RANK(D89,$D$82:$D$91)+COUNTIF($D$82:D89,D89)-1)+1</f>
        <v>3</v>
      </c>
      <c r="D89" s="420">
        <f t="shared" ca="1" si="5"/>
        <v>0</v>
      </c>
      <c r="E89" s="420">
        <f t="shared" ca="1" si="5"/>
        <v>0</v>
      </c>
      <c r="F89" s="414">
        <f t="shared" ca="1" si="5"/>
        <v>0</v>
      </c>
      <c r="G89" s="414">
        <f t="shared" ca="1" si="3"/>
        <v>0</v>
      </c>
      <c r="H89" s="414">
        <f t="shared" ca="1" si="3"/>
        <v>0</v>
      </c>
      <c r="I89" s="414">
        <f t="shared" ca="1" si="3"/>
        <v>0</v>
      </c>
      <c r="J89" s="420">
        <f t="shared" ca="1" si="4"/>
        <v>0</v>
      </c>
      <c r="K89" s="420">
        <f t="shared" ca="1" si="4"/>
        <v>0</v>
      </c>
      <c r="L89" s="420">
        <f t="shared" ca="1" si="6"/>
        <v>0</v>
      </c>
      <c r="M89" s="421" t="str">
        <f t="shared" ca="1" si="7"/>
        <v>n/a</v>
      </c>
      <c r="O89" t="str">
        <f t="shared" ca="1" si="8"/>
        <v>Res/C&amp;I</v>
      </c>
    </row>
    <row r="90" spans="2:15">
      <c r="B90" t="str">
        <f>List!B16</f>
        <v>Small Business/C&amp;I</v>
      </c>
      <c r="C90" s="215">
        <f ca="1">COUNT($D$82:$D$91)-(RANK(D90,$D$82:$D$91)+COUNTIF($D$82:D90,D90)-1)+1</f>
        <v>2</v>
      </c>
      <c r="D90" s="420">
        <f t="shared" ca="1" si="5"/>
        <v>0</v>
      </c>
      <c r="E90" s="420">
        <f t="shared" ca="1" si="5"/>
        <v>0</v>
      </c>
      <c r="F90" s="414">
        <f t="shared" ca="1" si="5"/>
        <v>0</v>
      </c>
      <c r="G90" s="414">
        <f t="shared" ca="1" si="3"/>
        <v>0</v>
      </c>
      <c r="H90" s="414">
        <f t="shared" ca="1" si="3"/>
        <v>0</v>
      </c>
      <c r="I90" s="414">
        <f t="shared" ca="1" si="3"/>
        <v>0</v>
      </c>
      <c r="J90" s="420">
        <f t="shared" ca="1" si="4"/>
        <v>0</v>
      </c>
      <c r="K90" s="420">
        <f t="shared" ca="1" si="4"/>
        <v>0</v>
      </c>
      <c r="L90" s="420">
        <f t="shared" ca="1" si="6"/>
        <v>0</v>
      </c>
      <c r="M90" s="421" t="str">
        <f t="shared" ca="1" si="7"/>
        <v>n/a</v>
      </c>
      <c r="O90" t="str">
        <f t="shared" ca="1" si="8"/>
        <v>Small Business/C&amp;I</v>
      </c>
    </row>
    <row r="91" spans="2:15">
      <c r="B91" t="str">
        <f>List!B17</f>
        <v>All Classes</v>
      </c>
      <c r="C91" s="215">
        <f ca="1">COUNT($D$82:$D$91)-(RANK(D91,$D$82:$D$91)+COUNTIF($D$82:D91,D91)-1)+1</f>
        <v>1</v>
      </c>
      <c r="D91" s="420">
        <f t="shared" ca="1" si="5"/>
        <v>0</v>
      </c>
      <c r="E91" s="420">
        <f t="shared" ca="1" si="5"/>
        <v>0</v>
      </c>
      <c r="F91" s="414">
        <f t="shared" ca="1" si="5"/>
        <v>0</v>
      </c>
      <c r="G91" s="414">
        <f t="shared" ca="1" si="3"/>
        <v>0</v>
      </c>
      <c r="H91" s="414">
        <f t="shared" ca="1" si="3"/>
        <v>0</v>
      </c>
      <c r="I91" s="414">
        <f t="shared" ca="1" si="3"/>
        <v>0</v>
      </c>
      <c r="J91" s="420">
        <f t="shared" ca="1" si="4"/>
        <v>0</v>
      </c>
      <c r="K91" s="420">
        <f t="shared" ca="1" si="4"/>
        <v>0</v>
      </c>
      <c r="L91" s="420">
        <f t="shared" ca="1" si="6"/>
        <v>0</v>
      </c>
      <c r="M91" s="421" t="str">
        <f t="shared" ca="1" si="7"/>
        <v>n/a</v>
      </c>
      <c r="O91" t="str">
        <f t="shared" ca="1" si="8"/>
        <v>All Classes</v>
      </c>
    </row>
    <row r="93" spans="2:15">
      <c r="D93" s="418" t="s">
        <v>401</v>
      </c>
      <c r="E93" s="418" t="s">
        <v>402</v>
      </c>
      <c r="F93" s="418" t="s">
        <v>403</v>
      </c>
      <c r="G93" s="418" t="s">
        <v>404</v>
      </c>
      <c r="H93" s="215"/>
      <c r="I93" s="425" t="s">
        <v>677</v>
      </c>
    </row>
    <row r="94" spans="2:15">
      <c r="B94" t="str">
        <f ca="1">O82</f>
        <v>Res/Small Business</v>
      </c>
      <c r="D94" s="420">
        <f ca="1">VLOOKUP($B94,$B$82:$E$91,3,FALSE)</f>
        <v>7035299.9199999999</v>
      </c>
      <c r="E94" s="420">
        <f ca="1">VLOOKUP($B94,$B$82:$E$91,4,FALSE)</f>
        <v>4568420.12</v>
      </c>
      <c r="F94" s="414">
        <f ca="1">VLOOKUP($B94,$B$82:$G$91,5,FALSE)</f>
        <v>1101642</v>
      </c>
      <c r="G94" s="414">
        <f ca="1">VLOOKUP($B94,$B$82:$G$91,6,FALSE)</f>
        <v>1101642</v>
      </c>
      <c r="I94">
        <f ca="1">IF('Report 2'!$B$24='Report 2'!$D$24,Tables!E94,Tables!F94)</f>
        <v>1101642</v>
      </c>
    </row>
    <row r="95" spans="2:15">
      <c r="B95" t="str">
        <f t="shared" ref="B95:B102" ca="1" si="9">O83</f>
        <v>Commercial &amp; Industrial</v>
      </c>
      <c r="D95" s="420">
        <f t="shared" ref="D95:D103" ca="1" si="10">VLOOKUP($B95,$B$82:$E$91,3,FALSE)</f>
        <v>3927412.79</v>
      </c>
      <c r="E95" s="420">
        <f t="shared" ref="E95:E103" ca="1" si="11">VLOOKUP($B95,$B$82:$E$91,4,FALSE)</f>
        <v>4335230.5199999996</v>
      </c>
      <c r="F95" s="414">
        <f t="shared" ref="F95:F103" ca="1" si="12">VLOOKUP($B95,$B$82:$G$91,5,FALSE)</f>
        <v>1996743</v>
      </c>
      <c r="G95" s="414">
        <f t="shared" ref="G95:G103" ca="1" si="13">VLOOKUP($B95,$B$82:$G$91,6,FALSE)</f>
        <v>1996742.95</v>
      </c>
      <c r="I95">
        <f ca="1">IF('Report 2'!$B$24='Report 2'!$D$24,Tables!E95,Tables!F95)</f>
        <v>1996743</v>
      </c>
      <c r="K95" s="255"/>
      <c r="L95" s="236"/>
    </row>
    <row r="96" spans="2:15">
      <c r="B96" t="str">
        <f t="shared" ca="1" si="9"/>
        <v>Residential</v>
      </c>
      <c r="D96" s="420">
        <f t="shared" ca="1" si="10"/>
        <v>1947356.51</v>
      </c>
      <c r="E96" s="420">
        <f t="shared" ca="1" si="11"/>
        <v>1451885.4200000002</v>
      </c>
      <c r="F96" s="414">
        <f t="shared" ca="1" si="12"/>
        <v>541439</v>
      </c>
      <c r="G96" s="414">
        <f t="shared" ca="1" si="13"/>
        <v>541438.81000000006</v>
      </c>
      <c r="I96">
        <f ca="1">IF('Report 2'!$B$24='Report 2'!$D$24,Tables!E96,Tables!F96)</f>
        <v>541439</v>
      </c>
    </row>
    <row r="97" spans="2:9">
      <c r="B97" t="str">
        <f t="shared" ca="1" si="9"/>
        <v>Small Business</v>
      </c>
      <c r="D97" s="420">
        <f t="shared" ca="1" si="10"/>
        <v>0</v>
      </c>
      <c r="E97" s="420">
        <f t="shared" ca="1" si="11"/>
        <v>0</v>
      </c>
      <c r="F97" s="414">
        <f t="shared" ca="1" si="12"/>
        <v>0</v>
      </c>
      <c r="G97" s="414">
        <f t="shared" ca="1" si="13"/>
        <v>0</v>
      </c>
      <c r="I97">
        <f ca="1">IF('Report 2'!$B$24='Report 2'!$D$24,Tables!E97,Tables!F97)</f>
        <v>0</v>
      </c>
    </row>
    <row r="98" spans="2:9">
      <c r="B98" t="str">
        <f t="shared" ca="1" si="9"/>
        <v>Municipalities/Schools</v>
      </c>
      <c r="D98" s="420">
        <f t="shared" ca="1" si="10"/>
        <v>0</v>
      </c>
      <c r="E98" s="420">
        <f t="shared" ca="1" si="11"/>
        <v>0</v>
      </c>
      <c r="F98" s="414">
        <f t="shared" ca="1" si="12"/>
        <v>0</v>
      </c>
      <c r="G98" s="414">
        <f t="shared" ca="1" si="13"/>
        <v>0</v>
      </c>
      <c r="I98">
        <f ca="1">IF('Report 2'!$B$24='Report 2'!$D$24,Tables!E98,Tables!F98)</f>
        <v>0</v>
      </c>
    </row>
    <row r="99" spans="2:9">
      <c r="B99" t="str">
        <f t="shared" ca="1" si="9"/>
        <v>Agriculture</v>
      </c>
      <c r="D99" s="420">
        <f t="shared" ca="1" si="10"/>
        <v>0</v>
      </c>
      <c r="E99" s="420">
        <f t="shared" ca="1" si="11"/>
        <v>0</v>
      </c>
      <c r="F99" s="414">
        <f t="shared" ca="1" si="12"/>
        <v>0</v>
      </c>
      <c r="G99" s="414">
        <f t="shared" ca="1" si="13"/>
        <v>0</v>
      </c>
      <c r="I99">
        <f ca="1">IF('Report 2'!$B$24='Report 2'!$D$24,Tables!E99,Tables!F99)</f>
        <v>0</v>
      </c>
    </row>
    <row r="100" spans="2:9">
      <c r="B100" t="str">
        <f t="shared" ca="1" si="9"/>
        <v>Other</v>
      </c>
      <c r="D100" s="420">
        <f t="shared" ca="1" si="10"/>
        <v>0</v>
      </c>
      <c r="E100" s="420">
        <f t="shared" ca="1" si="11"/>
        <v>0</v>
      </c>
      <c r="F100" s="414">
        <f t="shared" ca="1" si="12"/>
        <v>0</v>
      </c>
      <c r="G100" s="414">
        <f t="shared" ca="1" si="13"/>
        <v>0</v>
      </c>
      <c r="I100">
        <f ca="1">IF('Report 2'!$B$24='Report 2'!$D$24,Tables!E100,Tables!F100)</f>
        <v>0</v>
      </c>
    </row>
    <row r="101" spans="2:9">
      <c r="B101" t="str">
        <f t="shared" ca="1" si="9"/>
        <v>Res/C&amp;I</v>
      </c>
      <c r="D101" s="420">
        <f t="shared" ca="1" si="10"/>
        <v>0</v>
      </c>
      <c r="E101" s="420">
        <f t="shared" ca="1" si="11"/>
        <v>0</v>
      </c>
      <c r="F101" s="414">
        <f t="shared" ca="1" si="12"/>
        <v>0</v>
      </c>
      <c r="G101" s="414">
        <f t="shared" ca="1" si="13"/>
        <v>0</v>
      </c>
      <c r="I101">
        <f ca="1">IF('Report 2'!$B$24='Report 2'!$D$24,Tables!E101,Tables!F101)</f>
        <v>0</v>
      </c>
    </row>
    <row r="102" spans="2:9">
      <c r="B102" t="str">
        <f t="shared" ca="1" si="9"/>
        <v>Small Business/C&amp;I</v>
      </c>
      <c r="D102" s="420">
        <f t="shared" ca="1" si="10"/>
        <v>0</v>
      </c>
      <c r="E102" s="420">
        <f t="shared" ca="1" si="11"/>
        <v>0</v>
      </c>
      <c r="F102" s="414">
        <f t="shared" ca="1" si="12"/>
        <v>0</v>
      </c>
      <c r="G102" s="414">
        <f t="shared" ca="1" si="13"/>
        <v>0</v>
      </c>
      <c r="I102">
        <f ca="1">IF('Report 2'!$B$24='Report 2'!$D$24,Tables!E102,Tables!F102)</f>
        <v>0</v>
      </c>
    </row>
    <row r="103" spans="2:9">
      <c r="B103" t="str">
        <f ca="1">O91</f>
        <v>All Classes</v>
      </c>
      <c r="D103" s="420">
        <f t="shared" ca="1" si="10"/>
        <v>0</v>
      </c>
      <c r="E103" s="420">
        <f t="shared" ca="1" si="11"/>
        <v>0</v>
      </c>
      <c r="F103" s="414">
        <f t="shared" ca="1" si="12"/>
        <v>0</v>
      </c>
      <c r="G103" s="414">
        <f t="shared" ca="1" si="13"/>
        <v>0</v>
      </c>
      <c r="I103">
        <f ca="1">IF('Report 2'!$B$24='Report 2'!$D$24,Tables!E103,Tables!F103)</f>
        <v>0</v>
      </c>
    </row>
    <row r="106" spans="2:9">
      <c r="D106" s="418" t="s">
        <v>401</v>
      </c>
      <c r="E106" s="418" t="s">
        <v>402</v>
      </c>
      <c r="F106" s="418" t="s">
        <v>403</v>
      </c>
      <c r="G106" s="418" t="s">
        <v>404</v>
      </c>
    </row>
    <row r="107" spans="2:9">
      <c r="B107" t="str">
        <f ca="1">O58</f>
        <v>Residential Solutions Program</v>
      </c>
      <c r="D107" s="420">
        <f ca="1">VLOOKUP($B107,$B$58:$L$77,3,FALSE)</f>
        <v>7035299.9199999999</v>
      </c>
      <c r="E107" s="420">
        <f ca="1">VLOOKUP($B107,$B$58:$L$77,4,FALSE)</f>
        <v>4568420.12</v>
      </c>
      <c r="F107" s="414">
        <f ca="1">VLOOKUP($B107,$B$58:$L$77,5,FALSE)</f>
        <v>1101642</v>
      </c>
      <c r="G107" s="414">
        <f ca="1">VLOOKUP($B107,$B$58:$L$77,6,FALSE)</f>
        <v>1101642</v>
      </c>
    </row>
    <row r="108" spans="2:9">
      <c r="B108" t="str">
        <f t="shared" ref="B108:B126" ca="1" si="14">O59</f>
        <v>Commercial Solutions</v>
      </c>
      <c r="D108" s="420">
        <f t="shared" ref="D108:D126" ca="1" si="15">VLOOKUP($B108,$B$58:$L$77,3,FALSE)</f>
        <v>3927412.79</v>
      </c>
      <c r="E108" s="420">
        <f t="shared" ref="E108:E126" ca="1" si="16">VLOOKUP($B108,$B$58:$L$77,4,FALSE)</f>
        <v>4335230.5199999996</v>
      </c>
      <c r="F108" s="414">
        <f t="shared" ref="F108:F126" ca="1" si="17">VLOOKUP($B108,$B$58:$L$77,5,FALSE)</f>
        <v>1996743</v>
      </c>
      <c r="G108" s="414">
        <f t="shared" ref="G108:G126" ca="1" si="18">VLOOKUP($B108,$B$58:$L$77,6,FALSE)</f>
        <v>1996742.95</v>
      </c>
    </row>
    <row r="109" spans="2:9">
      <c r="B109" t="str">
        <f t="shared" ca="1" si="14"/>
        <v>Access to Afford Energy &amp; Conservation</v>
      </c>
      <c r="D109" s="420">
        <f t="shared" ca="1" si="15"/>
        <v>1947356.51</v>
      </c>
      <c r="E109" s="420">
        <f t="shared" ca="1" si="16"/>
        <v>1451885.4200000002</v>
      </c>
      <c r="F109" s="414">
        <f t="shared" ca="1" si="17"/>
        <v>541439</v>
      </c>
      <c r="G109" s="414">
        <f t="shared" ca="1" si="18"/>
        <v>541438.81000000006</v>
      </c>
    </row>
    <row r="110" spans="2:9">
      <c r="B110" t="str">
        <f t="shared" ca="1" si="14"/>
        <v>*Hide*</v>
      </c>
      <c r="D110" s="420" t="str">
        <f t="shared" ca="1" si="15"/>
        <v>-</v>
      </c>
      <c r="E110" s="420" t="str">
        <f t="shared" ca="1" si="16"/>
        <v>-</v>
      </c>
      <c r="F110" s="414" t="str">
        <f t="shared" ca="1" si="17"/>
        <v>-</v>
      </c>
      <c r="G110" s="414" t="str">
        <f t="shared" ca="1" si="18"/>
        <v>-</v>
      </c>
    </row>
    <row r="111" spans="2:9">
      <c r="B111" t="str">
        <f t="shared" ca="1" si="14"/>
        <v>*Hide*</v>
      </c>
      <c r="D111" s="420" t="str">
        <f t="shared" ca="1" si="15"/>
        <v>-</v>
      </c>
      <c r="E111" s="420" t="str">
        <f t="shared" ca="1" si="16"/>
        <v>-</v>
      </c>
      <c r="F111" s="414" t="str">
        <f t="shared" ca="1" si="17"/>
        <v>-</v>
      </c>
      <c r="G111" s="414" t="str">
        <f t="shared" ca="1" si="18"/>
        <v>-</v>
      </c>
    </row>
    <row r="112" spans="2:9">
      <c r="B112" t="str">
        <f t="shared" ca="1" si="14"/>
        <v>*Hide*</v>
      </c>
      <c r="D112" s="420" t="str">
        <f t="shared" ca="1" si="15"/>
        <v>-</v>
      </c>
      <c r="E112" s="420" t="str">
        <f t="shared" ca="1" si="16"/>
        <v>-</v>
      </c>
      <c r="F112" s="414" t="str">
        <f t="shared" ca="1" si="17"/>
        <v>-</v>
      </c>
      <c r="G112" s="414" t="str">
        <f t="shared" ca="1" si="18"/>
        <v>-</v>
      </c>
    </row>
    <row r="113" spans="2:7">
      <c r="B113" t="str">
        <f t="shared" ca="1" si="14"/>
        <v>*Hide*</v>
      </c>
      <c r="D113" s="420" t="str">
        <f t="shared" ca="1" si="15"/>
        <v>-</v>
      </c>
      <c r="E113" s="420" t="str">
        <f t="shared" ca="1" si="16"/>
        <v>-</v>
      </c>
      <c r="F113" s="414" t="str">
        <f t="shared" ca="1" si="17"/>
        <v>-</v>
      </c>
      <c r="G113" s="414" t="str">
        <f t="shared" ca="1" si="18"/>
        <v>-</v>
      </c>
    </row>
    <row r="114" spans="2:7">
      <c r="B114" t="str">
        <f t="shared" ca="1" si="14"/>
        <v>*Hide*</v>
      </c>
      <c r="D114" s="420" t="str">
        <f t="shared" ca="1" si="15"/>
        <v>-</v>
      </c>
      <c r="E114" s="420" t="str">
        <f t="shared" ca="1" si="16"/>
        <v>-</v>
      </c>
      <c r="F114" s="414" t="str">
        <f t="shared" ca="1" si="17"/>
        <v>-</v>
      </c>
      <c r="G114" s="414" t="str">
        <f t="shared" ca="1" si="18"/>
        <v>-</v>
      </c>
    </row>
    <row r="115" spans="2:7">
      <c r="B115" t="str">
        <f t="shared" ca="1" si="14"/>
        <v>*Hide*</v>
      </c>
      <c r="D115" s="420" t="str">
        <f t="shared" ca="1" si="15"/>
        <v>-</v>
      </c>
      <c r="E115" s="420" t="str">
        <f t="shared" ca="1" si="16"/>
        <v>-</v>
      </c>
      <c r="F115" s="414" t="str">
        <f t="shared" ca="1" si="17"/>
        <v>-</v>
      </c>
      <c r="G115" s="414" t="str">
        <f t="shared" ca="1" si="18"/>
        <v>-</v>
      </c>
    </row>
    <row r="116" spans="2:7">
      <c r="B116" t="str">
        <f t="shared" ca="1" si="14"/>
        <v>*Hide*</v>
      </c>
      <c r="D116" s="420" t="str">
        <f t="shared" ca="1" si="15"/>
        <v>-</v>
      </c>
      <c r="E116" s="420" t="str">
        <f t="shared" ca="1" si="16"/>
        <v>-</v>
      </c>
      <c r="F116" s="414" t="str">
        <f t="shared" ca="1" si="17"/>
        <v>-</v>
      </c>
      <c r="G116" s="414" t="str">
        <f t="shared" ca="1" si="18"/>
        <v>-</v>
      </c>
    </row>
    <row r="117" spans="2:7">
      <c r="B117" t="str">
        <f t="shared" ca="1" si="14"/>
        <v>*Hide*</v>
      </c>
      <c r="D117" s="420" t="str">
        <f t="shared" ca="1" si="15"/>
        <v>-</v>
      </c>
      <c r="E117" s="420" t="str">
        <f t="shared" ca="1" si="16"/>
        <v>-</v>
      </c>
      <c r="F117" s="414" t="str">
        <f t="shared" ca="1" si="17"/>
        <v>-</v>
      </c>
      <c r="G117" s="414" t="str">
        <f t="shared" ca="1" si="18"/>
        <v>-</v>
      </c>
    </row>
    <row r="118" spans="2:7">
      <c r="B118" t="str">
        <f t="shared" ca="1" si="14"/>
        <v>*Hide*</v>
      </c>
      <c r="D118" s="420" t="str">
        <f t="shared" ca="1" si="15"/>
        <v>-</v>
      </c>
      <c r="E118" s="420" t="str">
        <f t="shared" ca="1" si="16"/>
        <v>-</v>
      </c>
      <c r="F118" s="414" t="str">
        <f t="shared" ca="1" si="17"/>
        <v>-</v>
      </c>
      <c r="G118" s="414" t="str">
        <f t="shared" ca="1" si="18"/>
        <v>-</v>
      </c>
    </row>
    <row r="119" spans="2:7">
      <c r="B119" t="str">
        <f t="shared" ca="1" si="14"/>
        <v>*Hide*</v>
      </c>
      <c r="D119" s="420" t="str">
        <f t="shared" ca="1" si="15"/>
        <v>-</v>
      </c>
      <c r="E119" s="420" t="str">
        <f t="shared" ca="1" si="16"/>
        <v>-</v>
      </c>
      <c r="F119" s="414" t="str">
        <f t="shared" ca="1" si="17"/>
        <v>-</v>
      </c>
      <c r="G119" s="414" t="str">
        <f t="shared" ca="1" si="18"/>
        <v>-</v>
      </c>
    </row>
    <row r="120" spans="2:7">
      <c r="B120" t="str">
        <f t="shared" ca="1" si="14"/>
        <v>*Hide*</v>
      </c>
      <c r="D120" s="420" t="str">
        <f t="shared" ca="1" si="15"/>
        <v>-</v>
      </c>
      <c r="E120" s="420" t="str">
        <f t="shared" ca="1" si="16"/>
        <v>-</v>
      </c>
      <c r="F120" s="414" t="str">
        <f t="shared" ca="1" si="17"/>
        <v>-</v>
      </c>
      <c r="G120" s="414" t="str">
        <f t="shared" ca="1" si="18"/>
        <v>-</v>
      </c>
    </row>
    <row r="121" spans="2:7">
      <c r="B121" t="str">
        <f t="shared" ca="1" si="14"/>
        <v>*Hide*</v>
      </c>
      <c r="D121" s="420" t="str">
        <f t="shared" ca="1" si="15"/>
        <v>-</v>
      </c>
      <c r="E121" s="420" t="str">
        <f t="shared" ca="1" si="16"/>
        <v>-</v>
      </c>
      <c r="F121" s="414" t="str">
        <f t="shared" ca="1" si="17"/>
        <v>-</v>
      </c>
      <c r="G121" s="414" t="str">
        <f t="shared" ca="1" si="18"/>
        <v>-</v>
      </c>
    </row>
    <row r="122" spans="2:7">
      <c r="B122" t="str">
        <f t="shared" ca="1" si="14"/>
        <v>*Hide*</v>
      </c>
      <c r="D122" s="420" t="str">
        <f t="shared" ca="1" si="15"/>
        <v>-</v>
      </c>
      <c r="E122" s="420" t="str">
        <f t="shared" ca="1" si="16"/>
        <v>-</v>
      </c>
      <c r="F122" s="414" t="str">
        <f t="shared" ca="1" si="17"/>
        <v>-</v>
      </c>
      <c r="G122" s="414" t="str">
        <f t="shared" ca="1" si="18"/>
        <v>-</v>
      </c>
    </row>
    <row r="123" spans="2:7">
      <c r="B123" t="str">
        <f ca="1">O74</f>
        <v>*Hide*</v>
      </c>
      <c r="D123" s="420" t="str">
        <f t="shared" ca="1" si="15"/>
        <v>-</v>
      </c>
      <c r="E123" s="420" t="str">
        <f t="shared" ca="1" si="16"/>
        <v>-</v>
      </c>
      <c r="F123" s="414" t="str">
        <f t="shared" ca="1" si="17"/>
        <v>-</v>
      </c>
      <c r="G123" s="414" t="str">
        <f t="shared" ca="1" si="18"/>
        <v>-</v>
      </c>
    </row>
    <row r="124" spans="2:7">
      <c r="B124" t="str">
        <f t="shared" ca="1" si="14"/>
        <v>*Hide*</v>
      </c>
      <c r="D124" s="420" t="str">
        <f t="shared" ca="1" si="15"/>
        <v>-</v>
      </c>
      <c r="E124" s="420" t="str">
        <f t="shared" ca="1" si="16"/>
        <v>-</v>
      </c>
      <c r="F124" s="414" t="str">
        <f t="shared" ca="1" si="17"/>
        <v>-</v>
      </c>
      <c r="G124" s="414" t="str">
        <f t="shared" ca="1" si="18"/>
        <v>-</v>
      </c>
    </row>
    <row r="125" spans="2:7">
      <c r="B125" t="str">
        <f t="shared" ca="1" si="14"/>
        <v>*Hide*</v>
      </c>
      <c r="D125" s="420" t="str">
        <f t="shared" ca="1" si="15"/>
        <v>-</v>
      </c>
      <c r="E125" s="420" t="str">
        <f t="shared" ca="1" si="16"/>
        <v>-</v>
      </c>
      <c r="F125" s="414" t="str">
        <f t="shared" ca="1" si="17"/>
        <v>-</v>
      </c>
      <c r="G125" s="414" t="str">
        <f t="shared" ca="1" si="18"/>
        <v>-</v>
      </c>
    </row>
    <row r="126" spans="2:7">
      <c r="B126" t="str">
        <f t="shared" ca="1" si="14"/>
        <v>*Hide*</v>
      </c>
      <c r="D126" s="420" t="str">
        <f t="shared" ca="1" si="15"/>
        <v>-</v>
      </c>
      <c r="E126" s="420" t="str">
        <f t="shared" ca="1" si="16"/>
        <v>-</v>
      </c>
      <c r="F126" s="414" t="str">
        <f t="shared" ca="1" si="17"/>
        <v>-</v>
      </c>
      <c r="G126" s="414" t="str">
        <f t="shared" ca="1" si="18"/>
        <v>-</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8"/>
  <sheetViews>
    <sheetView showGridLines="0" zoomScaleNormal="100" workbookViewId="0">
      <selection activeCell="B4" sqref="B4:L9"/>
    </sheetView>
  </sheetViews>
  <sheetFormatPr defaultColWidth="9.140625" defaultRowHeight="12.75"/>
  <cols>
    <col min="1" max="1" width="1" style="2" customWidth="1"/>
    <col min="2" max="3" width="12.7109375" style="2" customWidth="1"/>
    <col min="4" max="4" width="14.7109375" style="2" customWidth="1"/>
    <col min="5" max="5" width="12.42578125" style="2" customWidth="1"/>
    <col min="6" max="6" width="12.7109375" style="2" bestFit="1" customWidth="1"/>
    <col min="7" max="7" width="12.85546875" style="2" bestFit="1" customWidth="1"/>
    <col min="8" max="8" width="6.7109375" style="2" customWidth="1"/>
    <col min="9" max="9" width="6.140625" style="2" customWidth="1"/>
    <col min="10" max="10" width="12.140625" style="2" bestFit="1" customWidth="1"/>
    <col min="11" max="11" width="11.5703125" style="2" customWidth="1"/>
    <col min="12" max="12" width="9.42578125" style="2" bestFit="1" customWidth="1"/>
    <col min="13" max="13" width="1.28515625" style="2" customWidth="1"/>
    <col min="14" max="16384" width="9.140625" style="2"/>
  </cols>
  <sheetData>
    <row r="1" spans="1:13" ht="5.0999999999999996" customHeight="1" thickBot="1"/>
    <row r="2" spans="1:13" ht="38.25" customHeight="1" thickBot="1">
      <c r="B2" s="684" t="s">
        <v>659</v>
      </c>
      <c r="C2" s="684"/>
      <c r="D2" s="684"/>
      <c r="E2" s="684"/>
      <c r="F2" s="684"/>
      <c r="G2" s="684"/>
      <c r="H2" s="684"/>
      <c r="I2" s="684"/>
      <c r="J2" s="684"/>
      <c r="K2" s="684"/>
      <c r="L2" s="684"/>
    </row>
    <row r="3" spans="1:13" ht="4.5" customHeight="1" thickBot="1"/>
    <row r="4" spans="1:13" ht="24" thickBot="1">
      <c r="B4" s="754" t="str">
        <f>Titles!F2&amp;" Portfolio Summary"</f>
        <v>2025 Portfolio Summary</v>
      </c>
      <c r="C4" s="755"/>
      <c r="D4" s="755"/>
      <c r="E4" s="755"/>
      <c r="F4" s="755"/>
      <c r="G4" s="755"/>
      <c r="H4" s="755"/>
      <c r="I4" s="755"/>
      <c r="J4" s="755"/>
      <c r="K4" s="755"/>
      <c r="L4" s="756"/>
    </row>
    <row r="5" spans="1:13" ht="4.5" customHeight="1" thickBot="1">
      <c r="B5" s="130"/>
      <c r="L5" s="131"/>
    </row>
    <row r="6" spans="1:13" ht="14.25" customHeight="1" thickBot="1">
      <c r="B6" s="757" t="s">
        <v>273</v>
      </c>
      <c r="C6" s="758"/>
      <c r="D6" s="757" t="s">
        <v>417</v>
      </c>
      <c r="E6" s="759"/>
      <c r="F6" s="760"/>
      <c r="G6" s="762" t="s">
        <v>678</v>
      </c>
      <c r="H6" s="763"/>
      <c r="I6" s="764"/>
      <c r="J6" s="757" t="s">
        <v>679</v>
      </c>
      <c r="K6" s="761"/>
      <c r="L6" s="758"/>
    </row>
    <row r="7" spans="1:13" ht="46.5" customHeight="1">
      <c r="A7" s="396"/>
      <c r="B7" s="150" t="s">
        <v>431</v>
      </c>
      <c r="C7" s="151" t="s">
        <v>660</v>
      </c>
      <c r="D7" s="150" t="s">
        <v>680</v>
      </c>
      <c r="E7" s="147" t="s">
        <v>56</v>
      </c>
      <c r="F7" s="332" t="s">
        <v>681</v>
      </c>
      <c r="G7" s="620" t="s">
        <v>682</v>
      </c>
      <c r="H7" s="621" t="s">
        <v>683</v>
      </c>
      <c r="I7" s="622" t="s">
        <v>684</v>
      </c>
      <c r="J7" s="620" t="s">
        <v>685</v>
      </c>
      <c r="K7" s="621" t="s">
        <v>686</v>
      </c>
      <c r="L7" s="623" t="s">
        <v>687</v>
      </c>
      <c r="M7" s="396"/>
    </row>
    <row r="8" spans="1:13" ht="13.5" customHeight="1">
      <c r="A8" s="396"/>
      <c r="B8" s="149" t="str">
        <f>Titles!F16</f>
        <v>Therms</v>
      </c>
      <c r="C8" s="152" t="str">
        <f>Titles!F14</f>
        <v>Therms</v>
      </c>
      <c r="D8" s="153"/>
      <c r="E8" s="148"/>
      <c r="F8" s="333"/>
      <c r="G8" s="343" t="s">
        <v>688</v>
      </c>
      <c r="H8" s="334"/>
      <c r="I8" s="337"/>
      <c r="J8" s="339" t="s">
        <v>689</v>
      </c>
      <c r="K8" s="338" t="s">
        <v>689</v>
      </c>
      <c r="L8" s="340" t="s">
        <v>690</v>
      </c>
      <c r="M8" s="396"/>
    </row>
    <row r="9" spans="1:13" ht="17.25" customHeight="1" thickBot="1">
      <c r="A9" s="396"/>
      <c r="B9" s="426" t="str">
        <f>Tables!B4</f>
        <v>n/a</v>
      </c>
      <c r="C9" s="427">
        <f>Tables!C4</f>
        <v>3639823.76</v>
      </c>
      <c r="D9" s="427">
        <f>Tables!D4</f>
        <v>10370539.26</v>
      </c>
      <c r="E9" s="427">
        <f>Tables!E4</f>
        <v>0</v>
      </c>
      <c r="F9" s="509">
        <v>1032806</v>
      </c>
      <c r="G9" s="508">
        <f>Tables!G4</f>
        <v>13565076.799999999</v>
      </c>
      <c r="H9" s="506">
        <f>Tables!H4</f>
        <v>2.2710197555360772</v>
      </c>
      <c r="I9" s="507">
        <f>Tables!I4</f>
        <v>1.68</v>
      </c>
      <c r="J9" s="428">
        <f>Tables!J4</f>
        <v>5.0000000000000001E-3</v>
      </c>
      <c r="K9" s="429">
        <f>Tables!K4</f>
        <v>6.8684884025335905E-3</v>
      </c>
      <c r="L9" s="430">
        <f>Tables!L4</f>
        <v>1.37</v>
      </c>
      <c r="M9" s="396"/>
    </row>
    <row r="10" spans="1:13">
      <c r="B10" s="396"/>
      <c r="C10" s="396"/>
      <c r="D10" s="396"/>
      <c r="E10" s="396"/>
      <c r="F10" s="396"/>
      <c r="G10" s="396"/>
      <c r="H10" s="396"/>
      <c r="I10" s="396"/>
      <c r="J10" s="396"/>
      <c r="K10" s="396"/>
      <c r="L10" s="396"/>
      <c r="M10" s="396"/>
    </row>
    <row r="11" spans="1:13">
      <c r="B11" s="396"/>
      <c r="C11" s="396"/>
      <c r="D11" s="396"/>
      <c r="E11" s="396"/>
      <c r="F11" s="396"/>
      <c r="G11" s="396"/>
      <c r="H11" s="396"/>
      <c r="I11" s="396"/>
      <c r="J11" s="396"/>
      <c r="K11" s="396"/>
      <c r="L11" s="396"/>
      <c r="M11" s="396"/>
    </row>
    <row r="12" spans="1:13">
      <c r="B12" s="396"/>
      <c r="C12" s="396"/>
      <c r="D12" s="396"/>
      <c r="E12" s="396"/>
      <c r="F12" s="396"/>
      <c r="G12" s="396"/>
      <c r="H12" s="396"/>
      <c r="I12" s="396"/>
      <c r="J12" s="396"/>
      <c r="K12" s="396"/>
      <c r="L12" s="396"/>
      <c r="M12" s="396"/>
    </row>
    <row r="13" spans="1:13" ht="12.75" customHeight="1">
      <c r="B13" s="396"/>
      <c r="C13" s="753" t="s">
        <v>691</v>
      </c>
      <c r="D13" s="753"/>
      <c r="E13" s="396"/>
      <c r="F13" s="396"/>
      <c r="G13" s="396"/>
      <c r="H13" s="396"/>
      <c r="I13" s="396"/>
      <c r="J13" s="396"/>
      <c r="K13" s="396"/>
      <c r="L13" s="396"/>
      <c r="M13" s="396"/>
    </row>
    <row r="14" spans="1:13">
      <c r="B14" s="396"/>
      <c r="C14" s="753"/>
      <c r="D14" s="753"/>
      <c r="E14" s="396"/>
      <c r="F14" s="396"/>
      <c r="G14" s="396"/>
      <c r="H14" s="396"/>
      <c r="I14" s="396"/>
      <c r="J14" s="396"/>
      <c r="K14" s="396"/>
      <c r="L14" s="396"/>
      <c r="M14" s="396"/>
    </row>
    <row r="15" spans="1:13">
      <c r="B15" s="396"/>
      <c r="C15" s="396"/>
      <c r="D15" s="396"/>
      <c r="E15" s="396"/>
      <c r="F15" s="396"/>
      <c r="G15" s="396"/>
      <c r="H15" s="396"/>
      <c r="I15" s="396"/>
      <c r="J15" s="396"/>
      <c r="K15" s="396"/>
      <c r="L15" s="396"/>
      <c r="M15" s="396"/>
    </row>
    <row r="16" spans="1:13">
      <c r="B16" s="396"/>
      <c r="C16" s="396"/>
      <c r="D16" s="396"/>
      <c r="E16" s="396"/>
      <c r="F16" s="396"/>
      <c r="G16" s="396"/>
      <c r="H16" s="396"/>
      <c r="I16" s="396"/>
      <c r="J16" s="396"/>
      <c r="K16" s="396"/>
      <c r="L16" s="396"/>
      <c r="M16" s="396"/>
    </row>
    <row r="17" spans="2:13">
      <c r="B17" s="396"/>
      <c r="C17" s="396"/>
      <c r="D17" s="396"/>
      <c r="E17" s="396"/>
      <c r="F17" s="396"/>
      <c r="G17" s="396"/>
      <c r="H17" s="396"/>
      <c r="I17" s="396"/>
      <c r="J17" s="396"/>
      <c r="K17" s="396"/>
      <c r="L17" s="396"/>
      <c r="M17" s="396"/>
    </row>
    <row r="18" spans="2:13">
      <c r="B18" s="396"/>
      <c r="C18" s="396"/>
      <c r="D18" s="396"/>
      <c r="E18" s="396"/>
      <c r="F18" s="396"/>
      <c r="G18" s="396"/>
      <c r="H18" s="396"/>
      <c r="I18" s="396"/>
      <c r="J18" s="396"/>
      <c r="K18" s="396"/>
      <c r="L18" s="396"/>
      <c r="M18" s="396"/>
    </row>
  </sheetData>
  <sheetProtection formatColumns="0" formatRows="0"/>
  <mergeCells count="7">
    <mergeCell ref="C13:D14"/>
    <mergeCell ref="B4:L4"/>
    <mergeCell ref="B6:C6"/>
    <mergeCell ref="D6:F6"/>
    <mergeCell ref="B2:L2"/>
    <mergeCell ref="J6:L6"/>
    <mergeCell ref="G6:I6"/>
  </mergeCells>
  <conditionalFormatting sqref="C13">
    <cfRule type="expression" dxfId="5" priority="1">
      <formula>Status=0</formula>
    </cfRule>
  </conditionalFormatting>
  <hyperlinks>
    <hyperlink ref="C13:D14" location="Incomplete!A1" tooltip="Click" display="Incomplete!A1" xr:uid="{00000000-0004-0000-2400-000000000000}"/>
  </hyperlinks>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L40"/>
  <sheetViews>
    <sheetView showGridLines="0" topLeftCell="A53" zoomScaleNormal="100" workbookViewId="0">
      <selection activeCell="M92" sqref="M92"/>
    </sheetView>
  </sheetViews>
  <sheetFormatPr defaultColWidth="9.140625" defaultRowHeight="12.75"/>
  <cols>
    <col min="1" max="1" width="1" style="2" customWidth="1"/>
    <col min="2" max="2" width="38.140625" style="2" customWidth="1"/>
    <col min="3" max="3" width="22" style="2" customWidth="1"/>
    <col min="4" max="4" width="26.28515625" style="2" customWidth="1"/>
    <col min="5" max="5" width="0.7109375" style="2" customWidth="1"/>
    <col min="6" max="7" width="12.7109375" style="2" customWidth="1"/>
    <col min="8" max="8" width="0.5703125" style="2" customWidth="1"/>
    <col min="9" max="9" width="11" style="2" customWidth="1"/>
    <col min="10" max="10" width="1.28515625" style="2" customWidth="1"/>
    <col min="11" max="11" width="9.140625" style="2"/>
    <col min="12" max="12" width="9.140625" style="2" hidden="1" customWidth="1"/>
    <col min="13" max="16384" width="9.140625" style="2"/>
  </cols>
  <sheetData>
    <row r="1" spans="1:12" ht="5.0999999999999996" customHeight="1" thickBot="1"/>
    <row r="2" spans="1:12" ht="38.25" customHeight="1" thickBot="1">
      <c r="B2" s="684" t="s">
        <v>666</v>
      </c>
      <c r="C2" s="684"/>
      <c r="D2" s="684"/>
      <c r="E2" s="684"/>
      <c r="F2" s="684"/>
      <c r="G2" s="684"/>
      <c r="H2" s="684"/>
      <c r="I2" s="684"/>
    </row>
    <row r="3" spans="1:12" ht="4.5" customHeight="1" thickBot="1"/>
    <row r="4" spans="1:12" ht="24" thickBot="1">
      <c r="B4" s="754" t="s">
        <v>8</v>
      </c>
      <c r="C4" s="755"/>
      <c r="D4" s="755"/>
      <c r="E4" s="755"/>
      <c r="F4" s="755"/>
      <c r="G4" s="755"/>
      <c r="H4" s="755"/>
      <c r="I4" s="756"/>
    </row>
    <row r="5" spans="1:12" ht="4.5" customHeight="1" thickBot="1"/>
    <row r="6" spans="1:12" ht="13.5" thickBot="1">
      <c r="A6" s="396"/>
      <c r="B6" s="624"/>
      <c r="C6" s="624"/>
      <c r="D6" s="624"/>
      <c r="E6" s="396"/>
      <c r="F6" s="765">
        <f>Titles!F2</f>
        <v>2025</v>
      </c>
      <c r="G6" s="766"/>
      <c r="H6" s="396"/>
      <c r="I6" s="767" t="s">
        <v>692</v>
      </c>
      <c r="J6" s="396"/>
    </row>
    <row r="7" spans="1:12" ht="11.25" customHeight="1">
      <c r="A7" s="396"/>
      <c r="B7" s="431"/>
      <c r="C7" s="431"/>
      <c r="D7" s="431"/>
      <c r="E7" s="396"/>
      <c r="F7" s="625" t="s">
        <v>401</v>
      </c>
      <c r="G7" s="626" t="s">
        <v>402</v>
      </c>
      <c r="H7" s="396"/>
      <c r="I7" s="768"/>
      <c r="J7" s="396"/>
    </row>
    <row r="8" spans="1:12" ht="11.25" customHeight="1" thickBot="1">
      <c r="A8" s="396"/>
      <c r="B8" s="77" t="s">
        <v>85</v>
      </c>
      <c r="C8" s="77" t="s">
        <v>86</v>
      </c>
      <c r="D8" s="77" t="s">
        <v>87</v>
      </c>
      <c r="E8" s="396"/>
      <c r="F8" s="78" t="s">
        <v>693</v>
      </c>
      <c r="G8" s="79" t="s">
        <v>693</v>
      </c>
      <c r="H8" s="396"/>
      <c r="I8" s="769"/>
      <c r="J8" s="396"/>
    </row>
    <row r="9" spans="1:12" ht="12.75" customHeight="1">
      <c r="A9" s="396"/>
      <c r="B9" s="627" t="str">
        <f ca="1">Tables!B9</f>
        <v>Access to Afford Energy &amp; Conservation</v>
      </c>
      <c r="C9" s="628" t="str">
        <f ca="1">Tables!C9</f>
        <v>Residential</v>
      </c>
      <c r="D9" s="628" t="str">
        <f ca="1">Tables!D9</f>
        <v>Prescriptive/Standard Offer</v>
      </c>
      <c r="E9" s="396"/>
      <c r="F9" s="81">
        <f ca="1">Tables!E9</f>
        <v>1947356.51</v>
      </c>
      <c r="G9" s="82">
        <f ca="1">Tables!F9</f>
        <v>1451885.4200000002</v>
      </c>
      <c r="H9" s="396"/>
      <c r="I9" s="85">
        <f ca="1">IF(ISERROR(G9/F9),"-",(G9/F9))</f>
        <v>0.74556734349582454</v>
      </c>
      <c r="J9" s="396"/>
      <c r="L9" s="2">
        <f ca="1">IF(B9="*Hide*",1)-IF(SUBTOTAL(103,B9)=1,0,1)</f>
        <v>0</v>
      </c>
    </row>
    <row r="10" spans="1:12" ht="12.75" customHeight="1">
      <c r="A10" s="396"/>
      <c r="B10" s="432" t="str">
        <f ca="1">Tables!B10</f>
        <v>Residential Solutions Program</v>
      </c>
      <c r="C10" s="433" t="str">
        <f ca="1">Tables!C10</f>
        <v>Res/Small Business</v>
      </c>
      <c r="D10" s="433" t="str">
        <f ca="1">Tables!D10</f>
        <v>Prescriptive/Standard Offer</v>
      </c>
      <c r="E10" s="396"/>
      <c r="F10" s="83">
        <f ca="1">Tables!E10</f>
        <v>7035299.9199999999</v>
      </c>
      <c r="G10" s="84">
        <f ca="1">Tables!F10</f>
        <v>4568420.12</v>
      </c>
      <c r="H10" s="396"/>
      <c r="I10" s="86">
        <f t="shared" ref="I10:I30" ca="1" si="0">IF(ISERROR(G10/F10),"-",(G10/F10))</f>
        <v>0.64935683935987765</v>
      </c>
      <c r="J10" s="396"/>
      <c r="L10" s="2">
        <f t="shared" ref="L10:L28" ca="1" si="1">IF(B10="*Hide*",1)-IF(SUBTOTAL(103,B10)=1,0,1)</f>
        <v>0</v>
      </c>
    </row>
    <row r="11" spans="1:12" ht="12.75" customHeight="1">
      <c r="A11" s="396"/>
      <c r="B11" s="432" t="str">
        <f ca="1">Tables!B11</f>
        <v>Commercial Solutions</v>
      </c>
      <c r="C11" s="433" t="str">
        <f ca="1">Tables!C11</f>
        <v>Commercial &amp; Industrial</v>
      </c>
      <c r="D11" s="433" t="str">
        <f ca="1">Tables!D11</f>
        <v>Prescriptive/Standard Offer</v>
      </c>
      <c r="E11" s="396"/>
      <c r="F11" s="83">
        <f ca="1">Tables!E11</f>
        <v>3927412.79</v>
      </c>
      <c r="G11" s="84">
        <f ca="1">Tables!F11</f>
        <v>4335230.5199999996</v>
      </c>
      <c r="H11" s="396"/>
      <c r="I11" s="86">
        <f t="shared" ca="1" si="0"/>
        <v>1.1038387742277529</v>
      </c>
      <c r="J11" s="396"/>
      <c r="L11" s="2">
        <f t="shared" ca="1" si="1"/>
        <v>0</v>
      </c>
    </row>
    <row r="12" spans="1:12" ht="12.75" hidden="1" customHeight="1">
      <c r="A12" s="396"/>
      <c r="B12" s="432" t="str">
        <f ca="1">Tables!B12</f>
        <v>*Hide*</v>
      </c>
      <c r="C12" s="433" t="str">
        <f ca="1">Tables!C12</f>
        <v>-</v>
      </c>
      <c r="D12" s="433" t="str">
        <f ca="1">Tables!D12</f>
        <v>-</v>
      </c>
      <c r="E12" s="396"/>
      <c r="F12" s="83" t="str">
        <f ca="1">Tables!E12</f>
        <v>-</v>
      </c>
      <c r="G12" s="84" t="str">
        <f ca="1">Tables!F12</f>
        <v>-</v>
      </c>
      <c r="H12" s="396"/>
      <c r="I12" s="86" t="str">
        <f t="shared" ca="1" si="0"/>
        <v>-</v>
      </c>
      <c r="J12" s="396"/>
      <c r="L12" s="2">
        <f t="shared" ca="1" si="1"/>
        <v>0</v>
      </c>
    </row>
    <row r="13" spans="1:12" ht="12.75" hidden="1" customHeight="1">
      <c r="A13" s="396"/>
      <c r="B13" s="432" t="str">
        <f ca="1">Tables!B13</f>
        <v>*Hide*</v>
      </c>
      <c r="C13" s="433" t="str">
        <f ca="1">Tables!C13</f>
        <v>-</v>
      </c>
      <c r="D13" s="433" t="str">
        <f ca="1">Tables!D13</f>
        <v>-</v>
      </c>
      <c r="E13" s="396"/>
      <c r="F13" s="83" t="str">
        <f ca="1">Tables!E13</f>
        <v>-</v>
      </c>
      <c r="G13" s="84" t="str">
        <f ca="1">Tables!F13</f>
        <v>-</v>
      </c>
      <c r="H13" s="396"/>
      <c r="I13" s="86" t="str">
        <f t="shared" ca="1" si="0"/>
        <v>-</v>
      </c>
      <c r="J13" s="396"/>
      <c r="L13" s="2">
        <f t="shared" ca="1" si="1"/>
        <v>0</v>
      </c>
    </row>
    <row r="14" spans="1:12" ht="12.75" hidden="1" customHeight="1">
      <c r="A14" s="396"/>
      <c r="B14" s="432" t="str">
        <f ca="1">Tables!B14</f>
        <v>*Hide*</v>
      </c>
      <c r="C14" s="433" t="str">
        <f ca="1">Tables!C14</f>
        <v>-</v>
      </c>
      <c r="D14" s="433" t="str">
        <f ca="1">Tables!D14</f>
        <v>-</v>
      </c>
      <c r="E14" s="396"/>
      <c r="F14" s="83" t="str">
        <f ca="1">Tables!E14</f>
        <v>-</v>
      </c>
      <c r="G14" s="84" t="str">
        <f ca="1">Tables!F14</f>
        <v>-</v>
      </c>
      <c r="H14" s="396"/>
      <c r="I14" s="86" t="str">
        <f t="shared" ca="1" si="0"/>
        <v>-</v>
      </c>
      <c r="J14" s="396"/>
      <c r="L14" s="2">
        <f t="shared" ca="1" si="1"/>
        <v>0</v>
      </c>
    </row>
    <row r="15" spans="1:12" ht="12.75" hidden="1" customHeight="1">
      <c r="A15" s="396"/>
      <c r="B15" s="432" t="str">
        <f ca="1">Tables!B15</f>
        <v>*Hide*</v>
      </c>
      <c r="C15" s="433" t="str">
        <f ca="1">Tables!C15</f>
        <v>-</v>
      </c>
      <c r="D15" s="433" t="str">
        <f ca="1">Tables!D15</f>
        <v>-</v>
      </c>
      <c r="E15" s="396"/>
      <c r="F15" s="83" t="str">
        <f ca="1">Tables!E15</f>
        <v>-</v>
      </c>
      <c r="G15" s="84" t="str">
        <f ca="1">Tables!F15</f>
        <v>-</v>
      </c>
      <c r="H15" s="396"/>
      <c r="I15" s="86" t="str">
        <f t="shared" ca="1" si="0"/>
        <v>-</v>
      </c>
      <c r="J15" s="396"/>
      <c r="L15" s="2">
        <f t="shared" ca="1" si="1"/>
        <v>0</v>
      </c>
    </row>
    <row r="16" spans="1:12" ht="12.75" hidden="1" customHeight="1">
      <c r="A16" s="396"/>
      <c r="B16" s="432" t="str">
        <f ca="1">Tables!B16</f>
        <v>*Hide*</v>
      </c>
      <c r="C16" s="433" t="str">
        <f ca="1">Tables!C16</f>
        <v>-</v>
      </c>
      <c r="D16" s="433" t="str">
        <f ca="1">Tables!D16</f>
        <v>-</v>
      </c>
      <c r="E16" s="396"/>
      <c r="F16" s="83" t="str">
        <f ca="1">Tables!E16</f>
        <v>-</v>
      </c>
      <c r="G16" s="84" t="str">
        <f ca="1">Tables!F16</f>
        <v>-</v>
      </c>
      <c r="H16" s="396"/>
      <c r="I16" s="86" t="str">
        <f t="shared" ca="1" si="0"/>
        <v>-</v>
      </c>
      <c r="J16" s="396"/>
      <c r="L16" s="2">
        <f t="shared" ca="1" si="1"/>
        <v>0</v>
      </c>
    </row>
    <row r="17" spans="1:12" ht="12.75" hidden="1" customHeight="1">
      <c r="A17" s="396"/>
      <c r="B17" s="432" t="str">
        <f ca="1">Tables!B17</f>
        <v>*Hide*</v>
      </c>
      <c r="C17" s="433" t="str">
        <f ca="1">Tables!C17</f>
        <v>-</v>
      </c>
      <c r="D17" s="433" t="str">
        <f ca="1">Tables!D17</f>
        <v>-</v>
      </c>
      <c r="E17" s="396"/>
      <c r="F17" s="83" t="str">
        <f ca="1">Tables!E17</f>
        <v>-</v>
      </c>
      <c r="G17" s="84" t="str">
        <f ca="1">Tables!F17</f>
        <v>-</v>
      </c>
      <c r="H17" s="396"/>
      <c r="I17" s="86" t="str">
        <f t="shared" ca="1" si="0"/>
        <v>-</v>
      </c>
      <c r="J17" s="396"/>
      <c r="L17" s="2">
        <f t="shared" ca="1" si="1"/>
        <v>0</v>
      </c>
    </row>
    <row r="18" spans="1:12" ht="12.75" hidden="1" customHeight="1">
      <c r="A18" s="396"/>
      <c r="B18" s="432" t="str">
        <f ca="1">Tables!B18</f>
        <v>*Hide*</v>
      </c>
      <c r="C18" s="433" t="str">
        <f ca="1">Tables!C18</f>
        <v>-</v>
      </c>
      <c r="D18" s="433" t="str">
        <f ca="1">Tables!D18</f>
        <v>-</v>
      </c>
      <c r="E18" s="396"/>
      <c r="F18" s="83" t="str">
        <f ca="1">Tables!E18</f>
        <v>-</v>
      </c>
      <c r="G18" s="84" t="str">
        <f ca="1">Tables!F18</f>
        <v>-</v>
      </c>
      <c r="H18" s="396"/>
      <c r="I18" s="86" t="str">
        <f t="shared" ca="1" si="0"/>
        <v>-</v>
      </c>
      <c r="J18" s="396"/>
      <c r="L18" s="2">
        <f t="shared" ca="1" si="1"/>
        <v>0</v>
      </c>
    </row>
    <row r="19" spans="1:12" ht="12.75" hidden="1" customHeight="1">
      <c r="A19" s="396"/>
      <c r="B19" s="432" t="str">
        <f ca="1">Tables!B19</f>
        <v>*Hide*</v>
      </c>
      <c r="C19" s="433" t="str">
        <f ca="1">Tables!C19</f>
        <v>-</v>
      </c>
      <c r="D19" s="433" t="str">
        <f ca="1">Tables!D19</f>
        <v>-</v>
      </c>
      <c r="E19" s="396"/>
      <c r="F19" s="83" t="str">
        <f ca="1">Tables!E19</f>
        <v>-</v>
      </c>
      <c r="G19" s="84" t="str">
        <f ca="1">Tables!F19</f>
        <v>-</v>
      </c>
      <c r="H19" s="396"/>
      <c r="I19" s="86" t="str">
        <f t="shared" ca="1" si="0"/>
        <v>-</v>
      </c>
      <c r="J19" s="396"/>
      <c r="L19" s="2">
        <f t="shared" ca="1" si="1"/>
        <v>0</v>
      </c>
    </row>
    <row r="20" spans="1:12" ht="12.75" hidden="1" customHeight="1">
      <c r="A20" s="396"/>
      <c r="B20" s="432" t="str">
        <f ca="1">Tables!B20</f>
        <v>*Hide*</v>
      </c>
      <c r="C20" s="433" t="str">
        <f ca="1">Tables!C20</f>
        <v>-</v>
      </c>
      <c r="D20" s="433" t="str">
        <f ca="1">Tables!D20</f>
        <v>-</v>
      </c>
      <c r="E20" s="396"/>
      <c r="F20" s="83" t="str">
        <f ca="1">Tables!E20</f>
        <v>-</v>
      </c>
      <c r="G20" s="84" t="str">
        <f ca="1">Tables!F20</f>
        <v>-</v>
      </c>
      <c r="H20" s="396"/>
      <c r="I20" s="86" t="str">
        <f t="shared" ca="1" si="0"/>
        <v>-</v>
      </c>
      <c r="J20" s="396"/>
      <c r="L20" s="2">
        <f t="shared" ca="1" si="1"/>
        <v>0</v>
      </c>
    </row>
    <row r="21" spans="1:12" ht="12.75" hidden="1" customHeight="1">
      <c r="A21" s="396"/>
      <c r="B21" s="432" t="str">
        <f ca="1">Tables!B21</f>
        <v>*Hide*</v>
      </c>
      <c r="C21" s="433" t="str">
        <f ca="1">Tables!C21</f>
        <v>-</v>
      </c>
      <c r="D21" s="433" t="str">
        <f ca="1">Tables!D21</f>
        <v>-</v>
      </c>
      <c r="E21" s="396"/>
      <c r="F21" s="83" t="str">
        <f ca="1">Tables!E21</f>
        <v>-</v>
      </c>
      <c r="G21" s="84" t="str">
        <f ca="1">Tables!F21</f>
        <v>-</v>
      </c>
      <c r="H21" s="396"/>
      <c r="I21" s="86" t="str">
        <f t="shared" ca="1" si="0"/>
        <v>-</v>
      </c>
      <c r="J21" s="396"/>
      <c r="L21" s="2">
        <f t="shared" ca="1" si="1"/>
        <v>0</v>
      </c>
    </row>
    <row r="22" spans="1:12" ht="12.75" hidden="1" customHeight="1">
      <c r="A22" s="396"/>
      <c r="B22" s="432" t="str">
        <f ca="1">Tables!B22</f>
        <v>*Hide*</v>
      </c>
      <c r="C22" s="433" t="str">
        <f ca="1">Tables!C22</f>
        <v>-</v>
      </c>
      <c r="D22" s="433" t="str">
        <f ca="1">Tables!D22</f>
        <v>-</v>
      </c>
      <c r="E22" s="396"/>
      <c r="F22" s="83" t="str">
        <f ca="1">Tables!E22</f>
        <v>-</v>
      </c>
      <c r="G22" s="84" t="str">
        <f ca="1">Tables!F22</f>
        <v>-</v>
      </c>
      <c r="H22" s="396"/>
      <c r="I22" s="86" t="str">
        <f t="shared" ca="1" si="0"/>
        <v>-</v>
      </c>
      <c r="J22" s="396"/>
      <c r="L22" s="2">
        <f t="shared" ca="1" si="1"/>
        <v>0</v>
      </c>
    </row>
    <row r="23" spans="1:12" ht="12.75" hidden="1" customHeight="1">
      <c r="A23" s="396"/>
      <c r="B23" s="432" t="str">
        <f ca="1">Tables!B23</f>
        <v>*Hide*</v>
      </c>
      <c r="C23" s="433" t="str">
        <f ca="1">Tables!C23</f>
        <v>-</v>
      </c>
      <c r="D23" s="433" t="str">
        <f ca="1">Tables!D23</f>
        <v>-</v>
      </c>
      <c r="E23" s="396"/>
      <c r="F23" s="83" t="str">
        <f ca="1">Tables!E23</f>
        <v>-</v>
      </c>
      <c r="G23" s="84" t="str">
        <f ca="1">Tables!F23</f>
        <v>-</v>
      </c>
      <c r="H23" s="396"/>
      <c r="I23" s="86" t="str">
        <f t="shared" ca="1" si="0"/>
        <v>-</v>
      </c>
      <c r="J23" s="396"/>
      <c r="L23" s="2">
        <f t="shared" ca="1" si="1"/>
        <v>0</v>
      </c>
    </row>
    <row r="24" spans="1:12" ht="12.75" hidden="1" customHeight="1">
      <c r="A24" s="396"/>
      <c r="B24" s="432" t="str">
        <f ca="1">Tables!B24</f>
        <v>*Hide*</v>
      </c>
      <c r="C24" s="433" t="str">
        <f ca="1">Tables!C24</f>
        <v>-</v>
      </c>
      <c r="D24" s="433" t="str">
        <f ca="1">Tables!D24</f>
        <v>-</v>
      </c>
      <c r="E24" s="396"/>
      <c r="F24" s="83" t="str">
        <f ca="1">Tables!E24</f>
        <v>-</v>
      </c>
      <c r="G24" s="84" t="str">
        <f ca="1">Tables!F24</f>
        <v>-</v>
      </c>
      <c r="H24" s="396"/>
      <c r="I24" s="86" t="str">
        <f t="shared" ca="1" si="0"/>
        <v>-</v>
      </c>
      <c r="J24" s="396"/>
      <c r="L24" s="2">
        <f t="shared" ca="1" si="1"/>
        <v>0</v>
      </c>
    </row>
    <row r="25" spans="1:12" ht="12.75" hidden="1" customHeight="1">
      <c r="A25" s="396"/>
      <c r="B25" s="432" t="str">
        <f ca="1">Tables!B25</f>
        <v>*Hide*</v>
      </c>
      <c r="C25" s="433" t="str">
        <f ca="1">Tables!C25</f>
        <v>-</v>
      </c>
      <c r="D25" s="433" t="str">
        <f ca="1">Tables!D25</f>
        <v>-</v>
      </c>
      <c r="E25" s="396"/>
      <c r="F25" s="83" t="str">
        <f ca="1">Tables!E25</f>
        <v>-</v>
      </c>
      <c r="G25" s="84" t="str">
        <f ca="1">Tables!F25</f>
        <v>-</v>
      </c>
      <c r="H25" s="396"/>
      <c r="I25" s="86" t="str">
        <f t="shared" ca="1" si="0"/>
        <v>-</v>
      </c>
      <c r="J25" s="396"/>
      <c r="L25" s="2">
        <f t="shared" ca="1" si="1"/>
        <v>0</v>
      </c>
    </row>
    <row r="26" spans="1:12" ht="12.75" hidden="1" customHeight="1">
      <c r="A26" s="396"/>
      <c r="B26" s="432" t="str">
        <f ca="1">Tables!B26</f>
        <v>*Hide*</v>
      </c>
      <c r="C26" s="433" t="str">
        <f ca="1">Tables!C26</f>
        <v>-</v>
      </c>
      <c r="D26" s="433" t="str">
        <f ca="1">Tables!D26</f>
        <v>-</v>
      </c>
      <c r="E26" s="396"/>
      <c r="F26" s="83" t="str">
        <f ca="1">Tables!E26</f>
        <v>-</v>
      </c>
      <c r="G26" s="84" t="str">
        <f ca="1">Tables!F26</f>
        <v>-</v>
      </c>
      <c r="H26" s="396"/>
      <c r="I26" s="86" t="str">
        <f t="shared" ca="1" si="0"/>
        <v>-</v>
      </c>
      <c r="J26" s="396"/>
      <c r="L26" s="2">
        <f t="shared" ca="1" si="1"/>
        <v>0</v>
      </c>
    </row>
    <row r="27" spans="1:12" ht="12.75" hidden="1" customHeight="1">
      <c r="A27" s="396"/>
      <c r="B27" s="432" t="str">
        <f ca="1">Tables!B27</f>
        <v>*Hide*</v>
      </c>
      <c r="C27" s="433" t="str">
        <f ca="1">Tables!C27</f>
        <v>-</v>
      </c>
      <c r="D27" s="433" t="str">
        <f ca="1">Tables!D27</f>
        <v>-</v>
      </c>
      <c r="E27" s="396"/>
      <c r="F27" s="83" t="str">
        <f ca="1">Tables!E27</f>
        <v>-</v>
      </c>
      <c r="G27" s="84" t="str">
        <f ca="1">Tables!F27</f>
        <v>-</v>
      </c>
      <c r="H27" s="396"/>
      <c r="I27" s="86" t="str">
        <f t="shared" ca="1" si="0"/>
        <v>-</v>
      </c>
      <c r="J27" s="396"/>
      <c r="L27" s="2">
        <f t="shared" ca="1" si="1"/>
        <v>0</v>
      </c>
    </row>
    <row r="28" spans="1:12" hidden="1">
      <c r="A28" s="396"/>
      <c r="B28" s="432" t="str">
        <f ca="1">Tables!B28</f>
        <v>*Hide*</v>
      </c>
      <c r="C28" s="433" t="str">
        <f ca="1">Tables!C28</f>
        <v>-</v>
      </c>
      <c r="D28" s="433" t="str">
        <f ca="1">Tables!D28</f>
        <v>-</v>
      </c>
      <c r="E28" s="396"/>
      <c r="F28" s="83" t="str">
        <f ca="1">Tables!E28</f>
        <v>-</v>
      </c>
      <c r="G28" s="84" t="str">
        <f ca="1">Tables!F28</f>
        <v>-</v>
      </c>
      <c r="H28" s="396"/>
      <c r="I28" s="86" t="str">
        <f t="shared" ca="1" si="0"/>
        <v>-</v>
      </c>
      <c r="J28" s="396"/>
      <c r="L28" s="2">
        <f t="shared" ca="1" si="1"/>
        <v>0</v>
      </c>
    </row>
    <row r="29" spans="1:12" ht="12.75" customHeight="1" thickBot="1">
      <c r="A29" s="396"/>
      <c r="B29" s="434" t="str">
        <f>Tables!B29</f>
        <v>Regulatory</v>
      </c>
      <c r="C29" s="433" t="str">
        <f>Tables!C29</f>
        <v>-</v>
      </c>
      <c r="D29" s="433" t="str">
        <f>Tables!D29</f>
        <v>-</v>
      </c>
      <c r="E29" s="396"/>
      <c r="F29" s="83">
        <f>Tables!E29</f>
        <v>31695</v>
      </c>
      <c r="G29" s="84">
        <f>Tables!F29</f>
        <v>15003.2</v>
      </c>
      <c r="H29" s="396"/>
      <c r="I29" s="86">
        <f t="shared" si="0"/>
        <v>0.47336172897933432</v>
      </c>
      <c r="J29" s="396"/>
      <c r="L29" s="2">
        <f>IF(SUBTOTAL(103,B29)=1,0,-1)</f>
        <v>0</v>
      </c>
    </row>
    <row r="30" spans="1:12" ht="12.75" customHeight="1" thickBot="1">
      <c r="A30" s="396"/>
      <c r="B30" s="435"/>
      <c r="C30" s="435"/>
      <c r="D30" s="87" t="s">
        <v>145</v>
      </c>
      <c r="E30" s="396"/>
      <c r="F30" s="80">
        <f ca="1">SUM(F9:F29)</f>
        <v>12941764.219999999</v>
      </c>
      <c r="G30" s="103">
        <f ca="1">SUM(G9:G29)</f>
        <v>10370539.259999998</v>
      </c>
      <c r="H30" s="396"/>
      <c r="I30" s="104">
        <f t="shared" ca="1" si="0"/>
        <v>0.80132345820158968</v>
      </c>
      <c r="J30" s="396"/>
      <c r="L30" s="2">
        <f ca="1">SUM(L9:L29)</f>
        <v>0</v>
      </c>
    </row>
    <row r="31" spans="1:12">
      <c r="A31" s="396"/>
      <c r="B31" s="396"/>
      <c r="C31" s="396"/>
      <c r="D31" s="396"/>
      <c r="E31" s="396"/>
      <c r="F31" s="396"/>
      <c r="G31" s="396"/>
      <c r="H31" s="396"/>
      <c r="I31" s="396"/>
      <c r="J31" s="396"/>
    </row>
    <row r="32" spans="1:12">
      <c r="B32" s="396"/>
      <c r="C32" s="396"/>
      <c r="D32" s="396"/>
      <c r="E32" s="396"/>
      <c r="F32" s="396"/>
      <c r="G32" s="396"/>
      <c r="H32" s="396"/>
      <c r="I32" s="396"/>
      <c r="J32" s="396"/>
    </row>
    <row r="33" spans="2:10">
      <c r="B33" s="298" t="str">
        <f ca="1">IF(L30&gt;0,"Select all cells in the 'Program Name' column that contain *Hide* and press Ctrl+9 to hide rows.",IF(L30&lt;0,"Select all cells in Program Name column and press Shift+Ctrl+9 to unhide all rows.",""))</f>
        <v/>
      </c>
      <c r="C33" s="396"/>
      <c r="D33" s="396"/>
      <c r="E33" s="396"/>
      <c r="F33" s="396"/>
      <c r="G33" s="396"/>
      <c r="H33" s="396"/>
      <c r="I33" s="396"/>
      <c r="J33" s="396"/>
    </row>
    <row r="34" spans="2:10">
      <c r="B34" s="298"/>
      <c r="C34" s="396"/>
      <c r="D34" s="396"/>
      <c r="E34" s="396"/>
      <c r="F34" s="396"/>
      <c r="G34" s="396"/>
      <c r="H34" s="396"/>
      <c r="I34" s="396"/>
      <c r="J34" s="396"/>
    </row>
    <row r="35" spans="2:10">
      <c r="B35" s="396"/>
      <c r="C35" s="396"/>
      <c r="D35" s="396"/>
      <c r="E35" s="396"/>
      <c r="F35" s="396"/>
      <c r="G35" s="396"/>
      <c r="H35" s="396"/>
      <c r="I35" s="396"/>
      <c r="J35" s="396"/>
    </row>
    <row r="36" spans="2:10">
      <c r="B36" s="396"/>
      <c r="C36" s="396"/>
      <c r="D36" s="396"/>
      <c r="E36" s="396"/>
      <c r="F36" s="396"/>
      <c r="G36" s="396"/>
      <c r="H36" s="396"/>
      <c r="I36" s="396"/>
      <c r="J36" s="396"/>
    </row>
    <row r="37" spans="2:10">
      <c r="B37" s="396"/>
      <c r="C37" s="396"/>
      <c r="D37" s="396"/>
      <c r="E37" s="396"/>
      <c r="F37" s="396"/>
      <c r="G37" s="396"/>
      <c r="H37" s="396"/>
      <c r="I37" s="396"/>
      <c r="J37" s="396"/>
    </row>
    <row r="38" spans="2:10">
      <c r="B38" s="396"/>
      <c r="C38" s="396"/>
      <c r="D38" s="396"/>
      <c r="E38" s="396"/>
      <c r="F38" s="396"/>
      <c r="G38" s="396"/>
      <c r="H38" s="396"/>
      <c r="I38" s="396"/>
      <c r="J38" s="396"/>
    </row>
    <row r="39" spans="2:10">
      <c r="B39" s="396"/>
      <c r="C39" s="396"/>
      <c r="D39" s="396"/>
      <c r="E39" s="396"/>
      <c r="F39" s="396"/>
      <c r="G39" s="396"/>
      <c r="H39" s="396"/>
      <c r="I39" s="396"/>
      <c r="J39" s="396"/>
    </row>
    <row r="40" spans="2:10">
      <c r="B40" s="396"/>
      <c r="C40" s="396"/>
      <c r="D40" s="396"/>
      <c r="E40" s="396"/>
      <c r="F40" s="396"/>
      <c r="G40" s="396"/>
      <c r="H40" s="396"/>
      <c r="I40" s="396"/>
      <c r="J40" s="396"/>
    </row>
  </sheetData>
  <sheetProtection formatColumns="0" formatRows="0"/>
  <mergeCells count="4">
    <mergeCell ref="F6:G6"/>
    <mergeCell ref="I6:I8"/>
    <mergeCell ref="B4:I4"/>
    <mergeCell ref="B2:I2"/>
  </mergeCells>
  <conditionalFormatting sqref="B9:D28 F9:G28 I9:I28">
    <cfRule type="expression" dxfId="4" priority="3">
      <formula>$B9="*Hide*"</formula>
    </cfRule>
  </conditionalFormatting>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12"/>
  <sheetViews>
    <sheetView showGridLines="0" showRowColHeaders="0" zoomScale="110" zoomScaleNormal="110" workbookViewId="0">
      <pane ySplit="4" topLeftCell="A5" activePane="bottomLeft" state="frozen"/>
      <selection pane="bottomLeft" activeCell="E7" sqref="E7"/>
    </sheetView>
  </sheetViews>
  <sheetFormatPr defaultColWidth="9.140625" defaultRowHeight="12.75"/>
  <cols>
    <col min="1" max="1" width="1" style="2" customWidth="1"/>
    <col min="2" max="2" width="3.7109375" style="2" customWidth="1"/>
    <col min="3" max="3" width="0.28515625" style="2" customWidth="1"/>
    <col min="4" max="4" width="35.7109375" style="2" customWidth="1"/>
    <col min="5" max="5" width="21.85546875" style="2" customWidth="1"/>
    <col min="6" max="6" width="24.85546875" style="2" customWidth="1"/>
    <col min="7" max="7" width="29.85546875" style="2" customWidth="1"/>
    <col min="8" max="8" width="7.140625" style="2" customWidth="1"/>
    <col min="9" max="9" width="9.7109375" style="2" customWidth="1"/>
    <col min="10" max="10" width="1" style="2" customWidth="1"/>
    <col min="11" max="11" width="16" style="2" customWidth="1"/>
    <col min="12" max="12" width="0" style="2" hidden="1" customWidth="1"/>
    <col min="13" max="16384" width="9.140625" style="2"/>
  </cols>
  <sheetData>
    <row r="1" spans="2:12" ht="28.5" customHeight="1"/>
    <row r="2" spans="2:12" ht="96.75" customHeight="1">
      <c r="B2" s="569"/>
      <c r="C2" s="570"/>
      <c r="D2" s="570"/>
      <c r="E2" s="570"/>
      <c r="F2" s="570"/>
      <c r="G2" s="570"/>
      <c r="H2" s="570"/>
      <c r="I2" s="571"/>
    </row>
    <row r="3" spans="2:12" ht="12.75" customHeight="1">
      <c r="B3" s="530"/>
      <c r="C3" s="572"/>
      <c r="D3" s="313" t="str">
        <f>IF(L25&gt;0,"Incomplete - All yellow shaded cells must be completed.","")</f>
        <v/>
      </c>
      <c r="E3" s="572"/>
      <c r="F3" s="572"/>
      <c r="G3" s="572"/>
      <c r="H3" s="572"/>
      <c r="I3" s="531"/>
    </row>
    <row r="4" spans="2:12" ht="21" customHeight="1">
      <c r="B4" s="3"/>
      <c r="D4" s="8" t="s">
        <v>85</v>
      </c>
      <c r="E4" s="8" t="s">
        <v>86</v>
      </c>
      <c r="F4" s="8" t="s">
        <v>87</v>
      </c>
      <c r="G4" s="8" t="s">
        <v>88</v>
      </c>
      <c r="I4" s="4"/>
    </row>
    <row r="5" spans="2:12" ht="15" customHeight="1">
      <c r="B5" s="241">
        <v>1</v>
      </c>
      <c r="C5" s="575" t="str">
        <f t="shared" ref="C5:C24" si="0">IF(ISBLANK(D5),"Empty",D5)</f>
        <v>Residential Solutions Program</v>
      </c>
      <c r="D5" s="576" t="s">
        <v>89</v>
      </c>
      <c r="E5" s="567" t="s">
        <v>90</v>
      </c>
      <c r="F5" s="567" t="s">
        <v>91</v>
      </c>
      <c r="G5" s="567" t="s">
        <v>92</v>
      </c>
      <c r="I5" s="4"/>
      <c r="L5" s="297">
        <f t="shared" ref="L5:L24" si="1">IF(C5="Empty",0,IF(OR(ISBLANK(E5),ISBLANK(F5),ISBLANK(G5)),1,0))</f>
        <v>0</v>
      </c>
    </row>
    <row r="6" spans="2:12" ht="15" customHeight="1">
      <c r="B6" s="241">
        <v>2</v>
      </c>
      <c r="C6" s="575" t="str">
        <f t="shared" si="0"/>
        <v>Access to Afford Energy &amp; Conservation</v>
      </c>
      <c r="D6" s="576" t="s">
        <v>93</v>
      </c>
      <c r="E6" s="567" t="s">
        <v>94</v>
      </c>
      <c r="F6" s="567" t="s">
        <v>91</v>
      </c>
      <c r="G6" s="567" t="s">
        <v>92</v>
      </c>
      <c r="I6" s="4"/>
      <c r="L6" s="297">
        <f t="shared" si="1"/>
        <v>0</v>
      </c>
    </row>
    <row r="7" spans="2:12" ht="15" customHeight="1">
      <c r="B7" s="241">
        <v>3</v>
      </c>
      <c r="C7" s="575" t="str">
        <f t="shared" si="0"/>
        <v>Commercial Solutions</v>
      </c>
      <c r="D7" s="576" t="s">
        <v>95</v>
      </c>
      <c r="E7" s="567" t="s">
        <v>96</v>
      </c>
      <c r="F7" s="567" t="s">
        <v>91</v>
      </c>
      <c r="G7" s="567" t="s">
        <v>92</v>
      </c>
      <c r="I7" s="4"/>
      <c r="L7" s="297">
        <f t="shared" si="1"/>
        <v>0</v>
      </c>
    </row>
    <row r="8" spans="2:12" ht="15" hidden="1" customHeight="1">
      <c r="B8" s="241">
        <v>4</v>
      </c>
      <c r="C8" s="575" t="str">
        <f t="shared" si="0"/>
        <v>Empty</v>
      </c>
      <c r="D8" s="576"/>
      <c r="E8" s="567"/>
      <c r="F8" s="567"/>
      <c r="G8" s="567"/>
      <c r="I8" s="4"/>
      <c r="L8" s="297">
        <f t="shared" si="1"/>
        <v>0</v>
      </c>
    </row>
    <row r="9" spans="2:12" ht="15" hidden="1" customHeight="1">
      <c r="B9" s="241">
        <v>5</v>
      </c>
      <c r="C9" s="575" t="str">
        <f>IF(ISBLANK(D9),"Empty",D9)</f>
        <v>Empty</v>
      </c>
      <c r="D9" s="576"/>
      <c r="E9" s="567"/>
      <c r="F9" s="567"/>
      <c r="G9" s="567"/>
      <c r="I9" s="4"/>
      <c r="L9" s="297">
        <f>IF(C9="Empty",0,IF(OR(ISBLANK(E9),ISBLANK(F9),ISBLANK(G9)),1,0))</f>
        <v>0</v>
      </c>
    </row>
    <row r="10" spans="2:12" ht="15" hidden="1" customHeight="1">
      <c r="B10" s="241">
        <v>6</v>
      </c>
      <c r="C10" s="575" t="str">
        <f>IF(ISBLANK(D10),"Empty",D10)</f>
        <v>Empty</v>
      </c>
      <c r="D10" s="576"/>
      <c r="E10" s="567"/>
      <c r="F10" s="567"/>
      <c r="G10" s="567"/>
      <c r="I10" s="4"/>
      <c r="L10" s="297">
        <f>IF(C10="Empty",0,IF(OR(ISBLANK(E10),ISBLANK(F10),ISBLANK(G10)),1,0))</f>
        <v>0</v>
      </c>
    </row>
    <row r="11" spans="2:12" ht="15" hidden="1" customHeight="1">
      <c r="B11" s="241">
        <v>7</v>
      </c>
      <c r="C11" s="575" t="str">
        <f>IF(ISBLANK(D11),"Empty",D11)</f>
        <v>Empty</v>
      </c>
      <c r="D11" s="576"/>
      <c r="E11" s="567"/>
      <c r="F11" s="567"/>
      <c r="G11" s="567"/>
      <c r="I11" s="4"/>
      <c r="L11" s="297">
        <f>IF(C11="Empty",0,IF(OR(ISBLANK(E11),ISBLANK(F11),ISBLANK(G11)),1,0))</f>
        <v>0</v>
      </c>
    </row>
    <row r="12" spans="2:12" ht="15" hidden="1" customHeight="1">
      <c r="B12" s="241">
        <v>8</v>
      </c>
      <c r="C12" s="575" t="str">
        <f>IF(ISBLANK(D12),"Empty",D12)</f>
        <v>Empty</v>
      </c>
      <c r="D12" s="576"/>
      <c r="E12" s="567"/>
      <c r="F12" s="567"/>
      <c r="G12" s="567"/>
      <c r="I12" s="4"/>
      <c r="L12" s="297">
        <f>IF(C12="Empty",0,IF(OR(ISBLANK(E12),ISBLANK(F12),ISBLANK(G12)),1,0))</f>
        <v>0</v>
      </c>
    </row>
    <row r="13" spans="2:12" ht="15" hidden="1" customHeight="1">
      <c r="B13" s="241">
        <v>9</v>
      </c>
      <c r="C13" s="575" t="str">
        <f>IF(ISBLANK(D13),"Empty",D13)</f>
        <v>Empty</v>
      </c>
      <c r="D13" s="576"/>
      <c r="E13" s="567"/>
      <c r="F13" s="567"/>
      <c r="G13" s="567"/>
      <c r="I13" s="4"/>
      <c r="L13" s="297">
        <f>IF(C13="Empty",0,IF(OR(ISBLANK(E13),ISBLANK(F13),ISBLANK(G13)),1,0))</f>
        <v>0</v>
      </c>
    </row>
    <row r="14" spans="2:12" ht="15" hidden="1" customHeight="1">
      <c r="B14" s="241">
        <v>10</v>
      </c>
      <c r="C14" s="575" t="str">
        <f t="shared" si="0"/>
        <v>Empty</v>
      </c>
      <c r="D14" s="576"/>
      <c r="E14" s="567"/>
      <c r="F14" s="567"/>
      <c r="G14" s="567"/>
      <c r="I14" s="4"/>
      <c r="L14" s="297">
        <f t="shared" si="1"/>
        <v>0</v>
      </c>
    </row>
    <row r="15" spans="2:12" ht="15" hidden="1" customHeight="1">
      <c r="B15" s="241">
        <v>11</v>
      </c>
      <c r="C15" s="575" t="str">
        <f t="shared" si="0"/>
        <v>Empty</v>
      </c>
      <c r="D15" s="576"/>
      <c r="E15" s="567"/>
      <c r="F15" s="567"/>
      <c r="G15" s="567"/>
      <c r="I15" s="4"/>
      <c r="L15" s="297">
        <f t="shared" si="1"/>
        <v>0</v>
      </c>
    </row>
    <row r="16" spans="2:12" ht="15" hidden="1" customHeight="1">
      <c r="B16" s="241">
        <v>12</v>
      </c>
      <c r="C16" s="575" t="str">
        <f t="shared" si="0"/>
        <v>Empty</v>
      </c>
      <c r="D16" s="576"/>
      <c r="E16" s="567"/>
      <c r="F16" s="567"/>
      <c r="G16" s="567"/>
      <c r="I16" s="4"/>
      <c r="L16" s="297">
        <f t="shared" si="1"/>
        <v>0</v>
      </c>
    </row>
    <row r="17" spans="2:12" ht="15" hidden="1" customHeight="1">
      <c r="B17" s="241">
        <v>13</v>
      </c>
      <c r="C17" s="575" t="str">
        <f t="shared" si="0"/>
        <v>Empty</v>
      </c>
      <c r="D17" s="576"/>
      <c r="E17" s="567"/>
      <c r="F17" s="567"/>
      <c r="G17" s="567"/>
      <c r="I17" s="4"/>
      <c r="L17" s="297">
        <f t="shared" si="1"/>
        <v>0</v>
      </c>
    </row>
    <row r="18" spans="2:12" ht="15" hidden="1" customHeight="1">
      <c r="B18" s="241">
        <v>14</v>
      </c>
      <c r="C18" s="575" t="str">
        <f t="shared" si="0"/>
        <v>Empty</v>
      </c>
      <c r="D18" s="576"/>
      <c r="E18" s="567"/>
      <c r="F18" s="567"/>
      <c r="G18" s="567"/>
      <c r="I18" s="4"/>
      <c r="L18" s="297">
        <f t="shared" si="1"/>
        <v>0</v>
      </c>
    </row>
    <row r="19" spans="2:12" ht="15" hidden="1" customHeight="1">
      <c r="B19" s="241">
        <v>15</v>
      </c>
      <c r="C19" s="575" t="str">
        <f t="shared" si="0"/>
        <v>Empty</v>
      </c>
      <c r="D19" s="576"/>
      <c r="E19" s="567"/>
      <c r="F19" s="567"/>
      <c r="G19" s="567"/>
      <c r="I19" s="4"/>
      <c r="L19" s="297">
        <f t="shared" si="1"/>
        <v>0</v>
      </c>
    </row>
    <row r="20" spans="2:12" ht="15" hidden="1" customHeight="1">
      <c r="B20" s="241">
        <v>16</v>
      </c>
      <c r="C20" s="575" t="str">
        <f t="shared" si="0"/>
        <v>Empty</v>
      </c>
      <c r="D20" s="576"/>
      <c r="E20" s="567"/>
      <c r="F20" s="567"/>
      <c r="G20" s="567"/>
      <c r="I20" s="4"/>
      <c r="L20" s="297">
        <f t="shared" si="1"/>
        <v>0</v>
      </c>
    </row>
    <row r="21" spans="2:12" ht="15" hidden="1" customHeight="1">
      <c r="B21" s="241">
        <v>17</v>
      </c>
      <c r="C21" s="575" t="str">
        <f t="shared" si="0"/>
        <v>Empty</v>
      </c>
      <c r="D21" s="576"/>
      <c r="E21" s="567"/>
      <c r="F21" s="567"/>
      <c r="G21" s="567"/>
      <c r="I21" s="4"/>
      <c r="L21" s="297">
        <f t="shared" si="1"/>
        <v>0</v>
      </c>
    </row>
    <row r="22" spans="2:12" ht="15" hidden="1" customHeight="1">
      <c r="B22" s="241">
        <v>18</v>
      </c>
      <c r="C22" s="575" t="str">
        <f t="shared" si="0"/>
        <v>Empty</v>
      </c>
      <c r="D22" s="576"/>
      <c r="E22" s="567"/>
      <c r="F22" s="567"/>
      <c r="G22" s="567"/>
      <c r="I22" s="4"/>
      <c r="L22" s="297">
        <f t="shared" si="1"/>
        <v>0</v>
      </c>
    </row>
    <row r="23" spans="2:12" ht="15" hidden="1" customHeight="1">
      <c r="B23" s="241">
        <v>19</v>
      </c>
      <c r="C23" s="575" t="str">
        <f t="shared" si="0"/>
        <v>Empty</v>
      </c>
      <c r="D23" s="576"/>
      <c r="E23" s="567"/>
      <c r="F23" s="567"/>
      <c r="G23" s="567"/>
      <c r="I23" s="4"/>
      <c r="L23" s="297">
        <f t="shared" si="1"/>
        <v>0</v>
      </c>
    </row>
    <row r="24" spans="2:12" ht="15" hidden="1" customHeight="1">
      <c r="B24" s="241">
        <v>20</v>
      </c>
      <c r="C24" s="575" t="str">
        <f t="shared" si="0"/>
        <v>Empty</v>
      </c>
      <c r="D24" s="576"/>
      <c r="E24" s="567"/>
      <c r="F24" s="567"/>
      <c r="G24" s="567"/>
      <c r="I24" s="4"/>
      <c r="L24" s="297">
        <f t="shared" si="1"/>
        <v>0</v>
      </c>
    </row>
    <row r="25" spans="2:12" ht="15" customHeight="1">
      <c r="B25" s="5"/>
      <c r="C25" s="6"/>
      <c r="D25" s="6"/>
      <c r="E25" s="6"/>
      <c r="F25" s="6"/>
      <c r="G25" s="6"/>
      <c r="H25" s="6"/>
      <c r="I25" s="7"/>
      <c r="L25" s="328">
        <f>SUM(L5:L24)</f>
        <v>0</v>
      </c>
    </row>
    <row r="26" spans="2:12" ht="15" customHeight="1"/>
    <row r="27" spans="2:12" ht="15" customHeight="1"/>
    <row r="28" spans="2:12" ht="15" customHeight="1"/>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sheetData>
  <sheetProtection formatRows="0"/>
  <conditionalFormatting sqref="E5:G24">
    <cfRule type="expression" dxfId="94" priority="1">
      <formula>$B5&gt;Programs</formula>
    </cfRule>
  </conditionalFormatting>
  <dataValidations count="4">
    <dataValidation type="list" allowBlank="1" showInputMessage="1" showErrorMessage="1" sqref="E5:E24" xr:uid="{00000000-0002-0000-0300-000000000000}">
      <formula1>IF($C5="Empty",Prg_Empty,Sector_Type)</formula1>
    </dataValidation>
    <dataValidation type="list" allowBlank="1" showInputMessage="1" showErrorMessage="1" sqref="F5:F24" xr:uid="{00000000-0002-0000-0300-000001000000}">
      <formula1>IF($C5="Empty",Prg_Empty,Prg_Type)</formula1>
    </dataValidation>
    <dataValidation type="list" allowBlank="1" showInputMessage="1" showErrorMessage="1" sqref="G5:G24" xr:uid="{00000000-0002-0000-0300-000002000000}">
      <formula1>IF($C5="Empty",Prg_Empty,D_Channel)</formula1>
    </dataValidation>
    <dataValidation type="textLength" allowBlank="1" showInputMessage="1" showErrorMessage="1" error="Shorten length of program name to 25 characters or less." sqref="D5:D24" xr:uid="{00000000-0002-0000-0300-000004000000}">
      <formula1>0</formula1>
      <formula2>38</formula2>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25"/>
  <sheetViews>
    <sheetView showGridLines="0" topLeftCell="A6" zoomScale="110" zoomScaleNormal="110" workbookViewId="0">
      <selection activeCell="G9" sqref="G9:G15"/>
    </sheetView>
  </sheetViews>
  <sheetFormatPr defaultColWidth="9.140625" defaultRowHeight="12.75"/>
  <cols>
    <col min="1" max="1" width="1" style="2" customWidth="1"/>
    <col min="2" max="2" width="37.7109375" style="2" customWidth="1"/>
    <col min="3" max="3" width="1.140625" style="2" customWidth="1"/>
    <col min="4" max="4" width="8.7109375" style="2" customWidth="1"/>
    <col min="5" max="6" width="12.7109375" style="2" customWidth="1"/>
    <col min="7" max="7" width="8.7109375" style="2" customWidth="1"/>
    <col min="8" max="8" width="1.28515625" style="2" customWidth="1"/>
    <col min="9" max="16384" width="9.140625" style="2"/>
  </cols>
  <sheetData>
    <row r="1" spans="1:8" ht="5.0999999999999996" customHeight="1" thickBot="1"/>
    <row r="2" spans="1:8" ht="38.25" customHeight="1" thickBot="1">
      <c r="B2" s="684" t="s">
        <v>667</v>
      </c>
      <c r="C2" s="684"/>
      <c r="D2" s="684"/>
      <c r="E2" s="684"/>
      <c r="F2" s="684"/>
      <c r="G2" s="684"/>
    </row>
    <row r="3" spans="1:8" ht="4.5" customHeight="1" thickBot="1"/>
    <row r="4" spans="1:8" ht="24" thickBot="1">
      <c r="B4" s="754" t="s">
        <v>694</v>
      </c>
      <c r="C4" s="755"/>
      <c r="D4" s="755"/>
      <c r="E4" s="755"/>
      <c r="F4" s="755"/>
      <c r="G4" s="756"/>
    </row>
    <row r="5" spans="1:8" ht="4.5" customHeight="1" thickBot="1">
      <c r="B5" s="130"/>
      <c r="G5" s="131"/>
    </row>
    <row r="6" spans="1:8" ht="13.5" customHeight="1" thickBot="1">
      <c r="A6" s="396"/>
      <c r="B6" s="629"/>
      <c r="C6" s="114"/>
      <c r="D6" s="765" t="str">
        <f>Titles!F2&amp;" Total Expenditures"</f>
        <v>2025 Total Expenditures</v>
      </c>
      <c r="E6" s="770"/>
      <c r="F6" s="770"/>
      <c r="G6" s="766"/>
      <c r="H6" s="396"/>
    </row>
    <row r="7" spans="1:8" ht="11.25" customHeight="1">
      <c r="A7" s="396"/>
      <c r="B7" s="431"/>
      <c r="C7" s="396"/>
      <c r="D7" s="630" t="s">
        <v>695</v>
      </c>
      <c r="E7" s="625" t="s">
        <v>401</v>
      </c>
      <c r="F7" s="626" t="s">
        <v>402</v>
      </c>
      <c r="G7" s="631" t="s">
        <v>695</v>
      </c>
      <c r="H7" s="396"/>
    </row>
    <row r="8" spans="1:8" ht="11.25" customHeight="1" thickBot="1">
      <c r="A8" s="396"/>
      <c r="B8" s="77" t="s">
        <v>696</v>
      </c>
      <c r="C8" s="114"/>
      <c r="D8" s="118" t="s">
        <v>145</v>
      </c>
      <c r="E8" s="119" t="s">
        <v>693</v>
      </c>
      <c r="F8" s="116" t="s">
        <v>693</v>
      </c>
      <c r="G8" s="115" t="s">
        <v>145</v>
      </c>
      <c r="H8" s="396"/>
    </row>
    <row r="9" spans="1:8" ht="12.75" customHeight="1">
      <c r="A9" s="396"/>
      <c r="B9" s="628" t="str">
        <f>Tables!B34</f>
        <v>Planning / Design</v>
      </c>
      <c r="C9" s="396"/>
      <c r="D9" s="85">
        <f>IF(ISERROR(E9/$E$15),"-",(E9/$E$15))</f>
        <v>8.7180648698296243E-3</v>
      </c>
      <c r="E9" s="123">
        <f>Tables!C34</f>
        <v>112827.14</v>
      </c>
      <c r="F9" s="123">
        <f>Tables!D34</f>
        <v>2786719.67</v>
      </c>
      <c r="G9" s="117">
        <f>IF(ISERROR(F9/$F$15),"-",(F9/$F$15))</f>
        <v>0.26871502051475771</v>
      </c>
      <c r="H9" s="396"/>
    </row>
    <row r="10" spans="1:8" ht="12.75" customHeight="1">
      <c r="A10" s="396"/>
      <c r="B10" s="433" t="str">
        <f>Tables!B35</f>
        <v>Marketing &amp; Delivery</v>
      </c>
      <c r="C10" s="396"/>
      <c r="D10" s="120">
        <f t="shared" ref="D10:D15" si="0">IF(ISERROR(E10/$E$15),"-",(E10/$E$15))</f>
        <v>0.26641259579368226</v>
      </c>
      <c r="E10" s="124">
        <f>Tables!C35</f>
        <v>3447849</v>
      </c>
      <c r="F10" s="124">
        <f>Tables!D35</f>
        <v>329677.81000000006</v>
      </c>
      <c r="G10" s="127">
        <f t="shared" ref="G10:G15" si="1">IF(ISERROR(F10/$F$15),"-",(F10/$F$15))</f>
        <v>3.1789842527436718E-2</v>
      </c>
      <c r="H10" s="396"/>
    </row>
    <row r="11" spans="1:8" ht="12.75" customHeight="1">
      <c r="A11" s="396"/>
      <c r="B11" s="433" t="str">
        <f>Tables!B36</f>
        <v>Incentives / Direct Install Costs</v>
      </c>
      <c r="C11" s="396"/>
      <c r="D11" s="120">
        <f t="shared" si="0"/>
        <v>0.59319995863747854</v>
      </c>
      <c r="E11" s="124">
        <f>Tables!C36</f>
        <v>7677054</v>
      </c>
      <c r="F11" s="124">
        <f>Tables!D36</f>
        <v>5141749.2799999993</v>
      </c>
      <c r="G11" s="127">
        <f t="shared" si="1"/>
        <v>0.49580346316532825</v>
      </c>
      <c r="H11" s="396"/>
    </row>
    <row r="12" spans="1:8" ht="12.75" customHeight="1">
      <c r="A12" s="396"/>
      <c r="B12" s="433" t="str">
        <f>Tables!B37</f>
        <v>EM&amp;V</v>
      </c>
      <c r="C12" s="396"/>
      <c r="D12" s="120">
        <f t="shared" si="0"/>
        <v>6.7112276598097376E-2</v>
      </c>
      <c r="E12" s="124">
        <f>Tables!C37</f>
        <v>868551.26</v>
      </c>
      <c r="F12" s="124">
        <f>Tables!D37</f>
        <v>1662166.27</v>
      </c>
      <c r="G12" s="127">
        <f t="shared" si="1"/>
        <v>0.16027770864443941</v>
      </c>
      <c r="H12" s="396"/>
    </row>
    <row r="13" spans="1:8" ht="12.75" customHeight="1">
      <c r="A13" s="396"/>
      <c r="B13" s="433" t="str">
        <f>Tables!B38</f>
        <v>Administration</v>
      </c>
      <c r="C13" s="396"/>
      <c r="D13" s="120">
        <f t="shared" si="0"/>
        <v>6.2108056238409814E-2</v>
      </c>
      <c r="E13" s="124">
        <f>Tables!C38</f>
        <v>803787.82</v>
      </c>
      <c r="F13" s="124">
        <f>Tables!D38</f>
        <v>435223.03</v>
      </c>
      <c r="G13" s="127">
        <f t="shared" si="1"/>
        <v>4.1967251566048275E-2</v>
      </c>
      <c r="H13" s="396"/>
    </row>
    <row r="14" spans="1:8" ht="12.75" customHeight="1" thickBot="1">
      <c r="A14" s="396"/>
      <c r="B14" s="433" t="str">
        <f>Tables!B39</f>
        <v>Regulatory</v>
      </c>
      <c r="C14" s="396"/>
      <c r="D14" s="121">
        <f t="shared" si="0"/>
        <v>2.4490478625023193E-3</v>
      </c>
      <c r="E14" s="125">
        <f>Tables!C39</f>
        <v>31695</v>
      </c>
      <c r="F14" s="125">
        <f>Tables!D39</f>
        <v>15003.2</v>
      </c>
      <c r="G14" s="128">
        <f t="shared" si="1"/>
        <v>1.446713581989757E-3</v>
      </c>
      <c r="H14" s="396"/>
    </row>
    <row r="15" spans="1:8" ht="12.75" customHeight="1" thickBot="1">
      <c r="A15" s="396"/>
      <c r="B15" s="435"/>
      <c r="C15" s="436"/>
      <c r="D15" s="122">
        <f t="shared" si="0"/>
        <v>1</v>
      </c>
      <c r="E15" s="126">
        <f>SUM(E9:E14)</f>
        <v>12941764.220000001</v>
      </c>
      <c r="F15" s="126">
        <f>SUM(F9:F14)</f>
        <v>10370539.259999998</v>
      </c>
      <c r="G15" s="129">
        <f t="shared" si="1"/>
        <v>1</v>
      </c>
      <c r="H15" s="396"/>
    </row>
    <row r="16" spans="1:8">
      <c r="A16" s="396"/>
      <c r="B16" s="396"/>
      <c r="C16" s="396"/>
      <c r="D16" s="396"/>
      <c r="E16" s="396"/>
      <c r="F16" s="396"/>
      <c r="G16" s="396"/>
      <c r="H16" s="396"/>
    </row>
    <row r="17" spans="2:8">
      <c r="B17" s="396"/>
      <c r="C17" s="396"/>
      <c r="D17" s="396"/>
      <c r="E17" s="396"/>
      <c r="F17" s="396"/>
      <c r="G17" s="396"/>
      <c r="H17" s="396"/>
    </row>
    <row r="18" spans="2:8">
      <c r="B18" s="396"/>
      <c r="C18" s="396"/>
      <c r="D18" s="396"/>
      <c r="E18" s="396"/>
      <c r="F18" s="396"/>
      <c r="G18" s="396"/>
      <c r="H18" s="396"/>
    </row>
    <row r="19" spans="2:8">
      <c r="B19" s="396"/>
      <c r="C19" s="396"/>
      <c r="D19" s="396"/>
      <c r="E19" s="396"/>
      <c r="F19" s="396"/>
      <c r="G19" s="396"/>
      <c r="H19" s="396"/>
    </row>
    <row r="20" spans="2:8">
      <c r="B20" s="396"/>
      <c r="C20" s="396"/>
      <c r="D20" s="396"/>
      <c r="E20" s="396"/>
      <c r="F20" s="396"/>
      <c r="G20" s="396"/>
      <c r="H20" s="396"/>
    </row>
    <row r="21" spans="2:8">
      <c r="B21" s="396"/>
      <c r="C21" s="396"/>
      <c r="D21" s="396"/>
      <c r="E21" s="396"/>
      <c r="F21" s="396"/>
      <c r="G21" s="396"/>
      <c r="H21" s="396"/>
    </row>
    <row r="22" spans="2:8">
      <c r="B22" s="396"/>
      <c r="C22" s="396"/>
      <c r="D22" s="396"/>
      <c r="E22" s="396"/>
      <c r="F22" s="396"/>
      <c r="G22" s="396"/>
      <c r="H22" s="396"/>
    </row>
    <row r="23" spans="2:8">
      <c r="B23" s="396"/>
      <c r="C23" s="396"/>
      <c r="D23" s="396"/>
      <c r="E23" s="396"/>
      <c r="F23" s="396"/>
      <c r="G23" s="396"/>
      <c r="H23" s="396"/>
    </row>
    <row r="24" spans="2:8">
      <c r="B24" s="396"/>
      <c r="C24" s="396"/>
      <c r="D24" s="396"/>
      <c r="E24" s="396"/>
      <c r="F24" s="396"/>
      <c r="G24" s="396"/>
      <c r="H24" s="396"/>
    </row>
    <row r="25" spans="2:8">
      <c r="B25" s="396"/>
      <c r="C25" s="396"/>
      <c r="D25" s="396"/>
      <c r="E25" s="396"/>
      <c r="F25" s="396"/>
      <c r="G25" s="396"/>
      <c r="H25" s="396"/>
    </row>
  </sheetData>
  <sheetProtection formatColumns="0" formatRows="0"/>
  <mergeCells count="3">
    <mergeCell ref="B4:G4"/>
    <mergeCell ref="D6:G6"/>
    <mergeCell ref="B2:G2"/>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23"/>
  <sheetViews>
    <sheetView showGridLines="0" zoomScaleNormal="100" workbookViewId="0">
      <selection activeCell="B4" sqref="B4:N14"/>
    </sheetView>
  </sheetViews>
  <sheetFormatPr defaultColWidth="9.140625" defaultRowHeight="12.75"/>
  <cols>
    <col min="1" max="1" width="1" style="2" customWidth="1"/>
    <col min="2" max="2" width="9.5703125" style="2" customWidth="1"/>
    <col min="3" max="3" width="1" style="2" customWidth="1"/>
    <col min="4" max="4" width="12.140625" style="2" customWidth="1"/>
    <col min="5" max="5" width="11" style="2" customWidth="1"/>
    <col min="6" max="6" width="8.28515625" style="2" customWidth="1"/>
    <col min="7" max="7" width="11" style="2" customWidth="1"/>
    <col min="8" max="8" width="8.140625" style="2" customWidth="1"/>
    <col min="9" max="9" width="1" style="2" customWidth="1"/>
    <col min="10" max="10" width="12.140625" style="2" customWidth="1"/>
    <col min="11" max="11" width="11" style="2" customWidth="1"/>
    <col min="12" max="12" width="7.7109375" style="2" customWidth="1"/>
    <col min="13" max="13" width="11" style="2" customWidth="1"/>
    <col min="14" max="14" width="7.7109375" style="2" customWidth="1"/>
    <col min="15" max="15" width="1.28515625" style="2" customWidth="1"/>
    <col min="16" max="16384" width="9.140625" style="2"/>
  </cols>
  <sheetData>
    <row r="1" spans="1:15" ht="5.0999999999999996" customHeight="1" thickBot="1"/>
    <row r="2" spans="1:15" ht="38.25" customHeight="1" thickBot="1">
      <c r="B2" s="684" t="s">
        <v>668</v>
      </c>
      <c r="C2" s="684"/>
      <c r="D2" s="684"/>
      <c r="E2" s="684"/>
      <c r="F2" s="684"/>
      <c r="G2" s="684"/>
      <c r="H2" s="684"/>
      <c r="I2" s="684"/>
      <c r="J2" s="684"/>
      <c r="K2" s="684"/>
      <c r="L2" s="684"/>
      <c r="M2" s="684"/>
      <c r="N2" s="684"/>
    </row>
    <row r="3" spans="1:15" ht="4.5" customHeight="1" thickBot="1"/>
    <row r="4" spans="1:15" ht="24" thickBot="1">
      <c r="B4" s="754" t="s">
        <v>10</v>
      </c>
      <c r="C4" s="755"/>
      <c r="D4" s="755"/>
      <c r="E4" s="755"/>
      <c r="F4" s="755"/>
      <c r="G4" s="755"/>
      <c r="H4" s="755"/>
      <c r="I4" s="755"/>
      <c r="J4" s="755"/>
      <c r="K4" s="755"/>
      <c r="L4" s="755"/>
      <c r="M4" s="755"/>
      <c r="N4" s="756"/>
    </row>
    <row r="5" spans="1:15" ht="4.5" customHeight="1" thickBot="1">
      <c r="B5" s="130"/>
      <c r="N5" s="131"/>
    </row>
    <row r="6" spans="1:15" ht="13.5" customHeight="1" thickBot="1">
      <c r="A6" s="396"/>
      <c r="B6" s="774" t="s">
        <v>74</v>
      </c>
      <c r="C6" s="114"/>
      <c r="D6" s="771" t="s">
        <v>697</v>
      </c>
      <c r="E6" s="772"/>
      <c r="F6" s="772"/>
      <c r="G6" s="772"/>
      <c r="H6" s="773"/>
      <c r="I6" s="396"/>
      <c r="J6" s="771" t="s">
        <v>660</v>
      </c>
      <c r="K6" s="772"/>
      <c r="L6" s="772"/>
      <c r="M6" s="772"/>
      <c r="N6" s="773"/>
      <c r="O6" s="396"/>
    </row>
    <row r="7" spans="1:15" ht="11.25" customHeight="1">
      <c r="A7" s="396"/>
      <c r="B7" s="775"/>
      <c r="C7" s="396"/>
      <c r="D7" s="776" t="s">
        <v>698</v>
      </c>
      <c r="E7" s="778" t="s">
        <v>401</v>
      </c>
      <c r="F7" s="779"/>
      <c r="G7" s="780" t="s">
        <v>402</v>
      </c>
      <c r="H7" s="779"/>
      <c r="I7" s="396"/>
      <c r="J7" s="776" t="s">
        <v>699</v>
      </c>
      <c r="K7" s="778" t="s">
        <v>403</v>
      </c>
      <c r="L7" s="779"/>
      <c r="M7" s="780" t="s">
        <v>404</v>
      </c>
      <c r="N7" s="779"/>
      <c r="O7" s="396"/>
    </row>
    <row r="8" spans="1:15" ht="54.75" customHeight="1">
      <c r="A8" s="396"/>
      <c r="B8" s="775"/>
      <c r="C8" s="114"/>
      <c r="D8" s="777"/>
      <c r="E8" s="632" t="s">
        <v>700</v>
      </c>
      <c r="F8" s="633" t="s">
        <v>701</v>
      </c>
      <c r="G8" s="634" t="s">
        <v>702</v>
      </c>
      <c r="H8" s="633" t="s">
        <v>701</v>
      </c>
      <c r="I8" s="396"/>
      <c r="J8" s="777"/>
      <c r="K8" s="632" t="s">
        <v>703</v>
      </c>
      <c r="L8" s="633" t="s">
        <v>704</v>
      </c>
      <c r="M8" s="634" t="s">
        <v>705</v>
      </c>
      <c r="N8" s="633" t="s">
        <v>704</v>
      </c>
      <c r="O8" s="396"/>
    </row>
    <row r="9" spans="1:15" ht="12.75" customHeight="1">
      <c r="A9" s="396"/>
      <c r="B9" s="775"/>
      <c r="C9" s="396"/>
      <c r="D9" s="143" t="s">
        <v>285</v>
      </c>
      <c r="E9" s="144" t="s">
        <v>285</v>
      </c>
      <c r="F9" s="145" t="s">
        <v>706</v>
      </c>
      <c r="G9" s="146" t="s">
        <v>285</v>
      </c>
      <c r="H9" s="145" t="s">
        <v>707</v>
      </c>
      <c r="I9" s="437"/>
      <c r="J9" s="143" t="str">
        <f>"("&amp;Energy_2&amp;")"</f>
        <v>(Therms)</v>
      </c>
      <c r="K9" s="144" t="str">
        <f>J9</f>
        <v>(Therms)</v>
      </c>
      <c r="L9" s="145" t="s">
        <v>708</v>
      </c>
      <c r="M9" s="146" t="str">
        <f>J9</f>
        <v>(Therms)</v>
      </c>
      <c r="N9" s="145" t="s">
        <v>709</v>
      </c>
      <c r="O9" s="396"/>
    </row>
    <row r="10" spans="1:15" ht="12.75" customHeight="1">
      <c r="A10" s="396"/>
      <c r="B10" s="438">
        <f>Tables!B44</f>
        <v>2021</v>
      </c>
      <c r="C10" s="396"/>
      <c r="D10" s="138">
        <f>Tables!C44/1000</f>
        <v>336115.12199999997</v>
      </c>
      <c r="E10" s="238">
        <f>Tables!E44/1000</f>
        <v>9875.8105492186132</v>
      </c>
      <c r="F10" s="164">
        <f>E10/D10</f>
        <v>2.938222621598862E-2</v>
      </c>
      <c r="G10" s="439">
        <f>Tables!F44/1000</f>
        <v>9698.9435671800002</v>
      </c>
      <c r="H10" s="164">
        <f>G10/D10</f>
        <v>2.8856016681034664E-2</v>
      </c>
      <c r="I10" s="396"/>
      <c r="J10" s="140">
        <f>Tables!D44</f>
        <v>646361388</v>
      </c>
      <c r="K10" s="136">
        <f>Tables!G44</f>
        <v>3800224.7007615659</v>
      </c>
      <c r="L10" s="341">
        <f>K10/J10</f>
        <v>5.8794116902935517E-3</v>
      </c>
      <c r="M10" s="440">
        <f>Tables!H44</f>
        <v>4022955</v>
      </c>
      <c r="N10" s="341">
        <f>M10/J10</f>
        <v>6.2240026627333129E-3</v>
      </c>
      <c r="O10" s="396"/>
    </row>
    <row r="11" spans="1:15" ht="12.75" customHeight="1">
      <c r="A11" s="396"/>
      <c r="B11" s="438">
        <f>Tables!B45</f>
        <v>2022</v>
      </c>
      <c r="C11" s="396"/>
      <c r="D11" s="138">
        <f>Tables!C45/1000</f>
        <v>380360.55002999998</v>
      </c>
      <c r="E11" s="238">
        <f>Tables!E45/1000</f>
        <v>10025.159423866944</v>
      </c>
      <c r="F11" s="164">
        <f t="shared" ref="F11:F14" si="0">E11/D11</f>
        <v>2.6356990552979888E-2</v>
      </c>
      <c r="G11" s="439">
        <f>Tables!F45/1000</f>
        <v>9130.6140999999989</v>
      </c>
      <c r="H11" s="164">
        <f t="shared" ref="H11:H14" si="1">G11/D11</f>
        <v>2.4005155369766513E-2</v>
      </c>
      <c r="I11" s="396"/>
      <c r="J11" s="140">
        <f>Tables!D45</f>
        <v>638961284</v>
      </c>
      <c r="K11" s="136">
        <f>Tables!G45</f>
        <v>3832796.495161566</v>
      </c>
      <c r="L11" s="341">
        <f t="shared" ref="L11:L14" si="2">K11/J11</f>
        <v>5.9984800192707226E-3</v>
      </c>
      <c r="M11" s="440">
        <f>Tables!H45</f>
        <v>4124913</v>
      </c>
      <c r="N11" s="341">
        <f t="shared" ref="N11:N14" si="3">M11/J11</f>
        <v>6.4556540486731592E-3</v>
      </c>
      <c r="O11" s="396"/>
    </row>
    <row r="12" spans="1:15" ht="12.75" customHeight="1">
      <c r="A12" s="396"/>
      <c r="B12" s="438">
        <f>Tables!B46</f>
        <v>2023</v>
      </c>
      <c r="C12" s="396"/>
      <c r="D12" s="138">
        <f>Tables!C46/1000</f>
        <v>447950.04300000001</v>
      </c>
      <c r="E12" s="238">
        <f>Tables!E46/1000</f>
        <v>10241.331</v>
      </c>
      <c r="F12" s="164">
        <f t="shared" si="0"/>
        <v>2.2862663281405245E-2</v>
      </c>
      <c r="G12" s="439">
        <f>Tables!F46/1000</f>
        <v>8241.2000000000007</v>
      </c>
      <c r="H12" s="164">
        <f t="shared" si="1"/>
        <v>1.8397587250594372E-2</v>
      </c>
      <c r="I12" s="396"/>
      <c r="J12" s="140">
        <f>Tables!D46</f>
        <v>628497665</v>
      </c>
      <c r="K12" s="136">
        <f>Tables!G46</f>
        <v>3934708</v>
      </c>
      <c r="L12" s="341">
        <f t="shared" si="2"/>
        <v>6.2604974037572597E-3</v>
      </c>
      <c r="M12" s="440">
        <f>Tables!H46</f>
        <v>3726152</v>
      </c>
      <c r="N12" s="341">
        <f t="shared" si="3"/>
        <v>5.9286648264635956E-3</v>
      </c>
      <c r="O12" s="396"/>
    </row>
    <row r="13" spans="1:15" ht="12.75" customHeight="1">
      <c r="A13" s="396"/>
      <c r="B13" s="438">
        <f>Tables!B47</f>
        <v>2024</v>
      </c>
      <c r="C13" s="396"/>
      <c r="D13" s="138">
        <f>Tables!C47/1000</f>
        <v>463969.97600000002</v>
      </c>
      <c r="E13" s="238">
        <f>Tables!E47/1000</f>
        <v>12873.546</v>
      </c>
      <c r="F13" s="164">
        <f t="shared" si="0"/>
        <v>2.7746506597228611E-2</v>
      </c>
      <c r="G13" s="439">
        <f>Tables!F47/1000</f>
        <v>10725.767</v>
      </c>
      <c r="H13" s="164">
        <f t="shared" si="1"/>
        <v>2.3117373008636231E-2</v>
      </c>
      <c r="I13" s="396"/>
      <c r="J13" s="140">
        <f>Tables!D47</f>
        <v>590887528</v>
      </c>
      <c r="K13" s="136">
        <f>Tables!G47</f>
        <v>4024628</v>
      </c>
      <c r="L13" s="341">
        <f t="shared" si="2"/>
        <v>6.8111574695480792E-3</v>
      </c>
      <c r="M13" s="440">
        <f>Tables!H47</f>
        <v>3742393</v>
      </c>
      <c r="N13" s="341">
        <f t="shared" si="3"/>
        <v>6.3335115781966546E-3</v>
      </c>
      <c r="O13" s="396"/>
    </row>
    <row r="14" spans="1:15" ht="13.5" thickBot="1">
      <c r="A14" s="396"/>
      <c r="B14" s="438">
        <f>Tables!B48</f>
        <v>2025</v>
      </c>
      <c r="C14" s="436"/>
      <c r="D14" s="139">
        <f>Tables!C48/1000</f>
        <v>491725.00900000002</v>
      </c>
      <c r="E14" s="239">
        <f>Tables!E48/1000</f>
        <v>12941.764219999999</v>
      </c>
      <c r="F14" s="165">
        <f t="shared" si="0"/>
        <v>2.6319109223911771E-2</v>
      </c>
      <c r="G14" s="240">
        <f>Tables!F48/1000</f>
        <v>10370.53926</v>
      </c>
      <c r="H14" s="165">
        <f t="shared" si="1"/>
        <v>2.1090119620090341E-2</v>
      </c>
      <c r="I14" s="436"/>
      <c r="J14" s="141">
        <f>Tables!D48</f>
        <v>582922020</v>
      </c>
      <c r="K14" s="137">
        <f>Tables!G48</f>
        <v>3639824</v>
      </c>
      <c r="L14" s="342">
        <f t="shared" si="2"/>
        <v>6.2441010548889538E-3</v>
      </c>
      <c r="M14" s="142">
        <f>Tables!H48</f>
        <v>3639823.76</v>
      </c>
      <c r="N14" s="342">
        <f t="shared" si="3"/>
        <v>6.244100643170076E-3</v>
      </c>
      <c r="O14" s="396"/>
    </row>
    <row r="15" spans="1:15">
      <c r="B15" s="396"/>
      <c r="C15" s="396"/>
      <c r="D15" s="396"/>
      <c r="E15" s="396"/>
      <c r="F15" s="396"/>
      <c r="G15" s="396"/>
      <c r="H15" s="396"/>
      <c r="I15" s="396"/>
      <c r="J15" s="396"/>
      <c r="K15" s="396"/>
      <c r="L15" s="396"/>
      <c r="M15" s="396"/>
      <c r="N15" s="396"/>
      <c r="O15" s="396"/>
    </row>
    <row r="16" spans="1:15">
      <c r="B16" s="396"/>
      <c r="C16" s="396"/>
      <c r="D16" s="396"/>
      <c r="E16" s="396"/>
      <c r="F16" s="396"/>
      <c r="G16" s="396"/>
      <c r="H16" s="396"/>
      <c r="I16" s="396"/>
      <c r="J16" s="396"/>
      <c r="K16" s="396"/>
      <c r="L16" s="396"/>
      <c r="M16" s="396"/>
      <c r="N16" s="396"/>
      <c r="O16" s="396"/>
    </row>
    <row r="17" spans="2:15">
      <c r="B17" s="396"/>
      <c r="C17" s="396"/>
      <c r="D17" s="396"/>
      <c r="E17" s="396"/>
      <c r="F17" s="396"/>
      <c r="G17" s="396"/>
      <c r="H17" s="396"/>
      <c r="I17" s="396"/>
      <c r="J17" s="396"/>
      <c r="K17" s="396"/>
      <c r="L17" s="396"/>
      <c r="M17" s="396"/>
      <c r="N17" s="396"/>
      <c r="O17" s="396"/>
    </row>
    <row r="18" spans="2:15">
      <c r="B18" s="396"/>
      <c r="C18" s="396"/>
      <c r="D18" s="396"/>
      <c r="E18" s="396"/>
      <c r="F18" s="396"/>
      <c r="G18" s="396"/>
      <c r="H18" s="396"/>
      <c r="I18" s="396"/>
      <c r="J18" s="396"/>
      <c r="K18" s="396"/>
      <c r="L18" s="396"/>
      <c r="M18" s="396"/>
      <c r="N18" s="396"/>
      <c r="O18" s="396"/>
    </row>
    <row r="19" spans="2:15">
      <c r="B19" s="396"/>
      <c r="C19" s="396"/>
      <c r="D19" s="396"/>
      <c r="E19" s="396"/>
      <c r="F19" s="396"/>
      <c r="G19" s="396"/>
      <c r="H19" s="396"/>
      <c r="I19" s="396"/>
      <c r="J19" s="396"/>
      <c r="K19" s="396"/>
      <c r="L19" s="396"/>
      <c r="M19" s="396"/>
      <c r="N19" s="396"/>
      <c r="O19" s="396"/>
    </row>
    <row r="20" spans="2:15">
      <c r="B20" s="396"/>
      <c r="C20" s="396"/>
      <c r="D20" s="396"/>
      <c r="E20" s="396"/>
      <c r="F20" s="396"/>
      <c r="G20" s="396"/>
      <c r="H20" s="396"/>
      <c r="I20" s="396"/>
      <c r="J20" s="396"/>
      <c r="K20" s="396"/>
      <c r="L20" s="396"/>
      <c r="M20" s="396"/>
      <c r="N20" s="396"/>
      <c r="O20" s="396"/>
    </row>
    <row r="21" spans="2:15">
      <c r="B21" s="396"/>
      <c r="C21" s="396"/>
      <c r="D21" s="396"/>
      <c r="E21" s="396"/>
      <c r="F21" s="396"/>
      <c r="G21" s="396"/>
      <c r="H21" s="396"/>
      <c r="I21" s="396"/>
      <c r="J21" s="396"/>
      <c r="K21" s="396"/>
      <c r="L21" s="396"/>
      <c r="M21" s="396"/>
      <c r="N21" s="396"/>
      <c r="O21" s="396"/>
    </row>
    <row r="22" spans="2:15">
      <c r="B22" s="396"/>
      <c r="C22" s="396"/>
      <c r="D22" s="396"/>
      <c r="E22" s="396"/>
      <c r="F22" s="396"/>
      <c r="G22" s="396"/>
      <c r="H22" s="396"/>
      <c r="I22" s="396"/>
      <c r="J22" s="396"/>
      <c r="K22" s="396"/>
      <c r="L22" s="396"/>
      <c r="M22" s="396"/>
      <c r="N22" s="396"/>
      <c r="O22" s="396"/>
    </row>
    <row r="23" spans="2:15">
      <c r="B23" s="396"/>
      <c r="C23" s="396"/>
      <c r="D23" s="396"/>
      <c r="E23" s="396"/>
      <c r="F23" s="396"/>
      <c r="G23" s="396"/>
      <c r="H23" s="396"/>
      <c r="I23" s="396"/>
      <c r="J23" s="396"/>
      <c r="K23" s="396"/>
      <c r="L23" s="396"/>
      <c r="M23" s="396"/>
      <c r="N23" s="396"/>
      <c r="O23" s="396"/>
    </row>
  </sheetData>
  <sheetProtection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12"/>
  <sheetViews>
    <sheetView showGridLines="0" showRowColHeaders="0" zoomScale="115" zoomScaleNormal="115" workbookViewId="0">
      <selection activeCell="S15" sqref="S15"/>
    </sheetView>
  </sheetViews>
  <sheetFormatPr defaultColWidth="9.140625" defaultRowHeight="12.75"/>
  <cols>
    <col min="1" max="1" width="1" style="2" customWidth="1"/>
    <col min="2" max="2" width="17.5703125" style="2" customWidth="1"/>
    <col min="3" max="4" width="12" style="2" bestFit="1" customWidth="1"/>
    <col min="5" max="5" width="5.7109375" style="2" customWidth="1"/>
    <col min="6" max="6" width="11.42578125" style="2" customWidth="1"/>
    <col min="7" max="7" width="11" style="2" customWidth="1"/>
    <col min="8" max="8" width="5.7109375" style="2" customWidth="1"/>
    <col min="9" max="10" width="11.5703125" style="2" customWidth="1"/>
    <col min="11" max="11" width="5.7109375" style="2" customWidth="1"/>
    <col min="12" max="13" width="10.42578125" style="2" bestFit="1" customWidth="1"/>
    <col min="14" max="14" width="5.7109375" style="2" customWidth="1"/>
    <col min="15" max="15" width="1.28515625" style="2" customWidth="1"/>
    <col min="16" max="16384" width="9.140625" style="2"/>
  </cols>
  <sheetData>
    <row r="1" spans="1:15" ht="5.0999999999999996" customHeight="1" thickBot="1"/>
    <row r="2" spans="1:15" ht="38.25" customHeight="1" thickBot="1">
      <c r="B2" s="684" t="s">
        <v>710</v>
      </c>
      <c r="C2" s="684"/>
      <c r="D2" s="684"/>
      <c r="E2" s="684"/>
      <c r="F2" s="684"/>
      <c r="G2" s="684"/>
      <c r="H2" s="684"/>
      <c r="I2" s="684"/>
      <c r="J2" s="684"/>
      <c r="K2" s="684"/>
      <c r="L2" s="684"/>
      <c r="M2" s="684"/>
      <c r="N2" s="684"/>
    </row>
    <row r="3" spans="1:15" ht="4.5" customHeight="1" thickBot="1"/>
    <row r="4" spans="1:15" ht="20.25" customHeight="1" thickBot="1">
      <c r="B4" s="781" t="s">
        <v>95</v>
      </c>
      <c r="C4" s="782"/>
      <c r="D4" s="783"/>
      <c r="E4" s="163" t="s">
        <v>711</v>
      </c>
    </row>
    <row r="5" spans="1:15" ht="15.75" customHeight="1" thickBot="1"/>
    <row r="6" spans="1:15" ht="24" thickBot="1">
      <c r="B6" s="754" t="str">
        <f>B4</f>
        <v>Commercial Solutions</v>
      </c>
      <c r="C6" s="755"/>
      <c r="D6" s="755"/>
      <c r="E6" s="755"/>
      <c r="F6" s="755"/>
      <c r="G6" s="755"/>
      <c r="H6" s="755"/>
      <c r="I6" s="755"/>
      <c r="J6" s="755"/>
      <c r="K6" s="755"/>
      <c r="L6" s="755"/>
      <c r="M6" s="755"/>
      <c r="N6" s="756"/>
    </row>
    <row r="7" spans="1:15" ht="4.5" customHeight="1">
      <c r="B7" s="162"/>
    </row>
    <row r="8" spans="1:15" ht="14.25" customHeight="1">
      <c r="B8" s="441"/>
      <c r="C8" s="784" t="s">
        <v>712</v>
      </c>
      <c r="D8" s="784"/>
      <c r="E8" s="784"/>
      <c r="F8" s="784" t="str">
        <f>"Energy Savings ("&amp;Titles!F13&amp;")"</f>
        <v>Energy Savings (Therms)</v>
      </c>
      <c r="G8" s="784"/>
      <c r="H8" s="784"/>
      <c r="I8" s="784" t="str">
        <f>"Demand Savings ("&amp;Titles!F15&amp;")"</f>
        <v>Demand Savings (Therms)</v>
      </c>
      <c r="J8" s="784"/>
      <c r="K8" s="784"/>
      <c r="L8" s="785" t="s">
        <v>163</v>
      </c>
      <c r="M8" s="786"/>
      <c r="N8" s="787"/>
    </row>
    <row r="9" spans="1:15" ht="17.25" customHeight="1">
      <c r="A9" s="396"/>
      <c r="B9" s="442" t="s">
        <v>378</v>
      </c>
      <c r="C9" s="442" t="s">
        <v>401</v>
      </c>
      <c r="D9" s="442" t="s">
        <v>402</v>
      </c>
      <c r="E9" s="442" t="s">
        <v>713</v>
      </c>
      <c r="F9" s="442" t="s">
        <v>403</v>
      </c>
      <c r="G9" s="442" t="s">
        <v>404</v>
      </c>
      <c r="H9" s="442" t="s">
        <v>713</v>
      </c>
      <c r="I9" s="442" t="s">
        <v>403</v>
      </c>
      <c r="J9" s="442" t="s">
        <v>404</v>
      </c>
      <c r="K9" s="442" t="s">
        <v>713</v>
      </c>
      <c r="L9" s="442" t="s">
        <v>403</v>
      </c>
      <c r="M9" s="442" t="s">
        <v>402</v>
      </c>
      <c r="N9" s="442" t="s">
        <v>713</v>
      </c>
      <c r="O9" s="396"/>
    </row>
    <row r="10" spans="1:15" ht="20.100000000000001" customHeight="1">
      <c r="B10" s="443" t="str">
        <f>"Program Year "&amp;Titles!F2-2</f>
        <v>Program Year 2023</v>
      </c>
      <c r="C10" s="443">
        <f>VLOOKUP($B$4,Data!$B$55:$R$74,2,FALSE)</f>
        <v>362485</v>
      </c>
      <c r="D10" s="443">
        <f>VLOOKUP($B$4,Data!$B$55:$R$74,3,FALSE)</f>
        <v>359955</v>
      </c>
      <c r="E10" s="444">
        <f>IF(ISERROR(D10/C10),"-",D10/C10)</f>
        <v>0.99302040084417287</v>
      </c>
      <c r="F10" s="445">
        <f>VLOOKUP($B$4,Data!$B$55:$R$74,6,FALSE)</f>
        <v>850000</v>
      </c>
      <c r="G10" s="445">
        <f>VLOOKUP($B$4,Data!$B$55:$R$74,7,FALSE)</f>
        <v>1096289.2013113501</v>
      </c>
      <c r="H10" s="444">
        <f>IF(ISERROR(G10/F10),"-",G10/F10)</f>
        <v>1.2897520015427648</v>
      </c>
      <c r="I10" s="445" t="str">
        <f>VLOOKUP($B$4,Data!$B$55:$R$74,10,FALSE)</f>
        <v>n/a</v>
      </c>
      <c r="J10" s="445" t="str">
        <f>VLOOKUP($B$4,Data!$B$55:$R$74,11,FALSE)</f>
        <v>n/a</v>
      </c>
      <c r="K10" s="444" t="str">
        <f>IF(ISERROR(J10/I10),"-",J10/I10)</f>
        <v>-</v>
      </c>
      <c r="L10" s="445">
        <f>VLOOKUP($B$4,Data!$B$55:$R$74,14,FALSE)</f>
        <v>85000</v>
      </c>
      <c r="M10" s="445">
        <f>VLOOKUP($B$4,Data!$B$55:$R$74,15,FALSE)</f>
        <v>90038</v>
      </c>
      <c r="N10" s="444">
        <f>IF(ISERROR(M10/L10),"-",M10/L10)</f>
        <v>1.0592705882352942</v>
      </c>
      <c r="O10" s="396"/>
    </row>
    <row r="11" spans="1:15" ht="20.100000000000001" customHeight="1">
      <c r="B11" s="443" t="str">
        <f>"Program Year "&amp;Titles!F2-1</f>
        <v>Program Year 2024</v>
      </c>
      <c r="C11" s="443">
        <f>VLOOKUP($B$4,Data!$B$55:$R$74,4,FALSE)</f>
        <v>3853972</v>
      </c>
      <c r="D11" s="443">
        <f>VLOOKUP($B$4,Data!$B$55:$R$74,5,FALSE)</f>
        <v>3859088</v>
      </c>
      <c r="E11" s="444">
        <f>IF(ISERROR(D11/C11),"-",D11/C11)</f>
        <v>1.0013274616421708</v>
      </c>
      <c r="F11" s="445">
        <f>VLOOKUP($B$4,Data!$B$55:$R$74,8,FALSE)</f>
        <v>1807949</v>
      </c>
      <c r="G11" s="445">
        <f>VLOOKUP($B$4,Data!$B$55:$R$74,9,FALSE)</f>
        <v>1891964</v>
      </c>
      <c r="H11" s="444">
        <f>IF(ISERROR(G11/F11),"-",G11/F11)</f>
        <v>1.0464697842693571</v>
      </c>
      <c r="I11" s="445" t="str">
        <f>VLOOKUP($B$4,Data!$B$55:$R$74,12,FALSE)</f>
        <v>n/a</v>
      </c>
      <c r="J11" s="445" t="str">
        <f>VLOOKUP($B$4,Data!$B$55:$R$74,13,FALSE)</f>
        <v>n/a</v>
      </c>
      <c r="K11" s="444" t="str">
        <f>IF(ISERROR(J11/I11),"-",J11/I11)</f>
        <v>-</v>
      </c>
      <c r="L11" s="445">
        <f>IFERROR(VLOOKUP($B$4,Data!$B$55:$R$74,16,FALSE),"NA")</f>
        <v>318</v>
      </c>
      <c r="M11" s="445">
        <f>IFERROR(VLOOKUP($B$4,Data!$B$55:$R$74,17,FALSE),"NA")</f>
        <v>325</v>
      </c>
      <c r="N11" s="444">
        <f>IF(ISERROR(M11/L11),"-",M11/L11)</f>
        <v>1.0220125786163523</v>
      </c>
      <c r="O11" s="396"/>
    </row>
    <row r="12" spans="1:15" ht="20.100000000000001" customHeight="1">
      <c r="B12" s="446" t="str">
        <f>"Program Year "&amp;Titles!F2</f>
        <v>Program Year 2025</v>
      </c>
      <c r="C12" s="446">
        <f>VLOOKUP($B$4,Data!$B$4:$N$23,10,FALSE)</f>
        <v>3927412.79</v>
      </c>
      <c r="D12" s="446">
        <f>VLOOKUP($B$4,Data!$B$29:$N$48,10,FALSE)</f>
        <v>4335230.5199999996</v>
      </c>
      <c r="E12" s="447">
        <f>IF(ISERROR(D12/C12),"-",D12/C12)</f>
        <v>1.1038387742277529</v>
      </c>
      <c r="F12" s="448">
        <f>VLOOKUP($B$4,Data!$B$4:$N$23,12,FALSE)</f>
        <v>1996743</v>
      </c>
      <c r="G12" s="448">
        <f>VLOOKUP($B$4,Data!$B$29:$N$48,12,FALSE)</f>
        <v>1996742.95</v>
      </c>
      <c r="H12" s="447">
        <f>IF(ISERROR(G12/F12),"-",G12/F12)</f>
        <v>0.99999997495922111</v>
      </c>
      <c r="I12" s="448" t="str">
        <f>VLOOKUP($B$4,Data!$B$4:$N$23,11,FALSE)</f>
        <v>n/a</v>
      </c>
      <c r="J12" s="448" t="str">
        <f>VLOOKUP($B$4,Data!$B$29:$N$48,11,FALSE)</f>
        <v>n/a</v>
      </c>
      <c r="K12" s="447" t="str">
        <f>IF(ISERROR(J12/I12),"-",J12/I12)</f>
        <v>-</v>
      </c>
      <c r="L12" s="448">
        <f>VLOOKUP($B$4,Data!$B$4:$N$23,13,FALSE)</f>
        <v>687</v>
      </c>
      <c r="M12" s="448">
        <f>IFERROR(VLOOKUP($B$4,Data!$B$29:$N$48,13,FALSE),"NA")</f>
        <v>687</v>
      </c>
      <c r="N12" s="447">
        <f>IF(ISERROR(M12/L12),"-",M12/L12)</f>
        <v>1</v>
      </c>
      <c r="O12" s="396"/>
    </row>
  </sheetData>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Q30"/>
  <sheetViews>
    <sheetView showGridLines="0" zoomScaleNormal="100" workbookViewId="0">
      <pane ySplit="2" topLeftCell="A31" activePane="bottomLeft" state="frozen"/>
      <selection pane="bottomLeft" activeCell="A11" sqref="A11:XFD16"/>
    </sheetView>
  </sheetViews>
  <sheetFormatPr defaultColWidth="9.140625" defaultRowHeight="12.75"/>
  <cols>
    <col min="1" max="1" width="1" style="2" customWidth="1"/>
    <col min="2" max="2" width="36" style="2" customWidth="1"/>
    <col min="3" max="3" width="21.140625" style="2" customWidth="1"/>
    <col min="4" max="4" width="12.7109375" style="2" customWidth="1"/>
    <col min="5" max="5" width="13.7109375" style="2" bestFit="1" customWidth="1"/>
    <col min="6" max="6" width="5.85546875" style="2" bestFit="1" customWidth="1"/>
    <col min="7" max="8" width="12.7109375" style="2" customWidth="1"/>
    <col min="9" max="9" width="7.5703125" style="2" bestFit="1" customWidth="1"/>
    <col min="10" max="11" width="9.7109375" style="2" customWidth="1"/>
    <col min="12" max="12" width="5.85546875" style="2" bestFit="1" customWidth="1"/>
    <col min="13" max="13" width="7.5703125" style="2" customWidth="1"/>
    <col min="14" max="14" width="1.28515625" style="2" customWidth="1"/>
    <col min="15" max="16" width="9.140625" style="2"/>
    <col min="17" max="17" width="4.140625" style="2" hidden="1" customWidth="1"/>
    <col min="18" max="16384" width="9.140625" style="2"/>
  </cols>
  <sheetData>
    <row r="1" spans="1:17" ht="5.0999999999999996" customHeight="1" thickBot="1"/>
    <row r="2" spans="1:17" ht="38.25" customHeight="1" thickBot="1">
      <c r="B2" s="684" t="s">
        <v>673</v>
      </c>
      <c r="C2" s="684"/>
      <c r="D2" s="684"/>
      <c r="E2" s="684"/>
      <c r="F2" s="684"/>
      <c r="G2" s="684"/>
      <c r="H2" s="684"/>
      <c r="I2" s="684"/>
      <c r="J2" s="684"/>
      <c r="K2" s="684"/>
      <c r="L2" s="684"/>
      <c r="M2" s="684"/>
    </row>
    <row r="3" spans="1:17" ht="4.5" customHeight="1"/>
    <row r="4" spans="1:17" ht="23.25">
      <c r="B4" s="788" t="str">
        <f>Titles!F2&amp;" Portfolio Results Detail"</f>
        <v>2025 Portfolio Results Detail</v>
      </c>
      <c r="C4" s="788"/>
      <c r="D4" s="788"/>
      <c r="E4" s="788"/>
      <c r="F4" s="788"/>
      <c r="G4" s="788"/>
      <c r="H4" s="788"/>
      <c r="I4" s="788"/>
      <c r="J4" s="788"/>
      <c r="K4" s="788"/>
      <c r="L4" s="788"/>
      <c r="M4" s="788"/>
    </row>
    <row r="5" spans="1:17" ht="4.5" customHeight="1" thickBot="1"/>
    <row r="6" spans="1:17" ht="14.25" customHeight="1" thickBot="1">
      <c r="D6" s="791" t="s">
        <v>417</v>
      </c>
      <c r="E6" s="792"/>
      <c r="F6" s="793"/>
      <c r="G6" s="791" t="str">
        <f>"Savings ("&amp;Titles!F13&amp;")"</f>
        <v>Savings (Therms)</v>
      </c>
      <c r="H6" s="792"/>
      <c r="I6" s="793"/>
      <c r="J6" s="791" t="s">
        <v>163</v>
      </c>
      <c r="K6" s="792"/>
      <c r="L6" s="793"/>
      <c r="M6" s="789" t="s">
        <v>652</v>
      </c>
    </row>
    <row r="7" spans="1:17" ht="17.25" customHeight="1" thickBot="1">
      <c r="A7" s="396"/>
      <c r="B7" s="176" t="s">
        <v>85</v>
      </c>
      <c r="C7" s="176" t="s">
        <v>86</v>
      </c>
      <c r="D7" s="212" t="s">
        <v>401</v>
      </c>
      <c r="E7" s="173" t="s">
        <v>402</v>
      </c>
      <c r="F7" s="174" t="s">
        <v>713</v>
      </c>
      <c r="G7" s="172" t="s">
        <v>403</v>
      </c>
      <c r="H7" s="173" t="s">
        <v>404</v>
      </c>
      <c r="I7" s="174" t="s">
        <v>713</v>
      </c>
      <c r="J7" s="172" t="s">
        <v>403</v>
      </c>
      <c r="K7" s="173" t="s">
        <v>402</v>
      </c>
      <c r="L7" s="174" t="s">
        <v>713</v>
      </c>
      <c r="M7" s="790"/>
      <c r="N7" s="396"/>
    </row>
    <row r="8" spans="1:17">
      <c r="B8" s="175" t="str">
        <f ca="1">Tables!B58</f>
        <v>Access to Afford Energy &amp; Conservation</v>
      </c>
      <c r="C8" s="196" t="str">
        <f ca="1">Tables!C58</f>
        <v>Residential</v>
      </c>
      <c r="D8" s="213">
        <f ca="1">Tables!D58</f>
        <v>1947356.51</v>
      </c>
      <c r="E8" s="197">
        <f ca="1">Tables!E58</f>
        <v>1451885.4200000002</v>
      </c>
      <c r="F8" s="198">
        <f ca="1">IF(ISERROR(E8/D8),"-",E8/D8)</f>
        <v>0.74556734349582454</v>
      </c>
      <c r="G8" s="199">
        <f ca="1">Tables!F58</f>
        <v>541439</v>
      </c>
      <c r="H8" s="200">
        <f ca="1">Tables!G58</f>
        <v>541438.81000000006</v>
      </c>
      <c r="I8" s="198">
        <f t="shared" ref="I8:I29" ca="1" si="0">IF(ISERROR(H8/G8),"-",H8/G8)</f>
        <v>0.99999964908327632</v>
      </c>
      <c r="J8" s="199">
        <f ca="1">Tables!H58</f>
        <v>64865</v>
      </c>
      <c r="K8" s="200">
        <f ca="1">Tables!I58</f>
        <v>64865</v>
      </c>
      <c r="L8" s="198">
        <f t="shared" ref="L8:L29" ca="1" si="1">IF(ISERROR(K8/J8),"-",K8/J8)</f>
        <v>1</v>
      </c>
      <c r="M8" s="201">
        <f ca="1">Tables!J58</f>
        <v>4.6967656394391097</v>
      </c>
      <c r="N8" s="396"/>
      <c r="Q8" s="2">
        <f ca="1">IF(B8="*Hide*",1)-IF(SUBTOTAL(103,B8)=1,0,1)</f>
        <v>0</v>
      </c>
    </row>
    <row r="9" spans="1:17">
      <c r="B9" s="170" t="str">
        <f ca="1">Tables!B59</f>
        <v>Residential Solutions Program</v>
      </c>
      <c r="C9" s="175" t="str">
        <f ca="1">Tables!C59</f>
        <v>Res/Small Business</v>
      </c>
      <c r="D9" s="449">
        <f ca="1">Tables!D59</f>
        <v>7035299.9199999999</v>
      </c>
      <c r="E9" s="450">
        <f ca="1">Tables!E59</f>
        <v>4568420.12</v>
      </c>
      <c r="F9" s="167">
        <f ca="1">IF(ISERROR(E9/D9),"-",E9/D9)</f>
        <v>0.64935683935987765</v>
      </c>
      <c r="G9" s="168">
        <f ca="1">Tables!F59</f>
        <v>1101642</v>
      </c>
      <c r="H9" s="445">
        <f ca="1">Tables!G59</f>
        <v>1101642</v>
      </c>
      <c r="I9" s="167">
        <f t="shared" ca="1" si="0"/>
        <v>1</v>
      </c>
      <c r="J9" s="168">
        <f ca="1">Tables!H59</f>
        <v>93318</v>
      </c>
      <c r="K9" s="445">
        <f ca="1">Tables!I59</f>
        <v>93318</v>
      </c>
      <c r="L9" s="167">
        <f t="shared" ca="1" si="1"/>
        <v>1</v>
      </c>
      <c r="M9" s="202">
        <f ca="1">Tables!J59</f>
        <v>1.7255863527670547</v>
      </c>
      <c r="N9" s="396"/>
      <c r="Q9" s="2">
        <f t="shared" ref="Q9:Q27" ca="1" si="2">IF(B9="*Hide*",1)-IF(SUBTOTAL(103,B9)=1,0,1)</f>
        <v>0</v>
      </c>
    </row>
    <row r="10" spans="1:17">
      <c r="B10" s="170" t="str">
        <f ca="1">Tables!B60</f>
        <v>Commercial Solutions</v>
      </c>
      <c r="C10" s="175" t="str">
        <f ca="1">Tables!C60</f>
        <v>Commercial &amp; Industrial</v>
      </c>
      <c r="D10" s="449">
        <f ca="1">Tables!D60</f>
        <v>3927412.79</v>
      </c>
      <c r="E10" s="450">
        <f ca="1">Tables!E60</f>
        <v>4335230.5199999996</v>
      </c>
      <c r="F10" s="167">
        <f ca="1">IF(ISERROR(E10/D10),"-",E10/D10)</f>
        <v>1.1038387742277529</v>
      </c>
      <c r="G10" s="168">
        <f ca="1">Tables!F60</f>
        <v>1996743</v>
      </c>
      <c r="H10" s="445">
        <f ca="1">Tables!G60</f>
        <v>1996742.95</v>
      </c>
      <c r="I10" s="167">
        <f t="shared" ca="1" si="0"/>
        <v>0.99999997495922111</v>
      </c>
      <c r="J10" s="168">
        <f ca="1">Tables!H60</f>
        <v>687</v>
      </c>
      <c r="K10" s="445">
        <f ca="1">Tables!I60</f>
        <v>687</v>
      </c>
      <c r="L10" s="167">
        <f t="shared" ca="1" si="1"/>
        <v>1</v>
      </c>
      <c r="M10" s="202">
        <f ca="1">Tables!J60</f>
        <v>2.0967435596380963</v>
      </c>
      <c r="N10" s="396"/>
      <c r="Q10" s="2">
        <f t="shared" ca="1" si="2"/>
        <v>0</v>
      </c>
    </row>
    <row r="11" spans="1:17" hidden="1">
      <c r="B11" s="170" t="str">
        <f ca="1">Tables!B61</f>
        <v>*Hide*</v>
      </c>
      <c r="C11" s="175" t="str">
        <f ca="1">Tables!C61</f>
        <v>-</v>
      </c>
      <c r="D11" s="449" t="str">
        <f ca="1">Tables!D61</f>
        <v>-</v>
      </c>
      <c r="E11" s="450" t="str">
        <f ca="1">Tables!E61</f>
        <v>-</v>
      </c>
      <c r="F11" s="167" t="str">
        <f t="shared" ref="F11:F29" ca="1" si="3">IF(ISERROR(E11/D11),"-",E11/D11)</f>
        <v>-</v>
      </c>
      <c r="G11" s="168" t="str">
        <f ca="1">Tables!F61</f>
        <v>-</v>
      </c>
      <c r="H11" s="445" t="str">
        <f ca="1">Tables!G61</f>
        <v>-</v>
      </c>
      <c r="I11" s="167" t="str">
        <f t="shared" ca="1" si="0"/>
        <v>-</v>
      </c>
      <c r="J11" s="168" t="str">
        <f ca="1">Tables!H61</f>
        <v>-</v>
      </c>
      <c r="K11" s="445" t="str">
        <f ca="1">Tables!I61</f>
        <v>-</v>
      </c>
      <c r="L11" s="167" t="str">
        <f t="shared" ca="1" si="1"/>
        <v>-</v>
      </c>
      <c r="M11" s="202" t="str">
        <f ca="1">Tables!J61</f>
        <v>-</v>
      </c>
      <c r="N11" s="396"/>
      <c r="Q11" s="2">
        <f t="shared" ca="1" si="2"/>
        <v>0</v>
      </c>
    </row>
    <row r="12" spans="1:17" hidden="1">
      <c r="B12" s="170" t="str">
        <f ca="1">Tables!B62</f>
        <v>*Hide*</v>
      </c>
      <c r="C12" s="175" t="str">
        <f ca="1">Tables!C62</f>
        <v>-</v>
      </c>
      <c r="D12" s="449" t="str">
        <f ca="1">Tables!D62</f>
        <v>-</v>
      </c>
      <c r="E12" s="450" t="str">
        <f ca="1">Tables!E62</f>
        <v>-</v>
      </c>
      <c r="F12" s="167" t="str">
        <f t="shared" ca="1" si="3"/>
        <v>-</v>
      </c>
      <c r="G12" s="168" t="str">
        <f ca="1">Tables!F62</f>
        <v>-</v>
      </c>
      <c r="H12" s="445" t="str">
        <f ca="1">Tables!G62</f>
        <v>-</v>
      </c>
      <c r="I12" s="167" t="str">
        <f t="shared" ca="1" si="0"/>
        <v>-</v>
      </c>
      <c r="J12" s="168" t="str">
        <f ca="1">Tables!H62</f>
        <v>-</v>
      </c>
      <c r="K12" s="445" t="str">
        <f ca="1">Tables!I62</f>
        <v>-</v>
      </c>
      <c r="L12" s="167" t="str">
        <f t="shared" ca="1" si="1"/>
        <v>-</v>
      </c>
      <c r="M12" s="202" t="str">
        <f ca="1">Tables!J62</f>
        <v>-</v>
      </c>
      <c r="N12" s="396"/>
      <c r="Q12" s="2">
        <f t="shared" ca="1" si="2"/>
        <v>0</v>
      </c>
    </row>
    <row r="13" spans="1:17" hidden="1">
      <c r="B13" s="170" t="str">
        <f ca="1">Tables!B63</f>
        <v>*Hide*</v>
      </c>
      <c r="C13" s="175" t="str">
        <f ca="1">Tables!C63</f>
        <v>-</v>
      </c>
      <c r="D13" s="449" t="str">
        <f ca="1">Tables!D63</f>
        <v>-</v>
      </c>
      <c r="E13" s="450" t="str">
        <f ca="1">Tables!E63</f>
        <v>-</v>
      </c>
      <c r="F13" s="167" t="str">
        <f t="shared" ca="1" si="3"/>
        <v>-</v>
      </c>
      <c r="G13" s="168" t="str">
        <f ca="1">Tables!F63</f>
        <v>-</v>
      </c>
      <c r="H13" s="445" t="str">
        <f ca="1">Tables!G63</f>
        <v>-</v>
      </c>
      <c r="I13" s="167" t="str">
        <f t="shared" ca="1" si="0"/>
        <v>-</v>
      </c>
      <c r="J13" s="168" t="str">
        <f ca="1">Tables!H63</f>
        <v>-</v>
      </c>
      <c r="K13" s="445" t="str">
        <f ca="1">Tables!I63</f>
        <v>-</v>
      </c>
      <c r="L13" s="167" t="str">
        <f t="shared" ca="1" si="1"/>
        <v>-</v>
      </c>
      <c r="M13" s="202" t="str">
        <f ca="1">Tables!J63</f>
        <v>-</v>
      </c>
      <c r="N13" s="396"/>
      <c r="Q13" s="2">
        <f t="shared" ca="1" si="2"/>
        <v>0</v>
      </c>
    </row>
    <row r="14" spans="1:17" hidden="1">
      <c r="B14" s="170" t="str">
        <f ca="1">Tables!B64</f>
        <v>*Hide*</v>
      </c>
      <c r="C14" s="175" t="str">
        <f ca="1">Tables!C64</f>
        <v>-</v>
      </c>
      <c r="D14" s="449" t="str">
        <f ca="1">Tables!D64</f>
        <v>-</v>
      </c>
      <c r="E14" s="450" t="str">
        <f ca="1">Tables!E64</f>
        <v>-</v>
      </c>
      <c r="F14" s="167" t="str">
        <f t="shared" ca="1" si="3"/>
        <v>-</v>
      </c>
      <c r="G14" s="168" t="str">
        <f ca="1">Tables!F64</f>
        <v>-</v>
      </c>
      <c r="H14" s="445" t="str">
        <f ca="1">Tables!G64</f>
        <v>-</v>
      </c>
      <c r="I14" s="167" t="str">
        <f t="shared" ca="1" si="0"/>
        <v>-</v>
      </c>
      <c r="J14" s="168" t="str">
        <f ca="1">Tables!H64</f>
        <v>-</v>
      </c>
      <c r="K14" s="445" t="str">
        <f ca="1">Tables!I64</f>
        <v>-</v>
      </c>
      <c r="L14" s="167" t="str">
        <f t="shared" ca="1" si="1"/>
        <v>-</v>
      </c>
      <c r="M14" s="202" t="str">
        <f ca="1">Tables!J64</f>
        <v>-</v>
      </c>
      <c r="N14" s="396"/>
      <c r="Q14" s="2">
        <f t="shared" ca="1" si="2"/>
        <v>0</v>
      </c>
    </row>
    <row r="15" spans="1:17" hidden="1">
      <c r="B15" s="170" t="str">
        <f ca="1">Tables!B65</f>
        <v>*Hide*</v>
      </c>
      <c r="C15" s="175" t="str">
        <f ca="1">Tables!C65</f>
        <v>-</v>
      </c>
      <c r="D15" s="449" t="str">
        <f ca="1">Tables!D65</f>
        <v>-</v>
      </c>
      <c r="E15" s="450" t="str">
        <f ca="1">Tables!E65</f>
        <v>-</v>
      </c>
      <c r="F15" s="167" t="str">
        <f t="shared" ca="1" si="3"/>
        <v>-</v>
      </c>
      <c r="G15" s="168" t="str">
        <f ca="1">Tables!F65</f>
        <v>-</v>
      </c>
      <c r="H15" s="445" t="str">
        <f ca="1">Tables!G65</f>
        <v>-</v>
      </c>
      <c r="I15" s="167" t="str">
        <f t="shared" ca="1" si="0"/>
        <v>-</v>
      </c>
      <c r="J15" s="168" t="str">
        <f ca="1">Tables!H65</f>
        <v>-</v>
      </c>
      <c r="K15" s="445" t="str">
        <f ca="1">Tables!I65</f>
        <v>-</v>
      </c>
      <c r="L15" s="167" t="str">
        <f t="shared" ca="1" si="1"/>
        <v>-</v>
      </c>
      <c r="M15" s="202" t="str">
        <f ca="1">Tables!J65</f>
        <v>-</v>
      </c>
      <c r="N15" s="396"/>
      <c r="Q15" s="2">
        <f t="shared" ca="1" si="2"/>
        <v>0</v>
      </c>
    </row>
    <row r="16" spans="1:17" hidden="1">
      <c r="B16" s="170" t="str">
        <f ca="1">Tables!B66</f>
        <v>*Hide*</v>
      </c>
      <c r="C16" s="175" t="str">
        <f ca="1">Tables!C66</f>
        <v>-</v>
      </c>
      <c r="D16" s="449" t="str">
        <f ca="1">Tables!D66</f>
        <v>-</v>
      </c>
      <c r="E16" s="450" t="str">
        <f ca="1">Tables!E66</f>
        <v>-</v>
      </c>
      <c r="F16" s="167" t="str">
        <f t="shared" ca="1" si="3"/>
        <v>-</v>
      </c>
      <c r="G16" s="168" t="str">
        <f ca="1">Tables!F66</f>
        <v>-</v>
      </c>
      <c r="H16" s="445" t="str">
        <f ca="1">Tables!G66</f>
        <v>-</v>
      </c>
      <c r="I16" s="167" t="str">
        <f t="shared" ca="1" si="0"/>
        <v>-</v>
      </c>
      <c r="J16" s="168" t="str">
        <f ca="1">Tables!H66</f>
        <v>-</v>
      </c>
      <c r="K16" s="445" t="str">
        <f ca="1">Tables!I66</f>
        <v>-</v>
      </c>
      <c r="L16" s="167" t="str">
        <f t="shared" ca="1" si="1"/>
        <v>-</v>
      </c>
      <c r="M16" s="202" t="str">
        <f ca="1">Tables!J66</f>
        <v>-</v>
      </c>
      <c r="N16" s="396"/>
      <c r="Q16" s="2">
        <f t="shared" ca="1" si="2"/>
        <v>0</v>
      </c>
    </row>
    <row r="17" spans="2:17" hidden="1">
      <c r="B17" s="170" t="str">
        <f ca="1">Tables!B67</f>
        <v>*Hide*</v>
      </c>
      <c r="C17" s="175" t="str">
        <f ca="1">Tables!C67</f>
        <v>-</v>
      </c>
      <c r="D17" s="449" t="str">
        <f ca="1">Tables!D67</f>
        <v>-</v>
      </c>
      <c r="E17" s="450" t="str">
        <f ca="1">Tables!E67</f>
        <v>-</v>
      </c>
      <c r="F17" s="167" t="str">
        <f t="shared" ca="1" si="3"/>
        <v>-</v>
      </c>
      <c r="G17" s="168" t="str">
        <f ca="1">Tables!F67</f>
        <v>-</v>
      </c>
      <c r="H17" s="445" t="str">
        <f ca="1">Tables!G67</f>
        <v>-</v>
      </c>
      <c r="I17" s="167" t="str">
        <f t="shared" ca="1" si="0"/>
        <v>-</v>
      </c>
      <c r="J17" s="168" t="str">
        <f ca="1">Tables!H67</f>
        <v>-</v>
      </c>
      <c r="K17" s="445" t="str">
        <f ca="1">Tables!I67</f>
        <v>-</v>
      </c>
      <c r="L17" s="167" t="str">
        <f t="shared" ca="1" si="1"/>
        <v>-</v>
      </c>
      <c r="M17" s="202" t="str">
        <f ca="1">Tables!J67</f>
        <v>-</v>
      </c>
      <c r="Q17" s="2">
        <f t="shared" ca="1" si="2"/>
        <v>0</v>
      </c>
    </row>
    <row r="18" spans="2:17" hidden="1">
      <c r="B18" s="170" t="str">
        <f ca="1">Tables!B68</f>
        <v>*Hide*</v>
      </c>
      <c r="C18" s="175" t="str">
        <f ca="1">Tables!C68</f>
        <v>-</v>
      </c>
      <c r="D18" s="449" t="str">
        <f ca="1">Tables!D68</f>
        <v>-</v>
      </c>
      <c r="E18" s="450" t="str">
        <f ca="1">Tables!E68</f>
        <v>-</v>
      </c>
      <c r="F18" s="167" t="str">
        <f t="shared" ca="1" si="3"/>
        <v>-</v>
      </c>
      <c r="G18" s="168" t="str">
        <f ca="1">Tables!F68</f>
        <v>-</v>
      </c>
      <c r="H18" s="445" t="str">
        <f ca="1">Tables!G68</f>
        <v>-</v>
      </c>
      <c r="I18" s="167" t="str">
        <f t="shared" ca="1" si="0"/>
        <v>-</v>
      </c>
      <c r="J18" s="168" t="str">
        <f ca="1">Tables!H68</f>
        <v>-</v>
      </c>
      <c r="K18" s="445" t="str">
        <f ca="1">Tables!I68</f>
        <v>-</v>
      </c>
      <c r="L18" s="167" t="str">
        <f t="shared" ca="1" si="1"/>
        <v>-</v>
      </c>
      <c r="M18" s="202" t="str">
        <f ca="1">Tables!J68</f>
        <v>-</v>
      </c>
      <c r="Q18" s="2">
        <f t="shared" ca="1" si="2"/>
        <v>0</v>
      </c>
    </row>
    <row r="19" spans="2:17" hidden="1">
      <c r="B19" s="170" t="str">
        <f ca="1">Tables!B69</f>
        <v>*Hide*</v>
      </c>
      <c r="C19" s="175" t="str">
        <f ca="1">Tables!C69</f>
        <v>-</v>
      </c>
      <c r="D19" s="449" t="str">
        <f ca="1">Tables!D69</f>
        <v>-</v>
      </c>
      <c r="E19" s="450" t="str">
        <f ca="1">Tables!E69</f>
        <v>-</v>
      </c>
      <c r="F19" s="167" t="str">
        <f t="shared" ca="1" si="3"/>
        <v>-</v>
      </c>
      <c r="G19" s="168" t="str">
        <f ca="1">Tables!F69</f>
        <v>-</v>
      </c>
      <c r="H19" s="445" t="str">
        <f ca="1">Tables!G69</f>
        <v>-</v>
      </c>
      <c r="I19" s="167" t="str">
        <f t="shared" ca="1" si="0"/>
        <v>-</v>
      </c>
      <c r="J19" s="168" t="str">
        <f ca="1">Tables!H69</f>
        <v>-</v>
      </c>
      <c r="K19" s="445" t="str">
        <f ca="1">Tables!I69</f>
        <v>-</v>
      </c>
      <c r="L19" s="167" t="str">
        <f t="shared" ca="1" si="1"/>
        <v>-</v>
      </c>
      <c r="M19" s="202" t="str">
        <f ca="1">Tables!J69</f>
        <v>-</v>
      </c>
      <c r="Q19" s="2">
        <f t="shared" ca="1" si="2"/>
        <v>0</v>
      </c>
    </row>
    <row r="20" spans="2:17" hidden="1">
      <c r="B20" s="170" t="str">
        <f ca="1">Tables!B70</f>
        <v>*Hide*</v>
      </c>
      <c r="C20" s="175" t="str">
        <f ca="1">Tables!C70</f>
        <v>-</v>
      </c>
      <c r="D20" s="449" t="str">
        <f ca="1">Tables!D70</f>
        <v>-</v>
      </c>
      <c r="E20" s="450" t="str">
        <f ca="1">Tables!E70</f>
        <v>-</v>
      </c>
      <c r="F20" s="167" t="str">
        <f t="shared" ca="1" si="3"/>
        <v>-</v>
      </c>
      <c r="G20" s="168" t="str">
        <f ca="1">Tables!F70</f>
        <v>-</v>
      </c>
      <c r="H20" s="445" t="str">
        <f ca="1">Tables!G70</f>
        <v>-</v>
      </c>
      <c r="I20" s="167" t="str">
        <f t="shared" ca="1" si="0"/>
        <v>-</v>
      </c>
      <c r="J20" s="168" t="str">
        <f ca="1">Tables!H70</f>
        <v>-</v>
      </c>
      <c r="K20" s="445" t="str">
        <f ca="1">Tables!I70</f>
        <v>-</v>
      </c>
      <c r="L20" s="167" t="str">
        <f t="shared" ca="1" si="1"/>
        <v>-</v>
      </c>
      <c r="M20" s="202" t="str">
        <f ca="1">Tables!J70</f>
        <v>-</v>
      </c>
      <c r="Q20" s="2">
        <f t="shared" ca="1" si="2"/>
        <v>0</v>
      </c>
    </row>
    <row r="21" spans="2:17" hidden="1">
      <c r="B21" s="170" t="str">
        <f ca="1">Tables!B71</f>
        <v>*Hide*</v>
      </c>
      <c r="C21" s="175" t="str">
        <f ca="1">Tables!C71</f>
        <v>-</v>
      </c>
      <c r="D21" s="449" t="str">
        <f ca="1">Tables!D71</f>
        <v>-</v>
      </c>
      <c r="E21" s="450" t="str">
        <f ca="1">Tables!E71</f>
        <v>-</v>
      </c>
      <c r="F21" s="167" t="str">
        <f t="shared" ca="1" si="3"/>
        <v>-</v>
      </c>
      <c r="G21" s="168" t="str">
        <f ca="1">Tables!F71</f>
        <v>-</v>
      </c>
      <c r="H21" s="445" t="str">
        <f ca="1">Tables!G71</f>
        <v>-</v>
      </c>
      <c r="I21" s="167" t="str">
        <f t="shared" ca="1" si="0"/>
        <v>-</v>
      </c>
      <c r="J21" s="168" t="str">
        <f ca="1">Tables!H71</f>
        <v>-</v>
      </c>
      <c r="K21" s="445" t="str">
        <f ca="1">Tables!I71</f>
        <v>-</v>
      </c>
      <c r="L21" s="167" t="str">
        <f t="shared" ca="1" si="1"/>
        <v>-</v>
      </c>
      <c r="M21" s="202" t="str">
        <f ca="1">Tables!J71</f>
        <v>-</v>
      </c>
      <c r="Q21" s="2">
        <f t="shared" ca="1" si="2"/>
        <v>0</v>
      </c>
    </row>
    <row r="22" spans="2:17" hidden="1">
      <c r="B22" s="170" t="str">
        <f ca="1">Tables!B72</f>
        <v>*Hide*</v>
      </c>
      <c r="C22" s="175" t="str">
        <f ca="1">Tables!C72</f>
        <v>-</v>
      </c>
      <c r="D22" s="449" t="str">
        <f ca="1">Tables!D72</f>
        <v>-</v>
      </c>
      <c r="E22" s="450" t="str">
        <f ca="1">Tables!E72</f>
        <v>-</v>
      </c>
      <c r="F22" s="167" t="str">
        <f t="shared" ca="1" si="3"/>
        <v>-</v>
      </c>
      <c r="G22" s="168" t="str">
        <f ca="1">Tables!F72</f>
        <v>-</v>
      </c>
      <c r="H22" s="445" t="str">
        <f ca="1">Tables!G72</f>
        <v>-</v>
      </c>
      <c r="I22" s="167" t="str">
        <f t="shared" ca="1" si="0"/>
        <v>-</v>
      </c>
      <c r="J22" s="168" t="str">
        <f ca="1">Tables!H72</f>
        <v>-</v>
      </c>
      <c r="K22" s="445" t="str">
        <f ca="1">Tables!I72</f>
        <v>-</v>
      </c>
      <c r="L22" s="167" t="str">
        <f t="shared" ca="1" si="1"/>
        <v>-</v>
      </c>
      <c r="M22" s="202" t="str">
        <f ca="1">Tables!J72</f>
        <v>-</v>
      </c>
      <c r="Q22" s="2">
        <f t="shared" ca="1" si="2"/>
        <v>0</v>
      </c>
    </row>
    <row r="23" spans="2:17" hidden="1">
      <c r="B23" s="170" t="str">
        <f ca="1">Tables!B73</f>
        <v>*Hide*</v>
      </c>
      <c r="C23" s="175" t="str">
        <f ca="1">Tables!C73</f>
        <v>-</v>
      </c>
      <c r="D23" s="449" t="str">
        <f ca="1">Tables!D73</f>
        <v>-</v>
      </c>
      <c r="E23" s="450" t="str">
        <f ca="1">Tables!E73</f>
        <v>-</v>
      </c>
      <c r="F23" s="167" t="str">
        <f t="shared" ca="1" si="3"/>
        <v>-</v>
      </c>
      <c r="G23" s="168" t="str">
        <f ca="1">Tables!F73</f>
        <v>-</v>
      </c>
      <c r="H23" s="445" t="str">
        <f ca="1">Tables!G73</f>
        <v>-</v>
      </c>
      <c r="I23" s="167" t="str">
        <f t="shared" ca="1" si="0"/>
        <v>-</v>
      </c>
      <c r="J23" s="168" t="str">
        <f ca="1">Tables!H73</f>
        <v>-</v>
      </c>
      <c r="K23" s="445" t="str">
        <f ca="1">Tables!I73</f>
        <v>-</v>
      </c>
      <c r="L23" s="167" t="str">
        <f t="shared" ca="1" si="1"/>
        <v>-</v>
      </c>
      <c r="M23" s="202" t="str">
        <f ca="1">Tables!J73</f>
        <v>-</v>
      </c>
      <c r="Q23" s="2">
        <f t="shared" ca="1" si="2"/>
        <v>0</v>
      </c>
    </row>
    <row r="24" spans="2:17" hidden="1">
      <c r="B24" s="170" t="str">
        <f ca="1">Tables!B74</f>
        <v>*Hide*</v>
      </c>
      <c r="C24" s="175" t="str">
        <f ca="1">Tables!C74</f>
        <v>-</v>
      </c>
      <c r="D24" s="449" t="str">
        <f ca="1">Tables!D74</f>
        <v>-</v>
      </c>
      <c r="E24" s="450" t="str">
        <f ca="1">Tables!E74</f>
        <v>-</v>
      </c>
      <c r="F24" s="167" t="str">
        <f t="shared" ca="1" si="3"/>
        <v>-</v>
      </c>
      <c r="G24" s="168" t="str">
        <f ca="1">Tables!F74</f>
        <v>-</v>
      </c>
      <c r="H24" s="445" t="str">
        <f ca="1">Tables!G74</f>
        <v>-</v>
      </c>
      <c r="I24" s="167" t="str">
        <f t="shared" ca="1" si="0"/>
        <v>-</v>
      </c>
      <c r="J24" s="168" t="str">
        <f ca="1">Tables!H74</f>
        <v>-</v>
      </c>
      <c r="K24" s="445" t="str">
        <f ca="1">Tables!I74</f>
        <v>-</v>
      </c>
      <c r="L24" s="167" t="str">
        <f t="shared" ca="1" si="1"/>
        <v>-</v>
      </c>
      <c r="M24" s="202" t="str">
        <f ca="1">Tables!J74</f>
        <v>-</v>
      </c>
      <c r="Q24" s="2">
        <f t="shared" ca="1" si="2"/>
        <v>0</v>
      </c>
    </row>
    <row r="25" spans="2:17" hidden="1">
      <c r="B25" s="170" t="str">
        <f ca="1">Tables!B75</f>
        <v>*Hide*</v>
      </c>
      <c r="C25" s="175" t="str">
        <f ca="1">Tables!C75</f>
        <v>-</v>
      </c>
      <c r="D25" s="449" t="str">
        <f ca="1">Tables!D75</f>
        <v>-</v>
      </c>
      <c r="E25" s="450" t="str">
        <f ca="1">Tables!E75</f>
        <v>-</v>
      </c>
      <c r="F25" s="167" t="str">
        <f t="shared" ca="1" si="3"/>
        <v>-</v>
      </c>
      <c r="G25" s="168" t="str">
        <f ca="1">Tables!F75</f>
        <v>-</v>
      </c>
      <c r="H25" s="445" t="str">
        <f ca="1">Tables!G75</f>
        <v>-</v>
      </c>
      <c r="I25" s="167" t="str">
        <f t="shared" ca="1" si="0"/>
        <v>-</v>
      </c>
      <c r="J25" s="168" t="str">
        <f ca="1">Tables!H75</f>
        <v>-</v>
      </c>
      <c r="K25" s="445" t="str">
        <f ca="1">Tables!I75</f>
        <v>-</v>
      </c>
      <c r="L25" s="167" t="str">
        <f t="shared" ca="1" si="1"/>
        <v>-</v>
      </c>
      <c r="M25" s="202" t="str">
        <f ca="1">Tables!J75</f>
        <v>-</v>
      </c>
      <c r="Q25" s="2">
        <f t="shared" ca="1" si="2"/>
        <v>0</v>
      </c>
    </row>
    <row r="26" spans="2:17" hidden="1">
      <c r="B26" s="170" t="str">
        <f ca="1">Tables!B76</f>
        <v>*Hide*</v>
      </c>
      <c r="C26" s="175" t="str">
        <f ca="1">Tables!C76</f>
        <v>-</v>
      </c>
      <c r="D26" s="449" t="str">
        <f ca="1">Tables!D76</f>
        <v>-</v>
      </c>
      <c r="E26" s="450" t="str">
        <f ca="1">Tables!E76</f>
        <v>-</v>
      </c>
      <c r="F26" s="167" t="str">
        <f t="shared" ca="1" si="3"/>
        <v>-</v>
      </c>
      <c r="G26" s="168" t="str">
        <f ca="1">Tables!F76</f>
        <v>-</v>
      </c>
      <c r="H26" s="445" t="str">
        <f ca="1">Tables!G76</f>
        <v>-</v>
      </c>
      <c r="I26" s="167" t="str">
        <f t="shared" ca="1" si="0"/>
        <v>-</v>
      </c>
      <c r="J26" s="168" t="str">
        <f ca="1">Tables!H76</f>
        <v>-</v>
      </c>
      <c r="K26" s="445" t="str">
        <f ca="1">Tables!I76</f>
        <v>-</v>
      </c>
      <c r="L26" s="167" t="str">
        <f t="shared" ca="1" si="1"/>
        <v>-</v>
      </c>
      <c r="M26" s="202" t="str">
        <f ca="1">Tables!J76</f>
        <v>-</v>
      </c>
      <c r="Q26" s="2">
        <f t="shared" ca="1" si="2"/>
        <v>0</v>
      </c>
    </row>
    <row r="27" spans="2:17" hidden="1">
      <c r="B27" s="170" t="str">
        <f ca="1">Tables!B77</f>
        <v>*Hide*</v>
      </c>
      <c r="C27" s="170" t="str">
        <f ca="1">Tables!C77</f>
        <v>-</v>
      </c>
      <c r="D27" s="635" t="str">
        <f ca="1">Tables!D77</f>
        <v>-</v>
      </c>
      <c r="E27" s="636" t="str">
        <f ca="1">Tables!E77</f>
        <v>-</v>
      </c>
      <c r="F27" s="637" t="str">
        <f t="shared" ca="1" si="3"/>
        <v>-</v>
      </c>
      <c r="G27" s="638" t="str">
        <f ca="1">Tables!F77</f>
        <v>-</v>
      </c>
      <c r="H27" s="639" t="str">
        <f ca="1">Tables!G77</f>
        <v>-</v>
      </c>
      <c r="I27" s="637" t="str">
        <f t="shared" ca="1" si="0"/>
        <v>-</v>
      </c>
      <c r="J27" s="638" t="str">
        <f ca="1">Tables!H77</f>
        <v>-</v>
      </c>
      <c r="K27" s="639" t="str">
        <f ca="1">Tables!I77</f>
        <v>-</v>
      </c>
      <c r="L27" s="637" t="str">
        <f t="shared" ca="1" si="1"/>
        <v>-</v>
      </c>
      <c r="M27" s="640" t="str">
        <f ca="1">Tables!J77</f>
        <v>-</v>
      </c>
      <c r="Q27" s="2">
        <f t="shared" ca="1" si="2"/>
        <v>0</v>
      </c>
    </row>
    <row r="28" spans="2:17" ht="13.5" thickBot="1">
      <c r="B28" s="214" t="str">
        <f>Budgets!H26</f>
        <v>Regulatory</v>
      </c>
      <c r="C28" s="171"/>
      <c r="D28" s="635">
        <f>Budgets!I26</f>
        <v>31695</v>
      </c>
      <c r="E28" s="636">
        <f>'Actual Expenses'!I91</f>
        <v>15003.2</v>
      </c>
      <c r="F28" s="637"/>
      <c r="G28" s="638"/>
      <c r="H28" s="639"/>
      <c r="I28" s="637"/>
      <c r="J28" s="638"/>
      <c r="K28" s="639"/>
      <c r="L28" s="637"/>
      <c r="M28" s="640"/>
      <c r="Q28" s="2">
        <f>IF(SUBTOTAL(103,B28)=1,0,-1)</f>
        <v>0</v>
      </c>
    </row>
    <row r="29" spans="2:17" ht="15.75" thickBot="1">
      <c r="C29" s="210" t="s">
        <v>714</v>
      </c>
      <c r="D29" s="204">
        <f ca="1">SUM(D8:D28)</f>
        <v>12941764.219999999</v>
      </c>
      <c r="E29" s="205">
        <f ca="1">SUM(E8:E28)</f>
        <v>10370539.259999998</v>
      </c>
      <c r="F29" s="206">
        <f t="shared" ca="1" si="3"/>
        <v>0.80132345820158968</v>
      </c>
      <c r="G29" s="207">
        <f ca="1">SUM(G8:G27)</f>
        <v>3639824</v>
      </c>
      <c r="H29" s="208">
        <f ca="1">SUM(H8:H27)</f>
        <v>3639823.76</v>
      </c>
      <c r="I29" s="206">
        <f t="shared" ca="1" si="0"/>
        <v>0.99999993406274579</v>
      </c>
      <c r="J29" s="207">
        <f ca="1">SUM(J8:J27)</f>
        <v>158870</v>
      </c>
      <c r="K29" s="208">
        <f ca="1">SUM(K8:K27)</f>
        <v>158870</v>
      </c>
      <c r="L29" s="206">
        <f t="shared" ca="1" si="1"/>
        <v>1</v>
      </c>
      <c r="M29" s="209">
        <f>'Cost-Benefits'!J27</f>
        <v>2.2710197555360772</v>
      </c>
      <c r="Q29" s="2">
        <f ca="1">SUM(Q8:Q28)</f>
        <v>0</v>
      </c>
    </row>
    <row r="30" spans="2:17" ht="15.75" customHeight="1">
      <c r="B30" s="298" t="str">
        <f ca="1">IF(Q29&gt;0,"Select all cells in the 'Program Name' column that contain *Hide* and press Ctrl+9 to hide rows.",IF(Q29&lt;0,"Select all cells in Program Name column and press Shift+Ctrl+9 to unhide all rows.",""))</f>
        <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6"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25"/>
  <sheetViews>
    <sheetView showGridLines="0" zoomScaleNormal="100" workbookViewId="0">
      <pane ySplit="2" topLeftCell="A3" activePane="bottomLeft" state="frozen"/>
      <selection pane="bottomLeft"/>
    </sheetView>
  </sheetViews>
  <sheetFormatPr defaultColWidth="9.140625" defaultRowHeight="12.75"/>
  <cols>
    <col min="1" max="1" width="1" style="2" customWidth="1"/>
    <col min="2" max="2" width="36" style="2" customWidth="1"/>
    <col min="3" max="4" width="12.28515625" style="2" bestFit="1" customWidth="1"/>
    <col min="5" max="5" width="5.85546875" style="2" bestFit="1" customWidth="1"/>
    <col min="6" max="6" width="12" style="2" bestFit="1" customWidth="1"/>
    <col min="7" max="7" width="11.7109375" style="2" bestFit="1" customWidth="1"/>
    <col min="8" max="8" width="5.85546875" style="2" bestFit="1" customWidth="1"/>
    <col min="9" max="10" width="10.42578125" style="2" bestFit="1" customWidth="1"/>
    <col min="11" max="11" width="5.85546875" style="2" bestFit="1" customWidth="1"/>
    <col min="12" max="12" width="7.5703125" style="2" customWidth="1"/>
    <col min="13" max="13" width="1.28515625" style="2" customWidth="1"/>
    <col min="14" max="16384" width="9.140625" style="2"/>
  </cols>
  <sheetData>
    <row r="1" spans="1:13" ht="5.0999999999999996" customHeight="1" thickBot="1"/>
    <row r="2" spans="1:13" ht="38.25" customHeight="1" thickBot="1">
      <c r="B2" s="684" t="s">
        <v>675</v>
      </c>
      <c r="C2" s="684"/>
      <c r="D2" s="684"/>
      <c r="E2" s="684"/>
      <c r="F2" s="684"/>
      <c r="G2" s="684"/>
      <c r="H2" s="684"/>
      <c r="I2" s="684"/>
      <c r="J2" s="684"/>
      <c r="K2" s="684"/>
      <c r="L2" s="684"/>
    </row>
    <row r="3" spans="1:13" ht="4.5" customHeight="1"/>
    <row r="4" spans="1:13" ht="23.25">
      <c r="B4" s="788" t="str">
        <f>Titles!F2&amp;" Portfolio Results Detail by Target Sector"</f>
        <v>2025 Portfolio Results Detail by Target Sector</v>
      </c>
      <c r="C4" s="788"/>
      <c r="D4" s="788"/>
      <c r="E4" s="788"/>
      <c r="F4" s="788"/>
      <c r="G4" s="788"/>
      <c r="H4" s="788"/>
      <c r="I4" s="788"/>
      <c r="J4" s="788"/>
      <c r="K4" s="788"/>
      <c r="L4" s="788"/>
    </row>
    <row r="5" spans="1:13" ht="4.5" customHeight="1" thickBot="1"/>
    <row r="6" spans="1:13" ht="14.25" customHeight="1" thickBot="1">
      <c r="C6" s="791" t="s">
        <v>417</v>
      </c>
      <c r="D6" s="792"/>
      <c r="E6" s="793"/>
      <c r="F6" s="791" t="str">
        <f>"Savings ("&amp;Titles!F13&amp;")"</f>
        <v>Savings (Therms)</v>
      </c>
      <c r="G6" s="792"/>
      <c r="H6" s="793"/>
      <c r="I6" s="791" t="s">
        <v>163</v>
      </c>
      <c r="J6" s="792"/>
      <c r="K6" s="793"/>
      <c r="L6" s="789" t="s">
        <v>652</v>
      </c>
    </row>
    <row r="7" spans="1:13" ht="17.25" customHeight="1" thickBot="1">
      <c r="A7" s="396"/>
      <c r="B7" s="203" t="s">
        <v>86</v>
      </c>
      <c r="C7" s="641" t="s">
        <v>401</v>
      </c>
      <c r="D7" s="642" t="s">
        <v>402</v>
      </c>
      <c r="E7" s="643" t="s">
        <v>713</v>
      </c>
      <c r="F7" s="641" t="s">
        <v>403</v>
      </c>
      <c r="G7" s="642" t="s">
        <v>404</v>
      </c>
      <c r="H7" s="643" t="s">
        <v>713</v>
      </c>
      <c r="I7" s="641" t="s">
        <v>403</v>
      </c>
      <c r="J7" s="642" t="s">
        <v>402</v>
      </c>
      <c r="K7" s="643" t="s">
        <v>713</v>
      </c>
      <c r="L7" s="794"/>
      <c r="M7" s="396"/>
    </row>
    <row r="8" spans="1:13">
      <c r="B8" s="193" t="str">
        <f>Tables!B82</f>
        <v>Residential</v>
      </c>
      <c r="C8" s="166">
        <f ca="1">Tables!D82</f>
        <v>1947356.51</v>
      </c>
      <c r="D8" s="450">
        <f ca="1">Tables!E82</f>
        <v>1451885.4200000002</v>
      </c>
      <c r="E8" s="167">
        <f ca="1">IF(ISERROR(D8/C8),"-",D8/C8)</f>
        <v>0.74556734349582454</v>
      </c>
      <c r="F8" s="168">
        <f ca="1">Tables!F82</f>
        <v>541439</v>
      </c>
      <c r="G8" s="445">
        <f ca="1">Tables!G82</f>
        <v>541438.81000000006</v>
      </c>
      <c r="H8" s="167">
        <f t="shared" ref="H8:H21" ca="1" si="0">IF(ISERROR(G8/F8),"-",G8/F8)</f>
        <v>0.99999964908327632</v>
      </c>
      <c r="I8" s="168">
        <f ca="1">Tables!H82</f>
        <v>64865</v>
      </c>
      <c r="J8" s="445">
        <f ca="1">Tables!I82</f>
        <v>64865</v>
      </c>
      <c r="K8" s="167">
        <f t="shared" ref="K8:K21" ca="1" si="1">IF(ISERROR(J8/I8),"-",J8/I8)</f>
        <v>1</v>
      </c>
      <c r="L8" s="169">
        <f ca="1">Tables!M82</f>
        <v>4.6967656394391097</v>
      </c>
      <c r="M8" s="396"/>
    </row>
    <row r="9" spans="1:13">
      <c r="B9" s="193" t="str">
        <f>Tables!B83</f>
        <v>Small Business</v>
      </c>
      <c r="C9" s="166">
        <f ca="1">Tables!D83</f>
        <v>0</v>
      </c>
      <c r="D9" s="450">
        <f ca="1">Tables!E83</f>
        <v>0</v>
      </c>
      <c r="E9" s="167" t="str">
        <f ca="1">IF(ISERROR(D9/C9),"-",D9/C9)</f>
        <v>-</v>
      </c>
      <c r="F9" s="168">
        <f ca="1">Tables!F83</f>
        <v>0</v>
      </c>
      <c r="G9" s="445">
        <f ca="1">Tables!G83</f>
        <v>0</v>
      </c>
      <c r="H9" s="167" t="str">
        <f t="shared" ca="1" si="0"/>
        <v>-</v>
      </c>
      <c r="I9" s="168">
        <f ca="1">Tables!H83</f>
        <v>0</v>
      </c>
      <c r="J9" s="445">
        <f ca="1">Tables!I83</f>
        <v>0</v>
      </c>
      <c r="K9" s="167" t="str">
        <f t="shared" ca="1" si="1"/>
        <v>-</v>
      </c>
      <c r="L9" s="169" t="str">
        <f ca="1">Tables!M83</f>
        <v>n/a</v>
      </c>
      <c r="M9" s="396"/>
    </row>
    <row r="10" spans="1:13">
      <c r="B10" s="193" t="str">
        <f>Tables!B84</f>
        <v>Commercial &amp; Industrial</v>
      </c>
      <c r="C10" s="166">
        <f ca="1">Tables!D84</f>
        <v>3927412.79</v>
      </c>
      <c r="D10" s="450">
        <f ca="1">Tables!E84</f>
        <v>4335230.5199999996</v>
      </c>
      <c r="E10" s="167">
        <f ca="1">IF(ISERROR(D10/C10),"-",D10/C10)</f>
        <v>1.1038387742277529</v>
      </c>
      <c r="F10" s="168">
        <f ca="1">Tables!F84</f>
        <v>1996743</v>
      </c>
      <c r="G10" s="445">
        <f ca="1">Tables!G84</f>
        <v>1996742.95</v>
      </c>
      <c r="H10" s="167">
        <f t="shared" ca="1" si="0"/>
        <v>0.99999997495922111</v>
      </c>
      <c r="I10" s="168">
        <f ca="1">Tables!H84</f>
        <v>687</v>
      </c>
      <c r="J10" s="445">
        <f ca="1">Tables!I84</f>
        <v>687</v>
      </c>
      <c r="K10" s="167">
        <f t="shared" ca="1" si="1"/>
        <v>1</v>
      </c>
      <c r="L10" s="169">
        <f ca="1">Tables!M84</f>
        <v>2.0967435596380963</v>
      </c>
      <c r="M10" s="396"/>
    </row>
    <row r="11" spans="1:13">
      <c r="B11" s="193" t="str">
        <f>Tables!B85</f>
        <v>Municipalities/Schools</v>
      </c>
      <c r="C11" s="166">
        <f ca="1">Tables!D85</f>
        <v>0</v>
      </c>
      <c r="D11" s="450">
        <f ca="1">Tables!E85</f>
        <v>0</v>
      </c>
      <c r="E11" s="167" t="str">
        <f t="shared" ref="E11:E21" ca="1" si="2">IF(ISERROR(D11/C11),"-",D11/C11)</f>
        <v>-</v>
      </c>
      <c r="F11" s="168">
        <f ca="1">Tables!F85</f>
        <v>0</v>
      </c>
      <c r="G11" s="445">
        <f ca="1">Tables!G85</f>
        <v>0</v>
      </c>
      <c r="H11" s="167" t="str">
        <f t="shared" ca="1" si="0"/>
        <v>-</v>
      </c>
      <c r="I11" s="168">
        <f ca="1">Tables!H85</f>
        <v>0</v>
      </c>
      <c r="J11" s="445">
        <f ca="1">Tables!I85</f>
        <v>0</v>
      </c>
      <c r="K11" s="167" t="str">
        <f t="shared" ca="1" si="1"/>
        <v>-</v>
      </c>
      <c r="L11" s="169" t="str">
        <f ca="1">Tables!M85</f>
        <v>n/a</v>
      </c>
      <c r="M11" s="396"/>
    </row>
    <row r="12" spans="1:13">
      <c r="B12" s="193" t="str">
        <f>Tables!B86</f>
        <v>Agriculture</v>
      </c>
      <c r="C12" s="166">
        <f ca="1">Tables!D86</f>
        <v>0</v>
      </c>
      <c r="D12" s="450">
        <f ca="1">Tables!E86</f>
        <v>0</v>
      </c>
      <c r="E12" s="167" t="str">
        <f t="shared" ca="1" si="2"/>
        <v>-</v>
      </c>
      <c r="F12" s="168">
        <f ca="1">Tables!F86</f>
        <v>0</v>
      </c>
      <c r="G12" s="445">
        <f ca="1">Tables!G86</f>
        <v>0</v>
      </c>
      <c r="H12" s="167" t="str">
        <f t="shared" ca="1" si="0"/>
        <v>-</v>
      </c>
      <c r="I12" s="168">
        <f ca="1">Tables!H86</f>
        <v>0</v>
      </c>
      <c r="J12" s="445">
        <f ca="1">Tables!I86</f>
        <v>0</v>
      </c>
      <c r="K12" s="167" t="str">
        <f t="shared" ca="1" si="1"/>
        <v>-</v>
      </c>
      <c r="L12" s="169" t="str">
        <f ca="1">Tables!M86</f>
        <v>n/a</v>
      </c>
      <c r="M12" s="396"/>
    </row>
    <row r="13" spans="1:13">
      <c r="B13" s="193" t="str">
        <f>Tables!B87</f>
        <v>Other</v>
      </c>
      <c r="C13" s="166">
        <f ca="1">Tables!D87</f>
        <v>0</v>
      </c>
      <c r="D13" s="450">
        <f ca="1">Tables!E87</f>
        <v>0</v>
      </c>
      <c r="E13" s="167" t="str">
        <f t="shared" ca="1" si="2"/>
        <v>-</v>
      </c>
      <c r="F13" s="168">
        <f ca="1">Tables!F87</f>
        <v>0</v>
      </c>
      <c r="G13" s="445">
        <f ca="1">Tables!G87</f>
        <v>0</v>
      </c>
      <c r="H13" s="167" t="str">
        <f t="shared" ca="1" si="0"/>
        <v>-</v>
      </c>
      <c r="I13" s="168">
        <f ca="1">Tables!H87</f>
        <v>0</v>
      </c>
      <c r="J13" s="445">
        <f ca="1">Tables!I87</f>
        <v>0</v>
      </c>
      <c r="K13" s="167" t="str">
        <f t="shared" ca="1" si="1"/>
        <v>-</v>
      </c>
      <c r="L13" s="169" t="str">
        <f ca="1">Tables!M87</f>
        <v>n/a</v>
      </c>
      <c r="M13" s="396"/>
    </row>
    <row r="14" spans="1:13">
      <c r="B14" s="194"/>
      <c r="C14" s="166"/>
      <c r="D14" s="450"/>
      <c r="E14" s="167"/>
      <c r="F14" s="168"/>
      <c r="G14" s="445"/>
      <c r="H14" s="167"/>
      <c r="I14" s="168"/>
      <c r="J14" s="445"/>
      <c r="K14" s="167"/>
      <c r="L14" s="169"/>
      <c r="M14" s="396"/>
    </row>
    <row r="15" spans="1:13">
      <c r="B15" s="194" t="str">
        <f>Tables!B88</f>
        <v>Res/Small Business</v>
      </c>
      <c r="C15" s="166">
        <f ca="1">Tables!D88</f>
        <v>7035299.9199999999</v>
      </c>
      <c r="D15" s="450">
        <f ca="1">Tables!E88</f>
        <v>4568420.12</v>
      </c>
      <c r="E15" s="167">
        <f t="shared" ca="1" si="2"/>
        <v>0.64935683935987765</v>
      </c>
      <c r="F15" s="168">
        <f ca="1">Tables!F88</f>
        <v>1101642</v>
      </c>
      <c r="G15" s="445">
        <f ca="1">Tables!G88</f>
        <v>1101642</v>
      </c>
      <c r="H15" s="167">
        <f t="shared" ca="1" si="0"/>
        <v>1</v>
      </c>
      <c r="I15" s="168">
        <f ca="1">Tables!H88</f>
        <v>93318</v>
      </c>
      <c r="J15" s="445">
        <f ca="1">Tables!I88</f>
        <v>93318</v>
      </c>
      <c r="K15" s="167">
        <f t="shared" ca="1" si="1"/>
        <v>1</v>
      </c>
      <c r="L15" s="169">
        <f ca="1">Tables!M88</f>
        <v>1.7255863527670547</v>
      </c>
      <c r="M15" s="396"/>
    </row>
    <row r="16" spans="1:13">
      <c r="B16" s="194" t="str">
        <f>Tables!B89</f>
        <v>Res/C&amp;I</v>
      </c>
      <c r="C16" s="166">
        <f ca="1">Tables!D89</f>
        <v>0</v>
      </c>
      <c r="D16" s="450">
        <f ca="1">Tables!E89</f>
        <v>0</v>
      </c>
      <c r="E16" s="167" t="str">
        <f t="shared" ca="1" si="2"/>
        <v>-</v>
      </c>
      <c r="F16" s="168">
        <f ca="1">Tables!F89</f>
        <v>0</v>
      </c>
      <c r="G16" s="445">
        <f ca="1">Tables!G89</f>
        <v>0</v>
      </c>
      <c r="H16" s="167" t="str">
        <f t="shared" ca="1" si="0"/>
        <v>-</v>
      </c>
      <c r="I16" s="168">
        <f ca="1">Tables!H89</f>
        <v>0</v>
      </c>
      <c r="J16" s="445">
        <f ca="1">Tables!I89</f>
        <v>0</v>
      </c>
      <c r="K16" s="167" t="str">
        <f t="shared" ca="1" si="1"/>
        <v>-</v>
      </c>
      <c r="L16" s="169" t="str">
        <f ca="1">Tables!M89</f>
        <v>n/a</v>
      </c>
      <c r="M16" s="396"/>
    </row>
    <row r="17" spans="2:12">
      <c r="B17" s="194" t="str">
        <f>Tables!B90</f>
        <v>Small Business/C&amp;I</v>
      </c>
      <c r="C17" s="166">
        <f ca="1">Tables!D90</f>
        <v>0</v>
      </c>
      <c r="D17" s="450">
        <f ca="1">Tables!E90</f>
        <v>0</v>
      </c>
      <c r="E17" s="167" t="str">
        <f t="shared" ca="1" si="2"/>
        <v>-</v>
      </c>
      <c r="F17" s="168">
        <f ca="1">Tables!F90</f>
        <v>0</v>
      </c>
      <c r="G17" s="445">
        <f ca="1">Tables!G90</f>
        <v>0</v>
      </c>
      <c r="H17" s="167" t="str">
        <f t="shared" ca="1" si="0"/>
        <v>-</v>
      </c>
      <c r="I17" s="168">
        <f ca="1">Tables!H90</f>
        <v>0</v>
      </c>
      <c r="J17" s="445">
        <f ca="1">Tables!I90</f>
        <v>0</v>
      </c>
      <c r="K17" s="167" t="str">
        <f t="shared" ca="1" si="1"/>
        <v>-</v>
      </c>
      <c r="L17" s="169" t="str">
        <f ca="1">Tables!M90</f>
        <v>n/a</v>
      </c>
    </row>
    <row r="18" spans="2:12">
      <c r="B18" s="194"/>
      <c r="C18" s="166"/>
      <c r="D18" s="450"/>
      <c r="E18" s="167"/>
      <c r="F18" s="168"/>
      <c r="G18" s="445"/>
      <c r="H18" s="167"/>
      <c r="I18" s="168"/>
      <c r="J18" s="445"/>
      <c r="K18" s="167"/>
      <c r="L18" s="169"/>
    </row>
    <row r="19" spans="2:12">
      <c r="B19" s="194" t="str">
        <f>Tables!B91</f>
        <v>All Classes</v>
      </c>
      <c r="C19" s="166">
        <f ca="1">Tables!D91</f>
        <v>0</v>
      </c>
      <c r="D19" s="450">
        <f ca="1">Tables!E91</f>
        <v>0</v>
      </c>
      <c r="E19" s="167" t="str">
        <f t="shared" ca="1" si="2"/>
        <v>-</v>
      </c>
      <c r="F19" s="168">
        <f ca="1">Tables!F91</f>
        <v>0</v>
      </c>
      <c r="G19" s="445">
        <f ca="1">Tables!G91</f>
        <v>0</v>
      </c>
      <c r="H19" s="167" t="str">
        <f t="shared" ca="1" si="0"/>
        <v>-</v>
      </c>
      <c r="I19" s="168">
        <f ca="1">Tables!H91</f>
        <v>0</v>
      </c>
      <c r="J19" s="445">
        <f ca="1">Tables!I91</f>
        <v>0</v>
      </c>
      <c r="K19" s="167" t="str">
        <f t="shared" ca="1" si="1"/>
        <v>-</v>
      </c>
      <c r="L19" s="169" t="str">
        <f ca="1">Tables!M91</f>
        <v>n/a</v>
      </c>
    </row>
    <row r="20" spans="2:12" ht="13.5" thickBot="1">
      <c r="B20" s="195"/>
      <c r="C20" s="644" t="str">
        <f ca="1">Tables!D77</f>
        <v>-</v>
      </c>
      <c r="D20" s="636" t="str">
        <f ca="1">Tables!E77</f>
        <v>-</v>
      </c>
      <c r="E20" s="637" t="str">
        <f t="shared" ca="1" si="2"/>
        <v>-</v>
      </c>
      <c r="F20" s="638" t="str">
        <f ca="1">Tables!F77</f>
        <v>-</v>
      </c>
      <c r="G20" s="639" t="str">
        <f ca="1">Tables!G77</f>
        <v>-</v>
      </c>
      <c r="H20" s="637" t="str">
        <f t="shared" ca="1" si="0"/>
        <v>-</v>
      </c>
      <c r="I20" s="638" t="str">
        <f ca="1">Tables!H77</f>
        <v>-</v>
      </c>
      <c r="J20" s="639" t="str">
        <f ca="1">Tables!I77</f>
        <v>-</v>
      </c>
      <c r="K20" s="637" t="str">
        <f t="shared" ca="1" si="1"/>
        <v>-</v>
      </c>
      <c r="L20" s="645" t="str">
        <f ca="1">Tables!J77</f>
        <v>-</v>
      </c>
    </row>
    <row r="21" spans="2:12" ht="15.75" thickBot="1">
      <c r="B21" s="210" t="s">
        <v>715</v>
      </c>
      <c r="C21" s="204">
        <f ca="1">SUM(C8:C20)</f>
        <v>12910069.219999999</v>
      </c>
      <c r="D21" s="205">
        <f ca="1">SUM(D8:D20)</f>
        <v>10355536.059999999</v>
      </c>
      <c r="E21" s="206">
        <f t="shared" ca="1" si="2"/>
        <v>0.80212862406325658</v>
      </c>
      <c r="F21" s="207">
        <f ca="1">SUM(F8:F20)</f>
        <v>3639824</v>
      </c>
      <c r="G21" s="208">
        <f ca="1">SUM(G8:G20)</f>
        <v>3639823.76</v>
      </c>
      <c r="H21" s="206">
        <f t="shared" ca="1" si="0"/>
        <v>0.99999993406274579</v>
      </c>
      <c r="I21" s="207">
        <f ca="1">SUM(I8:I20)</f>
        <v>158870</v>
      </c>
      <c r="J21" s="208">
        <f ca="1">SUM(J8:J20)</f>
        <v>158870</v>
      </c>
      <c r="K21" s="206">
        <f t="shared" ca="1" si="1"/>
        <v>1</v>
      </c>
      <c r="L21" s="209">
        <f>'Cost-Benefits'!J27</f>
        <v>2.2710197555360772</v>
      </c>
    </row>
    <row r="23" spans="2:12">
      <c r="B23" s="2" t="s">
        <v>716</v>
      </c>
    </row>
    <row r="24" spans="2:12">
      <c r="B24" s="155" t="s">
        <v>717</v>
      </c>
      <c r="D24" s="2" t="s">
        <v>718</v>
      </c>
    </row>
    <row r="25" spans="2:12">
      <c r="D25" s="2" t="str">
        <f>F6</f>
        <v>Savings (Therms)</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scale="96"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B1:O23"/>
  <sheetViews>
    <sheetView showGridLines="0" zoomScale="110" zoomScaleNormal="110" workbookViewId="0"/>
  </sheetViews>
  <sheetFormatPr defaultRowHeight="12.75"/>
  <cols>
    <col min="1" max="1" width="1.42578125" customWidth="1"/>
    <col min="2" max="2" width="1.7109375" customWidth="1"/>
    <col min="3" max="7" width="10.7109375" customWidth="1"/>
    <col min="8" max="8" width="12.5703125" customWidth="1"/>
    <col min="9" max="14" width="10.7109375" customWidth="1"/>
    <col min="15" max="15" width="2.7109375" customWidth="1"/>
  </cols>
  <sheetData>
    <row r="1" spans="2:15" ht="5.0999999999999996" customHeight="1" thickBot="1"/>
    <row r="2" spans="2:15" ht="38.25" customHeight="1">
      <c r="B2" s="801" t="s">
        <v>719</v>
      </c>
      <c r="C2" s="802"/>
      <c r="D2" s="802"/>
      <c r="E2" s="802"/>
      <c r="F2" s="802"/>
      <c r="G2" s="802"/>
      <c r="H2" s="802"/>
      <c r="I2" s="802"/>
      <c r="J2" s="802"/>
      <c r="K2" s="802"/>
      <c r="L2" s="802"/>
      <c r="M2" s="802"/>
      <c r="N2" s="802"/>
      <c r="O2" s="803"/>
    </row>
    <row r="3" spans="2:15" ht="23.25">
      <c r="B3" s="804" t="s">
        <v>720</v>
      </c>
      <c r="C3" s="805"/>
      <c r="D3" s="805"/>
      <c r="E3" s="805"/>
      <c r="F3" s="805"/>
      <c r="G3" s="805"/>
      <c r="H3" s="805"/>
      <c r="I3" s="805"/>
      <c r="J3" s="805"/>
      <c r="K3" s="805"/>
      <c r="L3" s="805"/>
      <c r="M3" s="805"/>
      <c r="N3" s="805"/>
      <c r="O3" s="806"/>
    </row>
    <row r="4" spans="2:15">
      <c r="B4" s="16"/>
      <c r="O4" s="17"/>
    </row>
    <row r="5" spans="2:15" ht="13.5" thickBot="1">
      <c r="B5" s="16"/>
      <c r="O5" s="17"/>
    </row>
    <row r="6" spans="2:15">
      <c r="B6" s="16"/>
      <c r="C6" s="36" t="s">
        <v>721</v>
      </c>
      <c r="D6" s="39" t="s">
        <v>722</v>
      </c>
      <c r="E6" s="32"/>
      <c r="F6" s="36" t="s">
        <v>723</v>
      </c>
      <c r="G6" s="36" t="s">
        <v>724</v>
      </c>
      <c r="H6" s="42"/>
      <c r="I6" s="39" t="s">
        <v>725</v>
      </c>
      <c r="J6" s="32"/>
      <c r="K6" s="39" t="s">
        <v>726</v>
      </c>
      <c r="L6" s="32"/>
      <c r="M6" s="35" t="s">
        <v>727</v>
      </c>
      <c r="N6" s="32"/>
      <c r="O6" s="17"/>
    </row>
    <row r="7" spans="2:15" ht="55.5" customHeight="1">
      <c r="B7" s="16"/>
      <c r="C7" s="646" t="s">
        <v>74</v>
      </c>
      <c r="D7" s="647" t="s">
        <v>728</v>
      </c>
      <c r="E7" s="633" t="s">
        <v>729</v>
      </c>
      <c r="F7" s="648" t="s">
        <v>730</v>
      </c>
      <c r="G7" s="648" t="s">
        <v>731</v>
      </c>
      <c r="H7" s="43" t="s">
        <v>732</v>
      </c>
      <c r="I7" s="649" t="s">
        <v>733</v>
      </c>
      <c r="J7" s="650" t="s">
        <v>734</v>
      </c>
      <c r="K7" s="647" t="s">
        <v>735</v>
      </c>
      <c r="L7" s="650" t="s">
        <v>734</v>
      </c>
      <c r="M7" s="651" t="s">
        <v>736</v>
      </c>
      <c r="N7" s="650" t="s">
        <v>734</v>
      </c>
      <c r="O7" s="17"/>
    </row>
    <row r="8" spans="2:15" ht="13.5" thickBot="1">
      <c r="B8" s="16"/>
      <c r="C8" s="37"/>
      <c r="D8" s="33"/>
      <c r="E8" s="40"/>
      <c r="F8" s="37"/>
      <c r="G8" s="37"/>
      <c r="H8" s="44" t="s">
        <v>285</v>
      </c>
      <c r="I8" s="45" t="s">
        <v>285</v>
      </c>
      <c r="J8" s="34" t="s">
        <v>737</v>
      </c>
      <c r="K8" s="45" t="s">
        <v>285</v>
      </c>
      <c r="L8" s="34" t="s">
        <v>738</v>
      </c>
      <c r="M8" s="41" t="s">
        <v>285</v>
      </c>
      <c r="N8" s="34" t="s">
        <v>739</v>
      </c>
      <c r="O8" s="17"/>
    </row>
    <row r="9" spans="2:15" ht="13.5" thickBot="1">
      <c r="B9" s="16"/>
      <c r="C9" s="38">
        <f>Prg_Year</f>
        <v>2025</v>
      </c>
      <c r="D9" s="187">
        <f>'Utility Information'!D13</f>
        <v>5</v>
      </c>
      <c r="E9" s="652">
        <f>IF(ISERROR(D9/(H9/1000)),"-",(D9/(H9/1000)))</f>
        <v>0.48213500519547731</v>
      </c>
      <c r="F9" s="278">
        <f>Training!D6</f>
        <v>7</v>
      </c>
      <c r="G9" s="278">
        <f>Training!F6</f>
        <v>13380</v>
      </c>
      <c r="H9" s="275">
        <f>'Table 3'!F15/1000</f>
        <v>10370.539259999998</v>
      </c>
      <c r="I9" s="276">
        <f>'Table 3'!F9/1000</f>
        <v>2786.71967</v>
      </c>
      <c r="J9" s="653">
        <f>IF(ISERROR(I9/$H9),"-",(I9/$H9))</f>
        <v>0.26871502051475776</v>
      </c>
      <c r="K9" s="654">
        <f>H9-I9-M9</f>
        <v>5921.6533199999976</v>
      </c>
      <c r="L9" s="653">
        <f>IF(ISERROR(K9/$H9),"-",(K9/$H9))</f>
        <v>0.57100727084080283</v>
      </c>
      <c r="M9" s="277">
        <f>'Table 3'!F12/1000</f>
        <v>1662.1662699999999</v>
      </c>
      <c r="N9" s="653">
        <f>IF(ISERROR(M9/$H9),"-",(M9/$H9))</f>
        <v>0.16027770864443941</v>
      </c>
      <c r="O9" s="17"/>
    </row>
    <row r="10" spans="2:15">
      <c r="B10" s="16"/>
      <c r="C10" s="2"/>
      <c r="D10" s="2"/>
      <c r="E10" s="2"/>
      <c r="F10" s="2"/>
      <c r="G10" s="2"/>
      <c r="H10" s="2"/>
      <c r="I10" s="2"/>
      <c r="J10" s="2"/>
      <c r="K10" s="2"/>
      <c r="L10" s="2"/>
      <c r="M10" s="2"/>
      <c r="N10" s="2"/>
      <c r="O10" s="17"/>
    </row>
    <row r="11" spans="2:15" ht="13.5" thickBot="1">
      <c r="B11" s="16"/>
      <c r="C11" s="2"/>
      <c r="D11" s="2"/>
      <c r="E11" s="2"/>
      <c r="F11" s="2"/>
      <c r="G11" s="2"/>
      <c r="H11" s="2"/>
      <c r="I11" s="2"/>
      <c r="J11" s="2"/>
      <c r="K11" s="2"/>
      <c r="L11" s="2"/>
      <c r="M11" s="2"/>
      <c r="N11" s="2"/>
      <c r="O11" s="17"/>
    </row>
    <row r="12" spans="2:15" ht="15.75" thickBot="1">
      <c r="B12" s="16"/>
      <c r="C12" s="2"/>
      <c r="D12" s="795" t="s">
        <v>740</v>
      </c>
      <c r="E12" s="796"/>
      <c r="F12" s="796"/>
      <c r="G12" s="796"/>
      <c r="H12" s="796"/>
      <c r="I12" s="796"/>
      <c r="J12" s="796"/>
      <c r="K12" s="796"/>
      <c r="L12" s="796"/>
      <c r="M12" s="797"/>
      <c r="N12" s="2"/>
      <c r="O12" s="17"/>
    </row>
    <row r="13" spans="2:15" ht="13.5" thickBot="1">
      <c r="B13" s="16"/>
      <c r="C13" s="2"/>
      <c r="D13" s="64" t="s">
        <v>721</v>
      </c>
      <c r="E13" s="798" t="s">
        <v>741</v>
      </c>
      <c r="F13" s="799"/>
      <c r="G13" s="799"/>
      <c r="H13" s="799"/>
      <c r="I13" s="799"/>
      <c r="J13" s="799"/>
      <c r="K13" s="800"/>
      <c r="L13" s="798" t="s">
        <v>742</v>
      </c>
      <c r="M13" s="800"/>
      <c r="N13" s="2"/>
      <c r="O13" s="17"/>
    </row>
    <row r="14" spans="2:15">
      <c r="B14" s="16"/>
      <c r="C14" s="2"/>
      <c r="D14" s="65">
        <v>1</v>
      </c>
      <c r="E14" s="68" t="s">
        <v>743</v>
      </c>
      <c r="F14" s="6"/>
      <c r="G14" s="6"/>
      <c r="H14" s="6"/>
      <c r="I14" s="6"/>
      <c r="J14" s="6"/>
      <c r="K14" s="69"/>
      <c r="L14" s="68" t="s">
        <v>744</v>
      </c>
      <c r="M14" s="69"/>
      <c r="N14" s="2"/>
      <c r="O14" s="17"/>
    </row>
    <row r="15" spans="2:15">
      <c r="B15" s="16"/>
      <c r="C15" s="2"/>
      <c r="D15" s="66">
        <v>2</v>
      </c>
      <c r="E15" s="70" t="s">
        <v>745</v>
      </c>
      <c r="F15" s="614"/>
      <c r="G15" s="614"/>
      <c r="H15" s="614"/>
      <c r="I15" s="614"/>
      <c r="J15" s="614"/>
      <c r="K15" s="71"/>
      <c r="L15" s="70" t="s">
        <v>744</v>
      </c>
      <c r="M15" s="71"/>
      <c r="N15" s="2"/>
      <c r="O15" s="17"/>
    </row>
    <row r="16" spans="2:15">
      <c r="B16" s="16"/>
      <c r="C16" s="2"/>
      <c r="D16" s="66">
        <v>3</v>
      </c>
      <c r="E16" s="70" t="s">
        <v>746</v>
      </c>
      <c r="F16" s="614"/>
      <c r="G16" s="614"/>
      <c r="H16" s="614"/>
      <c r="I16" s="614"/>
      <c r="J16" s="614"/>
      <c r="K16" s="71"/>
      <c r="L16" s="70" t="s">
        <v>744</v>
      </c>
      <c r="M16" s="71"/>
      <c r="N16" s="2"/>
      <c r="O16" s="17"/>
    </row>
    <row r="17" spans="2:15">
      <c r="B17" s="16"/>
      <c r="C17" s="2"/>
      <c r="D17" s="66">
        <v>4</v>
      </c>
      <c r="E17" s="70" t="s">
        <v>747</v>
      </c>
      <c r="F17" s="614"/>
      <c r="G17" s="614"/>
      <c r="H17" s="614"/>
      <c r="I17" s="614"/>
      <c r="J17" s="614"/>
      <c r="K17" s="71"/>
      <c r="L17" s="70" t="s">
        <v>748</v>
      </c>
      <c r="M17" s="71"/>
      <c r="N17" s="2"/>
      <c r="O17" s="17"/>
    </row>
    <row r="18" spans="2:15">
      <c r="B18" s="16"/>
      <c r="C18" s="2"/>
      <c r="D18" s="66">
        <v>5</v>
      </c>
      <c r="E18" s="70" t="s">
        <v>749</v>
      </c>
      <c r="F18" s="614"/>
      <c r="G18" s="614"/>
      <c r="H18" s="614"/>
      <c r="I18" s="614"/>
      <c r="J18" s="614"/>
      <c r="K18" s="71"/>
      <c r="L18" s="70" t="s">
        <v>750</v>
      </c>
      <c r="M18" s="71"/>
      <c r="N18" s="2"/>
      <c r="O18" s="17"/>
    </row>
    <row r="19" spans="2:15">
      <c r="B19" s="16"/>
      <c r="C19" s="2"/>
      <c r="D19" s="66">
        <v>6</v>
      </c>
      <c r="E19" s="70" t="s">
        <v>751</v>
      </c>
      <c r="F19" s="614"/>
      <c r="G19" s="614"/>
      <c r="H19" s="614"/>
      <c r="I19" s="614"/>
      <c r="J19" s="614"/>
      <c r="K19" s="71"/>
      <c r="L19" s="70" t="s">
        <v>748</v>
      </c>
      <c r="M19" s="71"/>
      <c r="N19" s="2"/>
      <c r="O19" s="17"/>
    </row>
    <row r="20" spans="2:15">
      <c r="B20" s="16"/>
      <c r="C20" s="2"/>
      <c r="D20" s="66">
        <v>7</v>
      </c>
      <c r="E20" s="70" t="s">
        <v>752</v>
      </c>
      <c r="F20" s="614"/>
      <c r="G20" s="614"/>
      <c r="H20" s="614"/>
      <c r="I20" s="614"/>
      <c r="J20" s="614"/>
      <c r="K20" s="71"/>
      <c r="L20" s="70" t="s">
        <v>753</v>
      </c>
      <c r="M20" s="71"/>
      <c r="N20" s="2"/>
      <c r="O20" s="17"/>
    </row>
    <row r="21" spans="2:15" ht="13.5" thickBot="1">
      <c r="B21" s="16"/>
      <c r="C21" s="2"/>
      <c r="D21" s="67">
        <v>8</v>
      </c>
      <c r="E21" s="72" t="s">
        <v>754</v>
      </c>
      <c r="F21" s="73"/>
      <c r="G21" s="73"/>
      <c r="H21" s="73"/>
      <c r="I21" s="73"/>
      <c r="J21" s="73"/>
      <c r="K21" s="74"/>
      <c r="L21" s="72" t="s">
        <v>753</v>
      </c>
      <c r="M21" s="74"/>
      <c r="N21" s="2"/>
      <c r="O21" s="17"/>
    </row>
    <row r="22" spans="2:15">
      <c r="B22" s="16"/>
      <c r="O22" s="17"/>
    </row>
    <row r="23" spans="2:15">
      <c r="B23" s="279"/>
      <c r="C23" s="280"/>
      <c r="D23" s="280"/>
      <c r="E23" s="280"/>
      <c r="F23" s="280"/>
      <c r="G23" s="280"/>
      <c r="H23" s="280"/>
      <c r="I23" s="280"/>
      <c r="J23" s="280"/>
      <c r="K23" s="280"/>
      <c r="L23" s="280"/>
      <c r="M23" s="280"/>
      <c r="N23" s="280"/>
      <c r="O23" s="281"/>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W27"/>
  <sheetViews>
    <sheetView showGridLines="0" zoomScale="90" zoomScaleNormal="90" workbookViewId="0">
      <pane xSplit="5" ySplit="2" topLeftCell="P3" activePane="bottomRight" state="frozen"/>
      <selection pane="topRight" activeCell="F1" sqref="F1"/>
      <selection pane="bottomLeft" activeCell="A2" sqref="A2"/>
      <selection pane="bottomRight" activeCell="U8" sqref="U8"/>
    </sheetView>
  </sheetViews>
  <sheetFormatPr defaultColWidth="9.140625" defaultRowHeight="12.75"/>
  <cols>
    <col min="1" max="1" width="1" style="2" customWidth="1"/>
    <col min="2" max="2" width="36" style="2" customWidth="1"/>
    <col min="3" max="3" width="20.28515625" style="2" bestFit="1" customWidth="1"/>
    <col min="4" max="4" width="26.42578125" style="2" bestFit="1" customWidth="1"/>
    <col min="5" max="5" width="28.140625" style="2" bestFit="1" customWidth="1"/>
    <col min="6" max="6" width="11.5703125" style="2" customWidth="1"/>
    <col min="7" max="7" width="12" style="2" bestFit="1" customWidth="1"/>
    <col min="8" max="11" width="13.7109375" style="2" customWidth="1"/>
    <col min="12" max="13" width="10.42578125" style="2" bestFit="1" customWidth="1"/>
    <col min="14" max="14" width="18" style="2" bestFit="1" customWidth="1"/>
    <col min="15" max="15" width="18" style="2" customWidth="1"/>
    <col min="16" max="16" width="15.7109375" style="2" bestFit="1" customWidth="1"/>
    <col min="17" max="18" width="15.7109375" style="2" customWidth="1"/>
    <col min="19" max="19" width="15.7109375" style="2" bestFit="1" customWidth="1"/>
    <col min="20" max="20" width="1.28515625" style="2" customWidth="1"/>
    <col min="21" max="16384" width="9.140625" style="2"/>
  </cols>
  <sheetData>
    <row r="1" spans="1:23" ht="5.0999999999999996" customHeight="1" thickBot="1"/>
    <row r="2" spans="1:23" ht="38.25" customHeight="1" thickBot="1">
      <c r="B2" s="684" t="s">
        <v>15</v>
      </c>
      <c r="C2" s="684"/>
      <c r="D2" s="684"/>
      <c r="E2" s="684"/>
      <c r="F2" s="684"/>
      <c r="G2" s="684"/>
      <c r="H2" s="684"/>
      <c r="I2" s="684"/>
      <c r="J2" s="684"/>
      <c r="K2" s="684"/>
      <c r="L2" s="684"/>
      <c r="M2" s="684"/>
      <c r="N2" s="684"/>
      <c r="O2" s="684"/>
      <c r="P2" s="684"/>
      <c r="Q2" s="684"/>
      <c r="R2" s="684"/>
      <c r="S2" s="684"/>
    </row>
    <row r="3" spans="1:23" ht="4.5" customHeight="1"/>
    <row r="4" spans="1:23" ht="23.25">
      <c r="B4" s="788" t="str">
        <f>Titles!F2&amp;" Portfolio Data"</f>
        <v>2025 Portfolio Data</v>
      </c>
      <c r="C4" s="788"/>
      <c r="D4" s="788"/>
      <c r="E4" s="788"/>
      <c r="F4" s="788"/>
      <c r="G4" s="788"/>
      <c r="H4" s="788"/>
      <c r="I4" s="788"/>
      <c r="J4" s="788"/>
      <c r="K4" s="788"/>
      <c r="L4" s="788"/>
      <c r="M4" s="788"/>
      <c r="N4" s="788"/>
      <c r="O4" s="788"/>
      <c r="P4" s="788"/>
      <c r="Q4" s="788"/>
      <c r="R4" s="788"/>
      <c r="S4" s="788"/>
    </row>
    <row r="5" spans="1:23" ht="4.5" customHeight="1"/>
    <row r="6" spans="1:23" ht="15.75" customHeight="1">
      <c r="F6" s="807" t="s">
        <v>755</v>
      </c>
      <c r="G6" s="807"/>
      <c r="H6" s="807" t="str">
        <f>"Energy Savings ("&amp;Titles!F13&amp;")"</f>
        <v>Energy Savings (Therms)</v>
      </c>
      <c r="I6" s="807"/>
      <c r="J6" s="807" t="str">
        <f>"Demand Savings ("&amp;Titles!F15&amp;")"</f>
        <v>Demand Savings (Therms)</v>
      </c>
      <c r="K6" s="807"/>
      <c r="L6" s="807" t="s">
        <v>163</v>
      </c>
      <c r="M6" s="807"/>
      <c r="N6" s="807" t="s">
        <v>281</v>
      </c>
      <c r="O6" s="807"/>
      <c r="P6" s="807"/>
      <c r="Q6" s="807"/>
      <c r="R6" s="807"/>
      <c r="S6" s="807"/>
      <c r="W6" s="216"/>
    </row>
    <row r="7" spans="1:23" ht="24.75" customHeight="1">
      <c r="A7" s="396"/>
      <c r="B7" s="410" t="s">
        <v>85</v>
      </c>
      <c r="C7" s="410" t="s">
        <v>86</v>
      </c>
      <c r="D7" s="410" t="s">
        <v>87</v>
      </c>
      <c r="E7" s="410" t="s">
        <v>88</v>
      </c>
      <c r="F7" s="410" t="s">
        <v>401</v>
      </c>
      <c r="G7" s="410" t="s">
        <v>402</v>
      </c>
      <c r="H7" s="410" t="s">
        <v>403</v>
      </c>
      <c r="I7" s="410" t="s">
        <v>404</v>
      </c>
      <c r="J7" s="410" t="s">
        <v>403</v>
      </c>
      <c r="K7" s="410" t="s">
        <v>404</v>
      </c>
      <c r="L7" s="410" t="s">
        <v>403</v>
      </c>
      <c r="M7" s="410" t="s">
        <v>402</v>
      </c>
      <c r="N7" s="410" t="str">
        <f>"Lifetime Savings ("&amp;Titles!F14&amp;")"</f>
        <v>Lifetime Savings (Therms)</v>
      </c>
      <c r="O7" s="410" t="s">
        <v>756</v>
      </c>
      <c r="P7" s="410" t="s">
        <v>279</v>
      </c>
      <c r="Q7" s="410" t="s">
        <v>453</v>
      </c>
      <c r="R7" s="410" t="s">
        <v>284</v>
      </c>
      <c r="S7" s="410" t="s">
        <v>757</v>
      </c>
      <c r="T7" s="396"/>
      <c r="U7" s="218"/>
      <c r="V7" s="218"/>
      <c r="W7" s="218"/>
    </row>
    <row r="8" spans="1:23">
      <c r="B8" s="451" t="str">
        <f>Data!B4</f>
        <v>Residential Solutions Program</v>
      </c>
      <c r="C8" s="451" t="str">
        <f>Data!C4</f>
        <v>Res/Small Business</v>
      </c>
      <c r="D8" s="451" t="str">
        <f>Data!D4</f>
        <v>Prescriptive/Standard Offer</v>
      </c>
      <c r="E8" s="451" t="str">
        <f>Data!E4</f>
        <v>Implementing Contractor</v>
      </c>
      <c r="F8" s="450">
        <f>Data!K4</f>
        <v>7035299.9199999999</v>
      </c>
      <c r="G8" s="450">
        <f>Data!K29</f>
        <v>4568420.12</v>
      </c>
      <c r="H8" s="445">
        <f>Data!M4</f>
        <v>1101642</v>
      </c>
      <c r="I8" s="445">
        <f>Data!M29</f>
        <v>1101642</v>
      </c>
      <c r="J8" s="445" t="str">
        <f>Data!L4</f>
        <v>n/a</v>
      </c>
      <c r="K8" s="445" t="str">
        <f>Data!L29</f>
        <v>n/a</v>
      </c>
      <c r="L8" s="445">
        <f>Data!N4</f>
        <v>93318</v>
      </c>
      <c r="M8" s="445">
        <f>Data!N29</f>
        <v>93318</v>
      </c>
      <c r="N8" s="445">
        <f>Data!O29</f>
        <v>12842996</v>
      </c>
      <c r="O8" s="450">
        <f>Data!P29</f>
        <v>3621.54</v>
      </c>
      <c r="P8" s="450">
        <f>Data!Q29</f>
        <v>6249.28</v>
      </c>
      <c r="Q8" s="450">
        <f>Data!R29</f>
        <v>2627.74</v>
      </c>
      <c r="R8" s="452">
        <f>Data!S29</f>
        <v>1.7255863527670547</v>
      </c>
      <c r="S8" s="453">
        <f>Data!T29</f>
        <v>0.32546123795978249</v>
      </c>
      <c r="T8" s="396"/>
      <c r="U8" s="219"/>
      <c r="V8" s="217"/>
    </row>
    <row r="9" spans="1:23">
      <c r="B9" s="451" t="str">
        <f>Data!B5</f>
        <v>Access to Afford Energy &amp; Conservation</v>
      </c>
      <c r="C9" s="451" t="str">
        <f>Data!C5</f>
        <v>Residential</v>
      </c>
      <c r="D9" s="451" t="str">
        <f>Data!D5</f>
        <v>Prescriptive/Standard Offer</v>
      </c>
      <c r="E9" s="451" t="str">
        <f>Data!E5</f>
        <v>Implementing Contractor</v>
      </c>
      <c r="F9" s="450">
        <f>Data!K5</f>
        <v>1947356.51</v>
      </c>
      <c r="G9" s="450">
        <f>Data!K30</f>
        <v>1451885.4200000002</v>
      </c>
      <c r="H9" s="445">
        <f>Data!M5</f>
        <v>541439</v>
      </c>
      <c r="I9" s="445">
        <f>Data!M30</f>
        <v>541438.81000000006</v>
      </c>
      <c r="J9" s="445" t="str">
        <f>Data!L5</f>
        <v>n/a</v>
      </c>
      <c r="K9" s="445" t="str">
        <f>Data!L30</f>
        <v>n/a</v>
      </c>
      <c r="L9" s="445">
        <f>Data!N5</f>
        <v>64865</v>
      </c>
      <c r="M9" s="445">
        <f>Data!N30</f>
        <v>64865</v>
      </c>
      <c r="N9" s="445">
        <f>Data!O30</f>
        <v>3120176</v>
      </c>
      <c r="O9" s="450">
        <f>Data!P30</f>
        <v>1244.45</v>
      </c>
      <c r="P9" s="450">
        <f>Data!Q30</f>
        <v>5844.89</v>
      </c>
      <c r="Q9" s="450">
        <f>Data!R30</f>
        <v>4600.4400000000005</v>
      </c>
      <c r="R9" s="452">
        <f>Data!S30</f>
        <v>4.6967656394391097</v>
      </c>
      <c r="S9" s="453">
        <f>Data!T30</f>
        <v>0.43097678578706966</v>
      </c>
      <c r="T9" s="396"/>
      <c r="U9" s="219"/>
      <c r="V9" s="217"/>
    </row>
    <row r="10" spans="1:23">
      <c r="B10" s="451" t="str">
        <f>Data!B6</f>
        <v>Commercial Solutions</v>
      </c>
      <c r="C10" s="451" t="str">
        <f>Data!C6</f>
        <v>Commercial &amp; Industrial</v>
      </c>
      <c r="D10" s="451" t="str">
        <f>Data!D6</f>
        <v>Prescriptive/Standard Offer</v>
      </c>
      <c r="E10" s="451" t="str">
        <f>Data!E6</f>
        <v>Implementing Contractor</v>
      </c>
      <c r="F10" s="450">
        <f>Data!K6</f>
        <v>3927412.79</v>
      </c>
      <c r="G10" s="450">
        <f>Data!K31</f>
        <v>4335230.5199999996</v>
      </c>
      <c r="H10" s="445">
        <f>Data!M6</f>
        <v>1996743</v>
      </c>
      <c r="I10" s="445">
        <f>Data!M31</f>
        <v>1996742.95</v>
      </c>
      <c r="J10" s="445" t="str">
        <f>Data!L6</f>
        <v>n/a</v>
      </c>
      <c r="K10" s="445" t="str">
        <f>Data!L31</f>
        <v>n/a</v>
      </c>
      <c r="L10" s="445">
        <f>Data!N6</f>
        <v>687</v>
      </c>
      <c r="M10" s="445">
        <f>Data!N31</f>
        <v>687</v>
      </c>
      <c r="N10" s="445">
        <f>Data!O31</f>
        <v>26098682</v>
      </c>
      <c r="O10" s="450">
        <f>Data!P31</f>
        <v>5791.6</v>
      </c>
      <c r="P10" s="450">
        <f>Data!Q31</f>
        <v>12143.5</v>
      </c>
      <c r="Q10" s="450">
        <f>Data!R31</f>
        <v>6351.9</v>
      </c>
      <c r="R10" s="452">
        <f>Data!S31</f>
        <v>2.0967435596380963</v>
      </c>
      <c r="S10" s="453">
        <f>Data!T31</f>
        <v>0.26014145177270903</v>
      </c>
      <c r="T10" s="396"/>
      <c r="U10" s="219"/>
      <c r="V10" s="217"/>
    </row>
    <row r="11" spans="1:23">
      <c r="B11" s="451" t="str">
        <f>Data!B7</f>
        <v>Empty</v>
      </c>
      <c r="C11" s="451" t="str">
        <f>Data!C7</f>
        <v/>
      </c>
      <c r="D11" s="451" t="str">
        <f>Data!D7</f>
        <v/>
      </c>
      <c r="E11" s="451" t="str">
        <f>Data!E7</f>
        <v/>
      </c>
      <c r="F11" s="450">
        <f>Data!K7</f>
        <v>0</v>
      </c>
      <c r="G11" s="450">
        <f>Data!K32</f>
        <v>0</v>
      </c>
      <c r="H11" s="445">
        <f>Data!M7</f>
        <v>0</v>
      </c>
      <c r="I11" s="445">
        <f>Data!M32</f>
        <v>0</v>
      </c>
      <c r="J11" s="445" t="str">
        <f>Data!L7</f>
        <v>n/a</v>
      </c>
      <c r="K11" s="445" t="str">
        <f>Data!L32</f>
        <v>n/a</v>
      </c>
      <c r="L11" s="445">
        <f>Data!N7</f>
        <v>0</v>
      </c>
      <c r="M11" s="445">
        <f>Data!N32</f>
        <v>0</v>
      </c>
      <c r="N11" s="445">
        <f>Data!O32</f>
        <v>0</v>
      </c>
      <c r="O11" s="450">
        <f>Data!P32</f>
        <v>0</v>
      </c>
      <c r="P11" s="450">
        <f>Data!Q32</f>
        <v>0</v>
      </c>
      <c r="Q11" s="450">
        <f>Data!R32</f>
        <v>0</v>
      </c>
      <c r="R11" s="452" t="str">
        <f>Data!S32</f>
        <v>n/a</v>
      </c>
      <c r="S11" s="453" t="str">
        <f>Data!T32</f>
        <v>n/a</v>
      </c>
      <c r="T11" s="396"/>
      <c r="U11" s="219"/>
      <c r="V11" s="217"/>
    </row>
    <row r="12" spans="1:23">
      <c r="B12" s="451" t="str">
        <f>Data!B8</f>
        <v>Empty</v>
      </c>
      <c r="C12" s="451" t="str">
        <f>Data!C8</f>
        <v/>
      </c>
      <c r="D12" s="451" t="str">
        <f>Data!D8</f>
        <v/>
      </c>
      <c r="E12" s="451" t="str">
        <f>Data!E8</f>
        <v/>
      </c>
      <c r="F12" s="450">
        <f>Data!K8</f>
        <v>0</v>
      </c>
      <c r="G12" s="450">
        <f>Data!K33</f>
        <v>0</v>
      </c>
      <c r="H12" s="445">
        <f>Data!M8</f>
        <v>0</v>
      </c>
      <c r="I12" s="445">
        <f>Data!M33</f>
        <v>0</v>
      </c>
      <c r="J12" s="445" t="str">
        <f>Data!L8</f>
        <v>n/a</v>
      </c>
      <c r="K12" s="445" t="str">
        <f>Data!L33</f>
        <v>n/a</v>
      </c>
      <c r="L12" s="445">
        <f>Data!N8</f>
        <v>0</v>
      </c>
      <c r="M12" s="445">
        <f>Data!N33</f>
        <v>0</v>
      </c>
      <c r="N12" s="445">
        <f>Data!O33</f>
        <v>0</v>
      </c>
      <c r="O12" s="450">
        <f>Data!P33</f>
        <v>0</v>
      </c>
      <c r="P12" s="450">
        <f>Data!Q33</f>
        <v>0</v>
      </c>
      <c r="Q12" s="450">
        <f>Data!R33</f>
        <v>0</v>
      </c>
      <c r="R12" s="452" t="str">
        <f>Data!S33</f>
        <v>n/a</v>
      </c>
      <c r="S12" s="453" t="str">
        <f>Data!T33</f>
        <v>n/a</v>
      </c>
      <c r="T12" s="396"/>
      <c r="U12" s="219"/>
      <c r="V12" s="217"/>
    </row>
    <row r="13" spans="1:23">
      <c r="B13" s="451" t="str">
        <f>Data!B9</f>
        <v>Empty</v>
      </c>
      <c r="C13" s="451" t="str">
        <f>Data!C9</f>
        <v/>
      </c>
      <c r="D13" s="451" t="str">
        <f>Data!D9</f>
        <v/>
      </c>
      <c r="E13" s="451" t="str">
        <f>Data!E9</f>
        <v/>
      </c>
      <c r="F13" s="450">
        <f>Data!K9</f>
        <v>0</v>
      </c>
      <c r="G13" s="450">
        <f>Data!K34</f>
        <v>0</v>
      </c>
      <c r="H13" s="445">
        <f>Data!M9</f>
        <v>0</v>
      </c>
      <c r="I13" s="445">
        <f>Data!M34</f>
        <v>0</v>
      </c>
      <c r="J13" s="445" t="str">
        <f>Data!L9</f>
        <v>n/a</v>
      </c>
      <c r="K13" s="445" t="str">
        <f>Data!L34</f>
        <v>n/a</v>
      </c>
      <c r="L13" s="445">
        <f>Data!N9</f>
        <v>0</v>
      </c>
      <c r="M13" s="445">
        <f>Data!N34</f>
        <v>0</v>
      </c>
      <c r="N13" s="445">
        <f>Data!O34</f>
        <v>0</v>
      </c>
      <c r="O13" s="450">
        <f>Data!P34</f>
        <v>0</v>
      </c>
      <c r="P13" s="450">
        <f>Data!Q34</f>
        <v>0</v>
      </c>
      <c r="Q13" s="450">
        <f>Data!R34</f>
        <v>0</v>
      </c>
      <c r="R13" s="452" t="str">
        <f>Data!S34</f>
        <v>n/a</v>
      </c>
      <c r="S13" s="453" t="str">
        <f>Data!T34</f>
        <v>n/a</v>
      </c>
      <c r="T13" s="396"/>
      <c r="U13" s="219"/>
      <c r="V13" s="217"/>
    </row>
    <row r="14" spans="1:23">
      <c r="B14" s="451" t="str">
        <f>Data!B10</f>
        <v>Empty</v>
      </c>
      <c r="C14" s="451" t="str">
        <f>Data!C10</f>
        <v/>
      </c>
      <c r="D14" s="451" t="str">
        <f>Data!D10</f>
        <v/>
      </c>
      <c r="E14" s="451" t="str">
        <f>Data!E10</f>
        <v/>
      </c>
      <c r="F14" s="450">
        <f>Data!K10</f>
        <v>0</v>
      </c>
      <c r="G14" s="450">
        <f>Data!K35</f>
        <v>0</v>
      </c>
      <c r="H14" s="445">
        <f>Data!M10</f>
        <v>0</v>
      </c>
      <c r="I14" s="445">
        <f>Data!M35</f>
        <v>0</v>
      </c>
      <c r="J14" s="445" t="str">
        <f>Data!L10</f>
        <v>n/a</v>
      </c>
      <c r="K14" s="445" t="str">
        <f>Data!L35</f>
        <v>n/a</v>
      </c>
      <c r="L14" s="445">
        <f>Data!N10</f>
        <v>0</v>
      </c>
      <c r="M14" s="445">
        <f>Data!N35</f>
        <v>0</v>
      </c>
      <c r="N14" s="445">
        <f>Data!O35</f>
        <v>0</v>
      </c>
      <c r="O14" s="450">
        <f>Data!P35</f>
        <v>0</v>
      </c>
      <c r="P14" s="450">
        <f>Data!Q35</f>
        <v>0</v>
      </c>
      <c r="Q14" s="450">
        <f>Data!R35</f>
        <v>0</v>
      </c>
      <c r="R14" s="452" t="str">
        <f>Data!S35</f>
        <v>n/a</v>
      </c>
      <c r="S14" s="453" t="str">
        <f>Data!T35</f>
        <v>n/a</v>
      </c>
      <c r="T14" s="396"/>
      <c r="U14" s="219"/>
      <c r="V14" s="217"/>
    </row>
    <row r="15" spans="1:23">
      <c r="B15" s="451" t="str">
        <f>Data!B11</f>
        <v>Empty</v>
      </c>
      <c r="C15" s="451" t="str">
        <f>Data!C11</f>
        <v/>
      </c>
      <c r="D15" s="451" t="str">
        <f>Data!D11</f>
        <v/>
      </c>
      <c r="E15" s="451" t="str">
        <f>Data!E11</f>
        <v/>
      </c>
      <c r="F15" s="450">
        <f>Data!K11</f>
        <v>0</v>
      </c>
      <c r="G15" s="450">
        <f>Data!K36</f>
        <v>0</v>
      </c>
      <c r="H15" s="445">
        <f>Data!M11</f>
        <v>0</v>
      </c>
      <c r="I15" s="445">
        <f>Data!M36</f>
        <v>0</v>
      </c>
      <c r="J15" s="445" t="str">
        <f>Data!L11</f>
        <v>n/a</v>
      </c>
      <c r="K15" s="445" t="str">
        <f>Data!L36</f>
        <v>n/a</v>
      </c>
      <c r="L15" s="445">
        <f>Data!N11</f>
        <v>0</v>
      </c>
      <c r="M15" s="445">
        <f>Data!N36</f>
        <v>0</v>
      </c>
      <c r="N15" s="445">
        <f>Data!O36</f>
        <v>0</v>
      </c>
      <c r="O15" s="450">
        <f>Data!P36</f>
        <v>0</v>
      </c>
      <c r="P15" s="450">
        <f>Data!Q36</f>
        <v>0</v>
      </c>
      <c r="Q15" s="450">
        <f>Data!R36</f>
        <v>0</v>
      </c>
      <c r="R15" s="452" t="str">
        <f>Data!S36</f>
        <v>n/a</v>
      </c>
      <c r="S15" s="453" t="str">
        <f>Data!T36</f>
        <v>n/a</v>
      </c>
      <c r="T15" s="396"/>
      <c r="U15" s="219"/>
      <c r="V15" s="217"/>
    </row>
    <row r="16" spans="1:23">
      <c r="B16" s="451" t="str">
        <f>Data!B12</f>
        <v>Empty</v>
      </c>
      <c r="C16" s="451" t="str">
        <f>Data!C12</f>
        <v/>
      </c>
      <c r="D16" s="451" t="str">
        <f>Data!D12</f>
        <v/>
      </c>
      <c r="E16" s="451" t="str">
        <f>Data!E12</f>
        <v/>
      </c>
      <c r="F16" s="450">
        <f>Data!K12</f>
        <v>0</v>
      </c>
      <c r="G16" s="450">
        <f>Data!K37</f>
        <v>0</v>
      </c>
      <c r="H16" s="445">
        <f>Data!M12</f>
        <v>0</v>
      </c>
      <c r="I16" s="445">
        <f>Data!M37</f>
        <v>0</v>
      </c>
      <c r="J16" s="445" t="str">
        <f>Data!L12</f>
        <v>n/a</v>
      </c>
      <c r="K16" s="445" t="str">
        <f>Data!L37</f>
        <v>n/a</v>
      </c>
      <c r="L16" s="445">
        <f>Data!N12</f>
        <v>0</v>
      </c>
      <c r="M16" s="445">
        <f>Data!N37</f>
        <v>0</v>
      </c>
      <c r="N16" s="445">
        <f>Data!O37</f>
        <v>0</v>
      </c>
      <c r="O16" s="450">
        <f>Data!P37</f>
        <v>0</v>
      </c>
      <c r="P16" s="450">
        <f>Data!Q37</f>
        <v>0</v>
      </c>
      <c r="Q16" s="450">
        <f>Data!R37</f>
        <v>0</v>
      </c>
      <c r="R16" s="452" t="str">
        <f>Data!S37</f>
        <v>n/a</v>
      </c>
      <c r="S16" s="453" t="str">
        <f>Data!T37</f>
        <v>n/a</v>
      </c>
      <c r="T16" s="396"/>
      <c r="U16" s="219"/>
      <c r="V16" s="217"/>
    </row>
    <row r="17" spans="2:22">
      <c r="B17" s="451" t="str">
        <f>Data!B13</f>
        <v>Empty</v>
      </c>
      <c r="C17" s="451" t="str">
        <f>Data!C13</f>
        <v/>
      </c>
      <c r="D17" s="451" t="str">
        <f>Data!D13</f>
        <v/>
      </c>
      <c r="E17" s="451" t="str">
        <f>Data!E13</f>
        <v/>
      </c>
      <c r="F17" s="450">
        <f>Data!K13</f>
        <v>0</v>
      </c>
      <c r="G17" s="450">
        <f>Data!K38</f>
        <v>0</v>
      </c>
      <c r="H17" s="445">
        <f>Data!M13</f>
        <v>0</v>
      </c>
      <c r="I17" s="445">
        <f>Data!M38</f>
        <v>0</v>
      </c>
      <c r="J17" s="445" t="str">
        <f>Data!L13</f>
        <v>n/a</v>
      </c>
      <c r="K17" s="445" t="str">
        <f>Data!L38</f>
        <v>n/a</v>
      </c>
      <c r="L17" s="445">
        <f>Data!N13</f>
        <v>0</v>
      </c>
      <c r="M17" s="445">
        <f>Data!N38</f>
        <v>0</v>
      </c>
      <c r="N17" s="445">
        <f>Data!O38</f>
        <v>0</v>
      </c>
      <c r="O17" s="450">
        <f>Data!P38</f>
        <v>0</v>
      </c>
      <c r="P17" s="450">
        <f>Data!Q38</f>
        <v>0</v>
      </c>
      <c r="Q17" s="450">
        <f>Data!R38</f>
        <v>0</v>
      </c>
      <c r="R17" s="452" t="str">
        <f>Data!S38</f>
        <v>n/a</v>
      </c>
      <c r="S17" s="453" t="str">
        <f>Data!T38</f>
        <v>n/a</v>
      </c>
      <c r="U17" s="219"/>
      <c r="V17" s="217"/>
    </row>
    <row r="18" spans="2:22">
      <c r="B18" s="451" t="str">
        <f>Data!B14</f>
        <v>Empty</v>
      </c>
      <c r="C18" s="451" t="str">
        <f>Data!C14</f>
        <v/>
      </c>
      <c r="D18" s="451" t="str">
        <f>Data!D14</f>
        <v/>
      </c>
      <c r="E18" s="451" t="str">
        <f>Data!E14</f>
        <v/>
      </c>
      <c r="F18" s="450">
        <f>Data!K14</f>
        <v>0</v>
      </c>
      <c r="G18" s="450">
        <f>Data!K39</f>
        <v>0</v>
      </c>
      <c r="H18" s="445">
        <f>Data!M14</f>
        <v>0</v>
      </c>
      <c r="I18" s="445">
        <f>Data!M39</f>
        <v>0</v>
      </c>
      <c r="J18" s="445" t="str">
        <f>Data!L14</f>
        <v>n/a</v>
      </c>
      <c r="K18" s="445" t="str">
        <f>Data!L39</f>
        <v>n/a</v>
      </c>
      <c r="L18" s="445">
        <f>Data!N14</f>
        <v>0</v>
      </c>
      <c r="M18" s="445">
        <f>Data!N39</f>
        <v>0</v>
      </c>
      <c r="N18" s="445">
        <f>Data!O39</f>
        <v>0</v>
      </c>
      <c r="O18" s="450">
        <f>Data!P39</f>
        <v>0</v>
      </c>
      <c r="P18" s="450">
        <f>Data!Q39</f>
        <v>0</v>
      </c>
      <c r="Q18" s="450">
        <f>Data!R39</f>
        <v>0</v>
      </c>
      <c r="R18" s="452" t="str">
        <f>Data!S39</f>
        <v>n/a</v>
      </c>
      <c r="S18" s="453" t="str">
        <f>Data!T39</f>
        <v>n/a</v>
      </c>
      <c r="U18" s="219"/>
      <c r="V18" s="217"/>
    </row>
    <row r="19" spans="2:22">
      <c r="B19" s="451" t="str">
        <f>Data!B15</f>
        <v>Empty</v>
      </c>
      <c r="C19" s="451" t="str">
        <f>Data!C15</f>
        <v/>
      </c>
      <c r="D19" s="451" t="str">
        <f>Data!D15</f>
        <v/>
      </c>
      <c r="E19" s="451" t="str">
        <f>Data!E15</f>
        <v/>
      </c>
      <c r="F19" s="450">
        <f>Data!K15</f>
        <v>0</v>
      </c>
      <c r="G19" s="450">
        <f>Data!K40</f>
        <v>0</v>
      </c>
      <c r="H19" s="445">
        <f>Data!M15</f>
        <v>0</v>
      </c>
      <c r="I19" s="445">
        <f>Data!M40</f>
        <v>0</v>
      </c>
      <c r="J19" s="445" t="str">
        <f>Data!L15</f>
        <v>n/a</v>
      </c>
      <c r="K19" s="445" t="str">
        <f>Data!L40</f>
        <v>n/a</v>
      </c>
      <c r="L19" s="445">
        <f>Data!N15</f>
        <v>0</v>
      </c>
      <c r="M19" s="445">
        <f>Data!N40</f>
        <v>0</v>
      </c>
      <c r="N19" s="445">
        <f>Data!O40</f>
        <v>0</v>
      </c>
      <c r="O19" s="450">
        <f>Data!P40</f>
        <v>0</v>
      </c>
      <c r="P19" s="450">
        <f>Data!Q40</f>
        <v>0</v>
      </c>
      <c r="Q19" s="450">
        <f>Data!R40</f>
        <v>0</v>
      </c>
      <c r="R19" s="452" t="str">
        <f>Data!S40</f>
        <v>n/a</v>
      </c>
      <c r="S19" s="453" t="str">
        <f>Data!T40</f>
        <v>n/a</v>
      </c>
      <c r="U19" s="219"/>
      <c r="V19" s="217"/>
    </row>
    <row r="20" spans="2:22">
      <c r="B20" s="451" t="str">
        <f>Data!B16</f>
        <v>Empty</v>
      </c>
      <c r="C20" s="451" t="str">
        <f>Data!C16</f>
        <v/>
      </c>
      <c r="D20" s="451" t="str">
        <f>Data!D16</f>
        <v/>
      </c>
      <c r="E20" s="451" t="str">
        <f>Data!E16</f>
        <v/>
      </c>
      <c r="F20" s="450">
        <f>Data!K16</f>
        <v>0</v>
      </c>
      <c r="G20" s="450">
        <f>Data!K41</f>
        <v>0</v>
      </c>
      <c r="H20" s="445">
        <f>Data!M16</f>
        <v>0</v>
      </c>
      <c r="I20" s="445">
        <f>Data!M41</f>
        <v>0</v>
      </c>
      <c r="J20" s="445" t="str">
        <f>Data!L16</f>
        <v>n/a</v>
      </c>
      <c r="K20" s="445" t="str">
        <f>Data!L41</f>
        <v>n/a</v>
      </c>
      <c r="L20" s="445">
        <f>Data!N16</f>
        <v>0</v>
      </c>
      <c r="M20" s="445">
        <f>Data!N41</f>
        <v>0</v>
      </c>
      <c r="N20" s="445">
        <f>Data!O41</f>
        <v>0</v>
      </c>
      <c r="O20" s="450">
        <f>Data!P41</f>
        <v>0</v>
      </c>
      <c r="P20" s="450">
        <f>Data!Q41</f>
        <v>0</v>
      </c>
      <c r="Q20" s="450">
        <f>Data!R41</f>
        <v>0</v>
      </c>
      <c r="R20" s="452" t="str">
        <f>Data!S41</f>
        <v>n/a</v>
      </c>
      <c r="S20" s="453" t="str">
        <f>Data!T41</f>
        <v>n/a</v>
      </c>
      <c r="U20" s="219"/>
      <c r="V20" s="217"/>
    </row>
    <row r="21" spans="2:22">
      <c r="B21" s="451" t="str">
        <f>Data!B17</f>
        <v>Empty</v>
      </c>
      <c r="C21" s="451" t="str">
        <f>Data!C17</f>
        <v/>
      </c>
      <c r="D21" s="451" t="str">
        <f>Data!D17</f>
        <v/>
      </c>
      <c r="E21" s="451" t="str">
        <f>Data!E17</f>
        <v/>
      </c>
      <c r="F21" s="450">
        <f>Data!K17</f>
        <v>0</v>
      </c>
      <c r="G21" s="450">
        <f>Data!K42</f>
        <v>0</v>
      </c>
      <c r="H21" s="445">
        <f>Data!M17</f>
        <v>0</v>
      </c>
      <c r="I21" s="445">
        <f>Data!M42</f>
        <v>0</v>
      </c>
      <c r="J21" s="445" t="str">
        <f>Data!L17</f>
        <v>n/a</v>
      </c>
      <c r="K21" s="445" t="str">
        <f>Data!L42</f>
        <v>n/a</v>
      </c>
      <c r="L21" s="445">
        <f>Data!N17</f>
        <v>0</v>
      </c>
      <c r="M21" s="445">
        <f>Data!N42</f>
        <v>0</v>
      </c>
      <c r="N21" s="445">
        <f>Data!O42</f>
        <v>0</v>
      </c>
      <c r="O21" s="450">
        <f>Data!P42</f>
        <v>0</v>
      </c>
      <c r="P21" s="450">
        <f>Data!Q42</f>
        <v>0</v>
      </c>
      <c r="Q21" s="450">
        <f>Data!R42</f>
        <v>0</v>
      </c>
      <c r="R21" s="452" t="str">
        <f>Data!S42</f>
        <v>n/a</v>
      </c>
      <c r="S21" s="453" t="str">
        <f>Data!T42</f>
        <v>n/a</v>
      </c>
      <c r="U21" s="219"/>
      <c r="V21" s="217"/>
    </row>
    <row r="22" spans="2:22">
      <c r="B22" s="451" t="str">
        <f>Data!B18</f>
        <v>Empty</v>
      </c>
      <c r="C22" s="451" t="str">
        <f>Data!C18</f>
        <v/>
      </c>
      <c r="D22" s="451" t="str">
        <f>Data!D18</f>
        <v/>
      </c>
      <c r="E22" s="451" t="str">
        <f>Data!E18</f>
        <v/>
      </c>
      <c r="F22" s="450">
        <f>Data!K18</f>
        <v>0</v>
      </c>
      <c r="G22" s="450">
        <f>Data!K43</f>
        <v>0</v>
      </c>
      <c r="H22" s="445">
        <f>Data!M18</f>
        <v>0</v>
      </c>
      <c r="I22" s="445">
        <f>Data!M43</f>
        <v>0</v>
      </c>
      <c r="J22" s="445" t="str">
        <f>Data!L18</f>
        <v>n/a</v>
      </c>
      <c r="K22" s="445" t="str">
        <f>Data!L43</f>
        <v>n/a</v>
      </c>
      <c r="L22" s="445">
        <f>Data!N18</f>
        <v>0</v>
      </c>
      <c r="M22" s="445">
        <f>Data!N43</f>
        <v>0</v>
      </c>
      <c r="N22" s="445">
        <f>Data!O43</f>
        <v>0</v>
      </c>
      <c r="O22" s="450">
        <f>Data!P43</f>
        <v>0</v>
      </c>
      <c r="P22" s="450">
        <f>Data!Q43</f>
        <v>0</v>
      </c>
      <c r="Q22" s="450">
        <f>Data!R43</f>
        <v>0</v>
      </c>
      <c r="R22" s="452" t="str">
        <f>Data!S43</f>
        <v>n/a</v>
      </c>
      <c r="S22" s="453" t="str">
        <f>Data!T43</f>
        <v>n/a</v>
      </c>
      <c r="U22" s="219"/>
      <c r="V22" s="217"/>
    </row>
    <row r="23" spans="2:22">
      <c r="B23" s="451" t="str">
        <f>Data!B19</f>
        <v>Empty</v>
      </c>
      <c r="C23" s="451" t="str">
        <f>Data!C19</f>
        <v/>
      </c>
      <c r="D23" s="451" t="str">
        <f>Data!D19</f>
        <v/>
      </c>
      <c r="E23" s="451" t="str">
        <f>Data!E19</f>
        <v/>
      </c>
      <c r="F23" s="450">
        <f>Data!K19</f>
        <v>0</v>
      </c>
      <c r="G23" s="450">
        <f>Data!K44</f>
        <v>0</v>
      </c>
      <c r="H23" s="445">
        <f>Data!M19</f>
        <v>0</v>
      </c>
      <c r="I23" s="445">
        <f>Data!M44</f>
        <v>0</v>
      </c>
      <c r="J23" s="445" t="str">
        <f>Data!L19</f>
        <v>n/a</v>
      </c>
      <c r="K23" s="445" t="str">
        <f>Data!L44</f>
        <v>n/a</v>
      </c>
      <c r="L23" s="445">
        <f>Data!N19</f>
        <v>0</v>
      </c>
      <c r="M23" s="445">
        <f>Data!N44</f>
        <v>0</v>
      </c>
      <c r="N23" s="445">
        <f>Data!O44</f>
        <v>0</v>
      </c>
      <c r="O23" s="450">
        <f>Data!P44</f>
        <v>0</v>
      </c>
      <c r="P23" s="450">
        <f>Data!Q44</f>
        <v>0</v>
      </c>
      <c r="Q23" s="450">
        <f>Data!R44</f>
        <v>0</v>
      </c>
      <c r="R23" s="452" t="str">
        <f>Data!S44</f>
        <v>n/a</v>
      </c>
      <c r="S23" s="453" t="str">
        <f>Data!T44</f>
        <v>n/a</v>
      </c>
      <c r="U23" s="219"/>
      <c r="V23" s="217"/>
    </row>
    <row r="24" spans="2:22">
      <c r="B24" s="451" t="str">
        <f>Data!B20</f>
        <v>Empty</v>
      </c>
      <c r="C24" s="451" t="str">
        <f>Data!C20</f>
        <v/>
      </c>
      <c r="D24" s="451" t="str">
        <f>Data!D20</f>
        <v/>
      </c>
      <c r="E24" s="451" t="str">
        <f>Data!E20</f>
        <v/>
      </c>
      <c r="F24" s="450">
        <f>Data!K20</f>
        <v>0</v>
      </c>
      <c r="G24" s="450">
        <f>Data!K45</f>
        <v>0</v>
      </c>
      <c r="H24" s="445">
        <f>Data!M20</f>
        <v>0</v>
      </c>
      <c r="I24" s="445">
        <f>Data!M45</f>
        <v>0</v>
      </c>
      <c r="J24" s="445" t="str">
        <f>Data!L20</f>
        <v>n/a</v>
      </c>
      <c r="K24" s="445" t="str">
        <f>Data!L45</f>
        <v>n/a</v>
      </c>
      <c r="L24" s="445">
        <f>Data!N20</f>
        <v>0</v>
      </c>
      <c r="M24" s="445">
        <f>Data!N45</f>
        <v>0</v>
      </c>
      <c r="N24" s="445">
        <f>Data!O45</f>
        <v>0</v>
      </c>
      <c r="O24" s="450">
        <f>Data!P45</f>
        <v>0</v>
      </c>
      <c r="P24" s="450">
        <f>Data!Q45</f>
        <v>0</v>
      </c>
      <c r="Q24" s="450">
        <f>Data!R45</f>
        <v>0</v>
      </c>
      <c r="R24" s="452" t="str">
        <f>Data!S45</f>
        <v>n/a</v>
      </c>
      <c r="S24" s="453" t="str">
        <f>Data!T45</f>
        <v>n/a</v>
      </c>
      <c r="U24" s="219"/>
      <c r="V24" s="217"/>
    </row>
    <row r="25" spans="2:22">
      <c r="B25" s="451" t="str">
        <f>Data!B21</f>
        <v>Empty</v>
      </c>
      <c r="C25" s="451" t="str">
        <f>Data!C21</f>
        <v/>
      </c>
      <c r="D25" s="451" t="str">
        <f>Data!D21</f>
        <v/>
      </c>
      <c r="E25" s="451" t="str">
        <f>Data!E21</f>
        <v/>
      </c>
      <c r="F25" s="450">
        <f>Data!K21</f>
        <v>0</v>
      </c>
      <c r="G25" s="450">
        <f>Data!K46</f>
        <v>0</v>
      </c>
      <c r="H25" s="445">
        <f>Data!M21</f>
        <v>0</v>
      </c>
      <c r="I25" s="445">
        <f>Data!M46</f>
        <v>0</v>
      </c>
      <c r="J25" s="445" t="str">
        <f>Data!L21</f>
        <v>n/a</v>
      </c>
      <c r="K25" s="445" t="str">
        <f>Data!L46</f>
        <v>n/a</v>
      </c>
      <c r="L25" s="445">
        <f>Data!N21</f>
        <v>0</v>
      </c>
      <c r="M25" s="445">
        <f>Data!N46</f>
        <v>0</v>
      </c>
      <c r="N25" s="445">
        <f>Data!O46</f>
        <v>0</v>
      </c>
      <c r="O25" s="450">
        <f>Data!P46</f>
        <v>0</v>
      </c>
      <c r="P25" s="450">
        <f>Data!Q46</f>
        <v>0</v>
      </c>
      <c r="Q25" s="450">
        <f>Data!R46</f>
        <v>0</v>
      </c>
      <c r="R25" s="452" t="str">
        <f>Data!S46</f>
        <v>n/a</v>
      </c>
      <c r="S25" s="453" t="str">
        <f>Data!T46</f>
        <v>n/a</v>
      </c>
      <c r="U25" s="219"/>
      <c r="V25" s="217"/>
    </row>
    <row r="26" spans="2:22">
      <c r="B26" s="451" t="str">
        <f>Data!B22</f>
        <v>Empty</v>
      </c>
      <c r="C26" s="451" t="str">
        <f>Data!C22</f>
        <v/>
      </c>
      <c r="D26" s="451" t="str">
        <f>Data!D22</f>
        <v/>
      </c>
      <c r="E26" s="451" t="str">
        <f>Data!E22</f>
        <v/>
      </c>
      <c r="F26" s="450">
        <f>Data!K22</f>
        <v>0</v>
      </c>
      <c r="G26" s="450">
        <f>Data!K47</f>
        <v>0</v>
      </c>
      <c r="H26" s="445">
        <f>Data!M22</f>
        <v>0</v>
      </c>
      <c r="I26" s="445">
        <f>Data!M47</f>
        <v>0</v>
      </c>
      <c r="J26" s="445" t="str">
        <f>Data!L22</f>
        <v>n/a</v>
      </c>
      <c r="K26" s="445" t="str">
        <f>Data!L47</f>
        <v>n/a</v>
      </c>
      <c r="L26" s="445">
        <f>Data!N22</f>
        <v>0</v>
      </c>
      <c r="M26" s="445">
        <f>Data!N47</f>
        <v>0</v>
      </c>
      <c r="N26" s="445">
        <f>Data!O47</f>
        <v>0</v>
      </c>
      <c r="O26" s="450">
        <f>Data!P47</f>
        <v>0</v>
      </c>
      <c r="P26" s="450">
        <f>Data!Q47</f>
        <v>0</v>
      </c>
      <c r="Q26" s="450">
        <f>Data!R47</f>
        <v>0</v>
      </c>
      <c r="R26" s="452" t="str">
        <f>Data!S47</f>
        <v>n/a</v>
      </c>
      <c r="S26" s="453" t="str">
        <f>Data!T47</f>
        <v>n/a</v>
      </c>
      <c r="U26" s="219"/>
      <c r="V26" s="217"/>
    </row>
    <row r="27" spans="2:22">
      <c r="B27" s="451" t="str">
        <f>Data!B23</f>
        <v>Empty</v>
      </c>
      <c r="C27" s="451" t="str">
        <f>Data!C23</f>
        <v/>
      </c>
      <c r="D27" s="451" t="str">
        <f>Data!D23</f>
        <v/>
      </c>
      <c r="E27" s="451" t="str">
        <f>Data!E23</f>
        <v/>
      </c>
      <c r="F27" s="450">
        <f>Data!K23</f>
        <v>0</v>
      </c>
      <c r="G27" s="450">
        <f>Data!K48</f>
        <v>0</v>
      </c>
      <c r="H27" s="445">
        <f>Data!M23</f>
        <v>0</v>
      </c>
      <c r="I27" s="445">
        <f>Data!M48</f>
        <v>0</v>
      </c>
      <c r="J27" s="445" t="str">
        <f>Data!L23</f>
        <v>n/a</v>
      </c>
      <c r="K27" s="445" t="str">
        <f>Data!L48</f>
        <v>n/a</v>
      </c>
      <c r="L27" s="445">
        <f>Data!N23</f>
        <v>0</v>
      </c>
      <c r="M27" s="445">
        <f>Data!N48</f>
        <v>0</v>
      </c>
      <c r="N27" s="445">
        <f>Data!O48</f>
        <v>0</v>
      </c>
      <c r="O27" s="450">
        <f>Data!P48</f>
        <v>0</v>
      </c>
      <c r="P27" s="450">
        <f>Data!Q48</f>
        <v>0</v>
      </c>
      <c r="Q27" s="450">
        <f>Data!R48</f>
        <v>0</v>
      </c>
      <c r="R27" s="452" t="str">
        <f>Data!S48</f>
        <v>n/a</v>
      </c>
      <c r="S27" s="453" t="str">
        <f>Data!T48</f>
        <v>n/a</v>
      </c>
      <c r="U27" s="219"/>
      <c r="V27" s="217"/>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B1:U44"/>
  <sheetViews>
    <sheetView showGridLines="0" showRowColHeaders="0" zoomScale="90" zoomScaleNormal="90" workbookViewId="0">
      <pane ySplit="2" topLeftCell="A3" activePane="bottomLeft" state="frozen"/>
      <selection pane="bottomLeft" activeCell="F40" sqref="F40"/>
    </sheetView>
  </sheetViews>
  <sheetFormatPr defaultColWidth="9.140625" defaultRowHeight="12.75"/>
  <cols>
    <col min="1" max="1" width="1" style="2" customWidth="1"/>
    <col min="2" max="2" width="4" style="2" customWidth="1"/>
    <col min="3" max="3" width="36.28515625" style="2" bestFit="1" customWidth="1"/>
    <col min="4" max="4" width="21.85546875" style="2" customWidth="1"/>
    <col min="5" max="5" width="1.7109375" style="2" customWidth="1"/>
    <col min="6" max="9" width="13.7109375" style="2" customWidth="1"/>
    <col min="10" max="10" width="1.7109375" style="2" customWidth="1"/>
    <col min="11" max="14" width="10.7109375" style="2" customWidth="1"/>
    <col min="15" max="15" width="1.7109375" style="2" customWidth="1"/>
    <col min="16" max="19" width="10.7109375" style="2" customWidth="1"/>
    <col min="20" max="20" width="3.42578125" style="2" customWidth="1"/>
    <col min="21" max="21" width="3.140625" style="2" customWidth="1"/>
    <col min="22" max="22" width="1" style="2" customWidth="1"/>
    <col min="23" max="16384" width="9.140625" style="2"/>
  </cols>
  <sheetData>
    <row r="1" spans="2:21" ht="5.0999999999999996" customHeight="1" thickBot="1"/>
    <row r="2" spans="2:21" ht="38.25" customHeight="1">
      <c r="B2" s="722" t="s">
        <v>758</v>
      </c>
      <c r="C2" s="722"/>
      <c r="D2" s="722"/>
      <c r="E2" s="722"/>
      <c r="F2" s="722"/>
      <c r="G2" s="722"/>
      <c r="H2" s="722"/>
      <c r="I2" s="722"/>
      <c r="J2" s="722"/>
      <c r="K2" s="722"/>
      <c r="L2" s="722"/>
      <c r="M2" s="722"/>
      <c r="N2" s="722"/>
      <c r="O2" s="722"/>
      <c r="P2" s="722"/>
      <c r="Q2" s="722"/>
      <c r="R2" s="722"/>
      <c r="S2" s="722"/>
      <c r="T2" s="722"/>
      <c r="U2" s="722"/>
    </row>
    <row r="3" spans="2:21">
      <c r="B3" s="609"/>
      <c r="C3" s="610"/>
      <c r="D3" s="610"/>
      <c r="E3" s="610"/>
      <c r="F3" s="610"/>
      <c r="G3" s="610"/>
      <c r="H3" s="610"/>
      <c r="I3" s="610"/>
      <c r="J3" s="610"/>
      <c r="K3" s="610"/>
      <c r="L3" s="610"/>
      <c r="M3" s="610"/>
      <c r="N3" s="610"/>
      <c r="O3" s="610"/>
      <c r="P3" s="610"/>
      <c r="Q3" s="610"/>
      <c r="R3" s="610"/>
      <c r="S3" s="610"/>
      <c r="T3" s="610"/>
      <c r="U3" s="611"/>
    </row>
    <row r="4" spans="2:21">
      <c r="B4" s="3"/>
      <c r="U4" s="4"/>
    </row>
    <row r="5" spans="2:21" ht="16.5" thickBot="1">
      <c r="B5" s="3"/>
      <c r="F5" s="741" t="s">
        <v>759</v>
      </c>
      <c r="G5" s="741"/>
      <c r="H5" s="741"/>
      <c r="I5" s="741"/>
      <c r="K5" s="741" t="str">
        <f>"Annual Net Energy Savings ("&amp;Energy_1&amp;")"</f>
        <v>Annual Net Energy Savings (Therms)</v>
      </c>
      <c r="L5" s="741"/>
      <c r="M5" s="741"/>
      <c r="N5" s="741"/>
      <c r="P5" s="741" t="str">
        <f>"Annual Net Demand Savings ("&amp;Demand_1&amp;")"</f>
        <v>Annual Net Demand Savings (Therms)</v>
      </c>
      <c r="Q5" s="741"/>
      <c r="R5" s="741"/>
      <c r="S5" s="741"/>
      <c r="U5" s="4"/>
    </row>
    <row r="6" spans="2:21">
      <c r="B6" s="3"/>
      <c r="F6" s="742">
        <f>Titles!F2-1</f>
        <v>2024</v>
      </c>
      <c r="G6" s="743"/>
      <c r="H6" s="742">
        <f>F6+1</f>
        <v>2025</v>
      </c>
      <c r="I6" s="743"/>
      <c r="K6" s="742">
        <f>F6</f>
        <v>2024</v>
      </c>
      <c r="L6" s="743"/>
      <c r="M6" s="742">
        <f>H6</f>
        <v>2025</v>
      </c>
      <c r="N6" s="743"/>
      <c r="P6" s="742">
        <f>K6</f>
        <v>2024</v>
      </c>
      <c r="Q6" s="743"/>
      <c r="R6" s="742">
        <f>M6</f>
        <v>2025</v>
      </c>
      <c r="S6" s="743"/>
      <c r="U6" s="4"/>
    </row>
    <row r="7" spans="2:21" ht="12.75" customHeight="1" thickBot="1">
      <c r="B7" s="16"/>
      <c r="C7" s="8" t="s">
        <v>85</v>
      </c>
      <c r="D7" s="8" t="s">
        <v>86</v>
      </c>
      <c r="E7" s="8"/>
      <c r="F7" s="617" t="s">
        <v>401</v>
      </c>
      <c r="G7" s="618" t="s">
        <v>402</v>
      </c>
      <c r="H7" s="617" t="s">
        <v>401</v>
      </c>
      <c r="I7" s="618" t="s">
        <v>402</v>
      </c>
      <c r="J7" s="8"/>
      <c r="K7" s="617" t="s">
        <v>403</v>
      </c>
      <c r="L7" s="618" t="s">
        <v>404</v>
      </c>
      <c r="M7" s="617" t="s">
        <v>403</v>
      </c>
      <c r="N7" s="618" t="s">
        <v>404</v>
      </c>
      <c r="O7" s="8"/>
      <c r="P7" s="617" t="s">
        <v>403</v>
      </c>
      <c r="Q7" s="618" t="s">
        <v>404</v>
      </c>
      <c r="R7" s="617" t="s">
        <v>403</v>
      </c>
      <c r="S7" s="618" t="s">
        <v>404</v>
      </c>
      <c r="T7" s="8"/>
      <c r="U7" s="4"/>
    </row>
    <row r="8" spans="2:21" ht="12.75" customHeight="1">
      <c r="B8" s="241">
        <v>1</v>
      </c>
      <c r="C8" s="242" t="str">
        <f>'Program Descriptions'!C5</f>
        <v>Residential Solutions Program</v>
      </c>
      <c r="D8" s="242" t="str">
        <f>IF(ISBLANK('Program Descriptions'!E5),"",'Program Descriptions'!E5)</f>
        <v>Res/Small Business</v>
      </c>
      <c r="E8" s="242"/>
      <c r="F8" s="177">
        <f>'Prior Year Progam'!H9</f>
        <v>6955355</v>
      </c>
      <c r="G8" s="189">
        <f>'Prior Year Progam'!I9</f>
        <v>5455048</v>
      </c>
      <c r="H8" s="177">
        <f>Data!K4</f>
        <v>7035299.9199999999</v>
      </c>
      <c r="I8" s="178">
        <f>Data!K29</f>
        <v>4568420.12</v>
      </c>
      <c r="J8" s="8"/>
      <c r="K8" s="183">
        <f>'Prior Year Progam'!M9</f>
        <v>1636112</v>
      </c>
      <c r="L8" s="191">
        <f>'Prior Year Progam'!N9</f>
        <v>1295418</v>
      </c>
      <c r="M8" s="183">
        <f>Data!M4</f>
        <v>1101642</v>
      </c>
      <c r="N8" s="184">
        <f>Data!M29</f>
        <v>1101642</v>
      </c>
      <c r="O8" s="8"/>
      <c r="P8" s="183">
        <f>'Prior Year Progam'!R9</f>
        <v>0</v>
      </c>
      <c r="Q8" s="191">
        <f>'Prior Year Progam'!S9</f>
        <v>0</v>
      </c>
      <c r="R8" s="183" t="str">
        <f>Data!L4</f>
        <v>n/a</v>
      </c>
      <c r="S8" s="184" t="str">
        <f>Data!L29</f>
        <v>n/a</v>
      </c>
      <c r="T8" s="8"/>
      <c r="U8" s="4"/>
    </row>
    <row r="9" spans="2:21" ht="12.75" customHeight="1">
      <c r="B9" s="241">
        <v>2</v>
      </c>
      <c r="C9" s="242" t="str">
        <f>'Program Descriptions'!C6</f>
        <v>Access to Afford Energy &amp; Conservation</v>
      </c>
      <c r="D9" s="242" t="str">
        <f>IF(ISBLANK('Program Descriptions'!E6),"",'Program Descriptions'!E6)</f>
        <v>Residential</v>
      </c>
      <c r="E9" s="242"/>
      <c r="F9" s="179">
        <f>'Prior Year Progam'!H10</f>
        <v>1937440</v>
      </c>
      <c r="G9" s="454">
        <f>'Prior Year Progam'!I10</f>
        <v>1384375</v>
      </c>
      <c r="H9" s="179">
        <f>Data!K5</f>
        <v>1947356.51</v>
      </c>
      <c r="I9" s="180">
        <f>Data!K30</f>
        <v>1451885.4200000002</v>
      </c>
      <c r="J9" s="8"/>
      <c r="K9" s="185">
        <f>'Prior Year Progam'!M10</f>
        <v>580567</v>
      </c>
      <c r="L9" s="455">
        <f>'Prior Year Progam'!N10</f>
        <v>555010</v>
      </c>
      <c r="M9" s="185">
        <f>Data!M5</f>
        <v>541439</v>
      </c>
      <c r="N9" s="186">
        <f>Data!M30</f>
        <v>541438.81000000006</v>
      </c>
      <c r="O9" s="8"/>
      <c r="P9" s="185">
        <f>'Prior Year Progam'!R10</f>
        <v>0</v>
      </c>
      <c r="Q9" s="455">
        <f>'Prior Year Progam'!S10</f>
        <v>0</v>
      </c>
      <c r="R9" s="185" t="str">
        <f>Data!L5</f>
        <v>n/a</v>
      </c>
      <c r="S9" s="186" t="str">
        <f>Data!L30</f>
        <v>n/a</v>
      </c>
      <c r="T9" s="8"/>
      <c r="U9" s="4"/>
    </row>
    <row r="10" spans="2:21" ht="12.75" customHeight="1">
      <c r="B10" s="241">
        <v>3</v>
      </c>
      <c r="C10" s="242" t="str">
        <f>'Program Descriptions'!C7</f>
        <v>Commercial Solutions</v>
      </c>
      <c r="D10" s="242" t="str">
        <f>IF(ISBLANK('Program Descriptions'!E7),"",'Program Descriptions'!E7)</f>
        <v>Commercial &amp; Industrial</v>
      </c>
      <c r="E10" s="242"/>
      <c r="F10" s="179">
        <f>'Prior Year Progam'!H11</f>
        <v>3853972</v>
      </c>
      <c r="G10" s="454">
        <f>'Prior Year Progam'!I11</f>
        <v>3859088</v>
      </c>
      <c r="H10" s="179">
        <f>Data!K6</f>
        <v>3927412.79</v>
      </c>
      <c r="I10" s="180">
        <f>Data!K31</f>
        <v>4335230.5199999996</v>
      </c>
      <c r="J10" s="8"/>
      <c r="K10" s="185">
        <f>'Prior Year Progam'!M11</f>
        <v>1807949</v>
      </c>
      <c r="L10" s="455">
        <f>'Prior Year Progam'!N11</f>
        <v>1891964</v>
      </c>
      <c r="M10" s="185">
        <f>Data!M6</f>
        <v>1996743</v>
      </c>
      <c r="N10" s="186">
        <f>Data!M31</f>
        <v>1996742.95</v>
      </c>
      <c r="O10" s="8"/>
      <c r="P10" s="185">
        <f>'Prior Year Progam'!R11</f>
        <v>0</v>
      </c>
      <c r="Q10" s="455">
        <f>'Prior Year Progam'!S11</f>
        <v>0</v>
      </c>
      <c r="R10" s="185" t="str">
        <f>Data!L6</f>
        <v>n/a</v>
      </c>
      <c r="S10" s="186" t="str">
        <f>Data!L31</f>
        <v>n/a</v>
      </c>
      <c r="T10" s="8"/>
      <c r="U10" s="4"/>
    </row>
    <row r="11" spans="2:21" ht="12.75" customHeight="1">
      <c r="B11" s="241">
        <v>4</v>
      </c>
      <c r="C11" s="242" t="str">
        <f>'Program Descriptions'!C8</f>
        <v>Empty</v>
      </c>
      <c r="D11" s="242" t="str">
        <f>IF(ISBLANK('Program Descriptions'!E8),"",'Program Descriptions'!E8)</f>
        <v/>
      </c>
      <c r="E11" s="242"/>
      <c r="F11" s="179">
        <f>'Prior Year Progam'!H12</f>
        <v>0</v>
      </c>
      <c r="G11" s="454">
        <f>'Prior Year Progam'!I12</f>
        <v>0</v>
      </c>
      <c r="H11" s="179">
        <f>Data!K7</f>
        <v>0</v>
      </c>
      <c r="I11" s="180">
        <f>Data!K32</f>
        <v>0</v>
      </c>
      <c r="J11" s="8"/>
      <c r="K11" s="185">
        <f>'Prior Year Progam'!M12</f>
        <v>0</v>
      </c>
      <c r="L11" s="455">
        <f>'Prior Year Progam'!N12</f>
        <v>0</v>
      </c>
      <c r="M11" s="185">
        <f>Data!M7</f>
        <v>0</v>
      </c>
      <c r="N11" s="186">
        <f>Data!M32</f>
        <v>0</v>
      </c>
      <c r="O11" s="8"/>
      <c r="P11" s="185">
        <f>'Prior Year Progam'!R12</f>
        <v>0</v>
      </c>
      <c r="Q11" s="455">
        <f>'Prior Year Progam'!S12</f>
        <v>0</v>
      </c>
      <c r="R11" s="185" t="str">
        <f>Data!L7</f>
        <v>n/a</v>
      </c>
      <c r="S11" s="186" t="str">
        <f>Data!L32</f>
        <v>n/a</v>
      </c>
      <c r="T11" s="8"/>
      <c r="U11" s="4"/>
    </row>
    <row r="12" spans="2:21" ht="12.75" customHeight="1">
      <c r="B12" s="241">
        <v>5</v>
      </c>
      <c r="C12" s="242" t="str">
        <f>'Program Descriptions'!C9</f>
        <v>Empty</v>
      </c>
      <c r="D12" s="242" t="str">
        <f>IF(ISBLANK('Program Descriptions'!E9),"",'Program Descriptions'!E9)</f>
        <v/>
      </c>
      <c r="E12" s="242"/>
      <c r="F12" s="179">
        <f>'Prior Year Progam'!H13</f>
        <v>0</v>
      </c>
      <c r="G12" s="454">
        <f>'Prior Year Progam'!I13</f>
        <v>0</v>
      </c>
      <c r="H12" s="179">
        <f>Data!K8</f>
        <v>0</v>
      </c>
      <c r="I12" s="180">
        <f>Data!K33</f>
        <v>0</v>
      </c>
      <c r="J12" s="8"/>
      <c r="K12" s="185">
        <f>'Prior Year Progam'!M13</f>
        <v>0</v>
      </c>
      <c r="L12" s="455">
        <f>'Prior Year Progam'!N13</f>
        <v>0</v>
      </c>
      <c r="M12" s="185">
        <f>Data!M8</f>
        <v>0</v>
      </c>
      <c r="N12" s="186">
        <f>Data!M33</f>
        <v>0</v>
      </c>
      <c r="O12" s="8"/>
      <c r="P12" s="185">
        <f>'Prior Year Progam'!R13</f>
        <v>0</v>
      </c>
      <c r="Q12" s="455">
        <f>'Prior Year Progam'!S13</f>
        <v>0</v>
      </c>
      <c r="R12" s="185" t="str">
        <f>Data!L8</f>
        <v>n/a</v>
      </c>
      <c r="S12" s="186" t="str">
        <f>Data!L33</f>
        <v>n/a</v>
      </c>
      <c r="T12" s="8"/>
      <c r="U12" s="4"/>
    </row>
    <row r="13" spans="2:21" ht="12.75" customHeight="1">
      <c r="B13" s="241">
        <v>6</v>
      </c>
      <c r="C13" s="242" t="str">
        <f>'Program Descriptions'!C10</f>
        <v>Empty</v>
      </c>
      <c r="D13" s="242" t="str">
        <f>IF(ISBLANK('Program Descriptions'!E10),"",'Program Descriptions'!E10)</f>
        <v/>
      </c>
      <c r="E13" s="242"/>
      <c r="F13" s="179">
        <f>'Prior Year Progam'!H14</f>
        <v>0</v>
      </c>
      <c r="G13" s="454">
        <f>'Prior Year Progam'!I14</f>
        <v>0</v>
      </c>
      <c r="H13" s="179">
        <f>Data!K9</f>
        <v>0</v>
      </c>
      <c r="I13" s="180">
        <f>Data!K34</f>
        <v>0</v>
      </c>
      <c r="J13" s="8"/>
      <c r="K13" s="185">
        <f>'Prior Year Progam'!M14</f>
        <v>0</v>
      </c>
      <c r="L13" s="455">
        <f>'Prior Year Progam'!N14</f>
        <v>0</v>
      </c>
      <c r="M13" s="185">
        <f>Data!M9</f>
        <v>0</v>
      </c>
      <c r="N13" s="186">
        <f>Data!M34</f>
        <v>0</v>
      </c>
      <c r="O13" s="8"/>
      <c r="P13" s="185">
        <f>'Prior Year Progam'!R14</f>
        <v>0</v>
      </c>
      <c r="Q13" s="455">
        <f>'Prior Year Progam'!S14</f>
        <v>0</v>
      </c>
      <c r="R13" s="185" t="str">
        <f>Data!L9</f>
        <v>n/a</v>
      </c>
      <c r="S13" s="186" t="str">
        <f>Data!L34</f>
        <v>n/a</v>
      </c>
      <c r="T13" s="8"/>
      <c r="U13" s="4"/>
    </row>
    <row r="14" spans="2:21" ht="12.75" customHeight="1">
      <c r="B14" s="241">
        <v>7</v>
      </c>
      <c r="C14" s="242" t="str">
        <f>'Program Descriptions'!C11</f>
        <v>Empty</v>
      </c>
      <c r="D14" s="242" t="str">
        <f>IF(ISBLANK('Program Descriptions'!E11),"",'Program Descriptions'!E11)</f>
        <v/>
      </c>
      <c r="E14" s="242"/>
      <c r="F14" s="179">
        <f>'Prior Year Progam'!H15</f>
        <v>0</v>
      </c>
      <c r="G14" s="454">
        <f>'Prior Year Progam'!I15</f>
        <v>0</v>
      </c>
      <c r="H14" s="179">
        <f>Data!K10</f>
        <v>0</v>
      </c>
      <c r="I14" s="180">
        <f>Data!K35</f>
        <v>0</v>
      </c>
      <c r="J14" s="8"/>
      <c r="K14" s="185">
        <f>'Prior Year Progam'!M15</f>
        <v>0</v>
      </c>
      <c r="L14" s="455">
        <f>'Prior Year Progam'!N15</f>
        <v>0</v>
      </c>
      <c r="M14" s="185">
        <f>Data!M10</f>
        <v>0</v>
      </c>
      <c r="N14" s="186">
        <f>Data!M35</f>
        <v>0</v>
      </c>
      <c r="O14" s="8"/>
      <c r="P14" s="185">
        <f>'Prior Year Progam'!R15</f>
        <v>0</v>
      </c>
      <c r="Q14" s="455">
        <f>'Prior Year Progam'!S15</f>
        <v>0</v>
      </c>
      <c r="R14" s="185" t="str">
        <f>Data!L10</f>
        <v>n/a</v>
      </c>
      <c r="S14" s="186" t="str">
        <f>Data!L35</f>
        <v>n/a</v>
      </c>
      <c r="T14" s="8"/>
      <c r="U14" s="4"/>
    </row>
    <row r="15" spans="2:21" ht="12.75" customHeight="1">
      <c r="B15" s="241">
        <v>8</v>
      </c>
      <c r="C15" s="242" t="str">
        <f>'Program Descriptions'!C12</f>
        <v>Empty</v>
      </c>
      <c r="D15" s="242" t="str">
        <f>IF(ISBLANK('Program Descriptions'!E12),"",'Program Descriptions'!E12)</f>
        <v/>
      </c>
      <c r="E15" s="242"/>
      <c r="F15" s="179">
        <f>'Prior Year Progam'!H16</f>
        <v>0</v>
      </c>
      <c r="G15" s="454">
        <f>'Prior Year Progam'!I16</f>
        <v>0</v>
      </c>
      <c r="H15" s="179">
        <f>Data!K11</f>
        <v>0</v>
      </c>
      <c r="I15" s="180">
        <f>Data!K36</f>
        <v>0</v>
      </c>
      <c r="J15" s="8"/>
      <c r="K15" s="185">
        <f>'Prior Year Progam'!M16</f>
        <v>0</v>
      </c>
      <c r="L15" s="455">
        <f>'Prior Year Progam'!N16</f>
        <v>0</v>
      </c>
      <c r="M15" s="185">
        <f>Data!M11</f>
        <v>0</v>
      </c>
      <c r="N15" s="186">
        <f>Data!M36</f>
        <v>0</v>
      </c>
      <c r="O15" s="8"/>
      <c r="P15" s="185">
        <f>'Prior Year Progam'!R16</f>
        <v>0</v>
      </c>
      <c r="Q15" s="455">
        <f>'Prior Year Progam'!S16</f>
        <v>0</v>
      </c>
      <c r="R15" s="185" t="str">
        <f>Data!L11</f>
        <v>n/a</v>
      </c>
      <c r="S15" s="186" t="str">
        <f>Data!L36</f>
        <v>n/a</v>
      </c>
      <c r="T15" s="8"/>
      <c r="U15" s="4"/>
    </row>
    <row r="16" spans="2:21" ht="12.75" customHeight="1">
      <c r="B16" s="241">
        <v>9</v>
      </c>
      <c r="C16" s="242" t="str">
        <f>'Program Descriptions'!C13</f>
        <v>Empty</v>
      </c>
      <c r="D16" s="242" t="str">
        <f>IF(ISBLANK('Program Descriptions'!E13),"",'Program Descriptions'!E13)</f>
        <v/>
      </c>
      <c r="E16" s="242"/>
      <c r="F16" s="179">
        <f>'Prior Year Progam'!H17</f>
        <v>0</v>
      </c>
      <c r="G16" s="454">
        <f>'Prior Year Progam'!I17</f>
        <v>0</v>
      </c>
      <c r="H16" s="179">
        <f>Data!K12</f>
        <v>0</v>
      </c>
      <c r="I16" s="180">
        <f>Data!K37</f>
        <v>0</v>
      </c>
      <c r="J16" s="8"/>
      <c r="K16" s="185">
        <f>'Prior Year Progam'!M17</f>
        <v>0</v>
      </c>
      <c r="L16" s="455">
        <f>'Prior Year Progam'!N17</f>
        <v>0</v>
      </c>
      <c r="M16" s="185">
        <f>Data!M12</f>
        <v>0</v>
      </c>
      <c r="N16" s="186">
        <f>Data!M37</f>
        <v>0</v>
      </c>
      <c r="O16" s="8"/>
      <c r="P16" s="185">
        <f>'Prior Year Progam'!R17</f>
        <v>0</v>
      </c>
      <c r="Q16" s="455">
        <f>'Prior Year Progam'!S17</f>
        <v>0</v>
      </c>
      <c r="R16" s="185" t="str">
        <f>Data!L12</f>
        <v>n/a</v>
      </c>
      <c r="S16" s="186" t="str">
        <f>Data!L37</f>
        <v>n/a</v>
      </c>
      <c r="T16" s="8"/>
      <c r="U16" s="4"/>
    </row>
    <row r="17" spans="2:21" ht="12.75" customHeight="1">
      <c r="B17" s="241">
        <v>10</v>
      </c>
      <c r="C17" s="242" t="str">
        <f>'Program Descriptions'!C14</f>
        <v>Empty</v>
      </c>
      <c r="D17" s="242" t="str">
        <f>IF(ISBLANK('Program Descriptions'!E14),"",'Program Descriptions'!E14)</f>
        <v/>
      </c>
      <c r="E17" s="242"/>
      <c r="F17" s="179">
        <f>'Prior Year Progam'!H18</f>
        <v>0</v>
      </c>
      <c r="G17" s="454">
        <f>'Prior Year Progam'!I18</f>
        <v>0</v>
      </c>
      <c r="H17" s="179">
        <f>Data!K13</f>
        <v>0</v>
      </c>
      <c r="I17" s="180">
        <f>Data!K38</f>
        <v>0</v>
      </c>
      <c r="J17" s="8"/>
      <c r="K17" s="185">
        <f>'Prior Year Progam'!M18</f>
        <v>0</v>
      </c>
      <c r="L17" s="455">
        <f>'Prior Year Progam'!N18</f>
        <v>0</v>
      </c>
      <c r="M17" s="185">
        <f>Data!M13</f>
        <v>0</v>
      </c>
      <c r="N17" s="186">
        <f>Data!M38</f>
        <v>0</v>
      </c>
      <c r="O17" s="8"/>
      <c r="P17" s="185">
        <f>'Prior Year Progam'!R18</f>
        <v>0</v>
      </c>
      <c r="Q17" s="455">
        <f>'Prior Year Progam'!S18</f>
        <v>0</v>
      </c>
      <c r="R17" s="185" t="str">
        <f>Data!L13</f>
        <v>n/a</v>
      </c>
      <c r="S17" s="186" t="str">
        <f>Data!L38</f>
        <v>n/a</v>
      </c>
      <c r="T17" s="8"/>
      <c r="U17" s="4"/>
    </row>
    <row r="18" spans="2:21" ht="12.75" customHeight="1">
      <c r="B18" s="241">
        <v>11</v>
      </c>
      <c r="C18" s="242" t="str">
        <f>'Program Descriptions'!C15</f>
        <v>Empty</v>
      </c>
      <c r="D18" s="242" t="str">
        <f>IF(ISBLANK('Program Descriptions'!E15),"",'Program Descriptions'!E15)</f>
        <v/>
      </c>
      <c r="E18" s="242"/>
      <c r="F18" s="179">
        <f>'Prior Year Progam'!H19</f>
        <v>0</v>
      </c>
      <c r="G18" s="454">
        <f>'Prior Year Progam'!I19</f>
        <v>0</v>
      </c>
      <c r="H18" s="179">
        <f>Data!K14</f>
        <v>0</v>
      </c>
      <c r="I18" s="180">
        <f>Data!K39</f>
        <v>0</v>
      </c>
      <c r="J18" s="8"/>
      <c r="K18" s="185">
        <f>'Prior Year Progam'!M19</f>
        <v>0</v>
      </c>
      <c r="L18" s="455">
        <f>'Prior Year Progam'!N19</f>
        <v>0</v>
      </c>
      <c r="M18" s="185">
        <f>Data!M14</f>
        <v>0</v>
      </c>
      <c r="N18" s="186">
        <f>Data!M39</f>
        <v>0</v>
      </c>
      <c r="O18" s="8"/>
      <c r="P18" s="185">
        <f>'Prior Year Progam'!R19</f>
        <v>0</v>
      </c>
      <c r="Q18" s="455">
        <f>'Prior Year Progam'!S19</f>
        <v>0</v>
      </c>
      <c r="R18" s="185" t="str">
        <f>Data!L14</f>
        <v>n/a</v>
      </c>
      <c r="S18" s="186" t="str">
        <f>Data!L39</f>
        <v>n/a</v>
      </c>
      <c r="T18" s="8"/>
      <c r="U18" s="4"/>
    </row>
    <row r="19" spans="2:21" ht="12.75" customHeight="1">
      <c r="B19" s="241">
        <v>12</v>
      </c>
      <c r="C19" s="242" t="str">
        <f>'Program Descriptions'!C16</f>
        <v>Empty</v>
      </c>
      <c r="D19" s="242" t="str">
        <f>IF(ISBLANK('Program Descriptions'!E16),"",'Program Descriptions'!E16)</f>
        <v/>
      </c>
      <c r="E19" s="242"/>
      <c r="F19" s="179">
        <f>'Prior Year Progam'!H20</f>
        <v>0</v>
      </c>
      <c r="G19" s="454">
        <f>'Prior Year Progam'!I20</f>
        <v>0</v>
      </c>
      <c r="H19" s="179">
        <f>Data!K15</f>
        <v>0</v>
      </c>
      <c r="I19" s="180">
        <f>Data!K40</f>
        <v>0</v>
      </c>
      <c r="J19" s="8"/>
      <c r="K19" s="185">
        <f>'Prior Year Progam'!M20</f>
        <v>0</v>
      </c>
      <c r="L19" s="455">
        <f>'Prior Year Progam'!N20</f>
        <v>0</v>
      </c>
      <c r="M19" s="185">
        <f>Data!M15</f>
        <v>0</v>
      </c>
      <c r="N19" s="186">
        <f>Data!M40</f>
        <v>0</v>
      </c>
      <c r="O19" s="8"/>
      <c r="P19" s="185">
        <f>'Prior Year Progam'!R20</f>
        <v>0</v>
      </c>
      <c r="Q19" s="455">
        <f>'Prior Year Progam'!S20</f>
        <v>0</v>
      </c>
      <c r="R19" s="185" t="str">
        <f>Data!L15</f>
        <v>n/a</v>
      </c>
      <c r="S19" s="186" t="str">
        <f>Data!L40</f>
        <v>n/a</v>
      </c>
      <c r="T19" s="8"/>
      <c r="U19" s="4"/>
    </row>
    <row r="20" spans="2:21" ht="12.75" customHeight="1">
      <c r="B20" s="241">
        <v>13</v>
      </c>
      <c r="C20" s="242" t="str">
        <f>'Program Descriptions'!C17</f>
        <v>Empty</v>
      </c>
      <c r="D20" s="242" t="str">
        <f>IF(ISBLANK('Program Descriptions'!E17),"",'Program Descriptions'!E17)</f>
        <v/>
      </c>
      <c r="E20" s="242"/>
      <c r="F20" s="179">
        <f>'Prior Year Progam'!H21</f>
        <v>0</v>
      </c>
      <c r="G20" s="454">
        <f>'Prior Year Progam'!I21</f>
        <v>0</v>
      </c>
      <c r="H20" s="179">
        <f>Data!K16</f>
        <v>0</v>
      </c>
      <c r="I20" s="180">
        <f>Data!K41</f>
        <v>0</v>
      </c>
      <c r="J20" s="8"/>
      <c r="K20" s="185">
        <f>'Prior Year Progam'!M21</f>
        <v>0</v>
      </c>
      <c r="L20" s="455">
        <f>'Prior Year Progam'!N21</f>
        <v>0</v>
      </c>
      <c r="M20" s="185">
        <f>Data!M16</f>
        <v>0</v>
      </c>
      <c r="N20" s="186">
        <f>Data!M41</f>
        <v>0</v>
      </c>
      <c r="O20" s="8"/>
      <c r="P20" s="185">
        <f>'Prior Year Progam'!R21</f>
        <v>0</v>
      </c>
      <c r="Q20" s="455">
        <f>'Prior Year Progam'!S21</f>
        <v>0</v>
      </c>
      <c r="R20" s="185" t="str">
        <f>Data!L16</f>
        <v>n/a</v>
      </c>
      <c r="S20" s="186" t="str">
        <f>Data!L41</f>
        <v>n/a</v>
      </c>
      <c r="T20" s="8"/>
      <c r="U20" s="4"/>
    </row>
    <row r="21" spans="2:21" ht="12.75" customHeight="1">
      <c r="B21" s="241">
        <v>14</v>
      </c>
      <c r="C21" s="242" t="str">
        <f>'Program Descriptions'!C18</f>
        <v>Empty</v>
      </c>
      <c r="D21" s="242" t="str">
        <f>IF(ISBLANK('Program Descriptions'!E18),"",'Program Descriptions'!E18)</f>
        <v/>
      </c>
      <c r="E21" s="242"/>
      <c r="F21" s="179">
        <f>'Prior Year Progam'!H22</f>
        <v>0</v>
      </c>
      <c r="G21" s="454">
        <f>'Prior Year Progam'!I22</f>
        <v>0</v>
      </c>
      <c r="H21" s="179">
        <f>Data!K17</f>
        <v>0</v>
      </c>
      <c r="I21" s="180">
        <f>Data!K42</f>
        <v>0</v>
      </c>
      <c r="J21" s="8"/>
      <c r="K21" s="185">
        <f>'Prior Year Progam'!M22</f>
        <v>0</v>
      </c>
      <c r="L21" s="455">
        <f>'Prior Year Progam'!N22</f>
        <v>0</v>
      </c>
      <c r="M21" s="185">
        <f>Data!M17</f>
        <v>0</v>
      </c>
      <c r="N21" s="186">
        <f>Data!M42</f>
        <v>0</v>
      </c>
      <c r="O21" s="8"/>
      <c r="P21" s="185">
        <f>'Prior Year Progam'!R22</f>
        <v>0</v>
      </c>
      <c r="Q21" s="455">
        <f>'Prior Year Progam'!S22</f>
        <v>0</v>
      </c>
      <c r="R21" s="185" t="str">
        <f>Data!L17</f>
        <v>n/a</v>
      </c>
      <c r="S21" s="186" t="str">
        <f>Data!L42</f>
        <v>n/a</v>
      </c>
      <c r="T21" s="8"/>
      <c r="U21" s="4"/>
    </row>
    <row r="22" spans="2:21" ht="12.75" customHeight="1">
      <c r="B22" s="241">
        <v>15</v>
      </c>
      <c r="C22" s="242" t="str">
        <f>'Program Descriptions'!C19</f>
        <v>Empty</v>
      </c>
      <c r="D22" s="242" t="str">
        <f>IF(ISBLANK('Program Descriptions'!E19),"",'Program Descriptions'!E19)</f>
        <v/>
      </c>
      <c r="E22" s="242"/>
      <c r="F22" s="179">
        <f>'Prior Year Progam'!H23</f>
        <v>0</v>
      </c>
      <c r="G22" s="454">
        <f>'Prior Year Progam'!I23</f>
        <v>0</v>
      </c>
      <c r="H22" s="179">
        <f>Data!K18</f>
        <v>0</v>
      </c>
      <c r="I22" s="180">
        <f>Data!K43</f>
        <v>0</v>
      </c>
      <c r="J22" s="8"/>
      <c r="K22" s="185">
        <f>'Prior Year Progam'!M23</f>
        <v>0</v>
      </c>
      <c r="L22" s="455">
        <f>'Prior Year Progam'!N23</f>
        <v>0</v>
      </c>
      <c r="M22" s="185">
        <f>Data!M18</f>
        <v>0</v>
      </c>
      <c r="N22" s="186">
        <f>Data!M43</f>
        <v>0</v>
      </c>
      <c r="O22" s="8"/>
      <c r="P22" s="185">
        <f>'Prior Year Progam'!R23</f>
        <v>0</v>
      </c>
      <c r="Q22" s="455">
        <f>'Prior Year Progam'!S23</f>
        <v>0</v>
      </c>
      <c r="R22" s="185" t="str">
        <f>Data!L18</f>
        <v>n/a</v>
      </c>
      <c r="S22" s="186" t="str">
        <f>Data!L43</f>
        <v>n/a</v>
      </c>
      <c r="T22" s="8"/>
      <c r="U22" s="4"/>
    </row>
    <row r="23" spans="2:21" ht="12.75" customHeight="1">
      <c r="B23" s="241">
        <v>16</v>
      </c>
      <c r="C23" s="242" t="str">
        <f>'Program Descriptions'!C20</f>
        <v>Empty</v>
      </c>
      <c r="D23" s="242" t="str">
        <f>IF(ISBLANK('Program Descriptions'!E20),"",'Program Descriptions'!E20)</f>
        <v/>
      </c>
      <c r="E23" s="242"/>
      <c r="F23" s="179">
        <f>'Prior Year Progam'!H24</f>
        <v>0</v>
      </c>
      <c r="G23" s="454">
        <f>'Prior Year Progam'!I24</f>
        <v>0</v>
      </c>
      <c r="H23" s="179">
        <f>Data!K19</f>
        <v>0</v>
      </c>
      <c r="I23" s="180">
        <f>Data!K44</f>
        <v>0</v>
      </c>
      <c r="J23" s="8"/>
      <c r="K23" s="185">
        <f>'Prior Year Progam'!M24</f>
        <v>0</v>
      </c>
      <c r="L23" s="455">
        <f>'Prior Year Progam'!N24</f>
        <v>0</v>
      </c>
      <c r="M23" s="185">
        <f>Data!M19</f>
        <v>0</v>
      </c>
      <c r="N23" s="186">
        <f>Data!M44</f>
        <v>0</v>
      </c>
      <c r="O23" s="8"/>
      <c r="P23" s="185">
        <f>'Prior Year Progam'!R24</f>
        <v>0</v>
      </c>
      <c r="Q23" s="455">
        <f>'Prior Year Progam'!S24</f>
        <v>0</v>
      </c>
      <c r="R23" s="185" t="str">
        <f>Data!L19</f>
        <v>n/a</v>
      </c>
      <c r="S23" s="186" t="str">
        <f>Data!L44</f>
        <v>n/a</v>
      </c>
      <c r="T23" s="8"/>
      <c r="U23" s="4"/>
    </row>
    <row r="24" spans="2:21" ht="12.75" customHeight="1">
      <c r="B24" s="241">
        <v>17</v>
      </c>
      <c r="C24" s="242" t="str">
        <f>'Program Descriptions'!C21</f>
        <v>Empty</v>
      </c>
      <c r="D24" s="242" t="str">
        <f>IF(ISBLANK('Program Descriptions'!E21),"",'Program Descriptions'!E21)</f>
        <v/>
      </c>
      <c r="E24" s="242"/>
      <c r="F24" s="179">
        <f>'Prior Year Progam'!H25</f>
        <v>0</v>
      </c>
      <c r="G24" s="454">
        <f>'Prior Year Progam'!I25</f>
        <v>0</v>
      </c>
      <c r="H24" s="179">
        <f>Data!K20</f>
        <v>0</v>
      </c>
      <c r="I24" s="180">
        <f>Data!K45</f>
        <v>0</v>
      </c>
      <c r="J24" s="8"/>
      <c r="K24" s="185">
        <f>'Prior Year Progam'!M25</f>
        <v>0</v>
      </c>
      <c r="L24" s="455">
        <f>'Prior Year Progam'!N25</f>
        <v>0</v>
      </c>
      <c r="M24" s="185">
        <f>Data!M20</f>
        <v>0</v>
      </c>
      <c r="N24" s="186">
        <f>Data!M45</f>
        <v>0</v>
      </c>
      <c r="O24" s="8"/>
      <c r="P24" s="185">
        <f>'Prior Year Progam'!R25</f>
        <v>0</v>
      </c>
      <c r="Q24" s="455">
        <f>'Prior Year Progam'!S25</f>
        <v>0</v>
      </c>
      <c r="R24" s="185" t="str">
        <f>Data!L20</f>
        <v>n/a</v>
      </c>
      <c r="S24" s="186" t="str">
        <f>Data!L45</f>
        <v>n/a</v>
      </c>
      <c r="T24" s="8"/>
      <c r="U24" s="4"/>
    </row>
    <row r="25" spans="2:21" ht="12.75" customHeight="1">
      <c r="B25" s="241">
        <v>18</v>
      </c>
      <c r="C25" s="242" t="str">
        <f>'Program Descriptions'!C22</f>
        <v>Empty</v>
      </c>
      <c r="D25" s="242" t="str">
        <f>IF(ISBLANK('Program Descriptions'!E22),"",'Program Descriptions'!E22)</f>
        <v/>
      </c>
      <c r="E25" s="242"/>
      <c r="F25" s="179">
        <f>'Prior Year Progam'!H26</f>
        <v>0</v>
      </c>
      <c r="G25" s="454">
        <f>'Prior Year Progam'!I26</f>
        <v>0</v>
      </c>
      <c r="H25" s="179">
        <f>Data!K21</f>
        <v>0</v>
      </c>
      <c r="I25" s="180">
        <f>Data!K46</f>
        <v>0</v>
      </c>
      <c r="J25" s="8"/>
      <c r="K25" s="185">
        <f>'Prior Year Progam'!M26</f>
        <v>0</v>
      </c>
      <c r="L25" s="455">
        <f>'Prior Year Progam'!N26</f>
        <v>0</v>
      </c>
      <c r="M25" s="185">
        <f>Data!M21</f>
        <v>0</v>
      </c>
      <c r="N25" s="186">
        <f>Data!M46</f>
        <v>0</v>
      </c>
      <c r="O25" s="8"/>
      <c r="P25" s="185">
        <f>'Prior Year Progam'!R26</f>
        <v>0</v>
      </c>
      <c r="Q25" s="455">
        <f>'Prior Year Progam'!S26</f>
        <v>0</v>
      </c>
      <c r="R25" s="185" t="str">
        <f>Data!L21</f>
        <v>n/a</v>
      </c>
      <c r="S25" s="186" t="str">
        <f>Data!L46</f>
        <v>n/a</v>
      </c>
      <c r="T25" s="8"/>
      <c r="U25" s="4"/>
    </row>
    <row r="26" spans="2:21" ht="12.75" customHeight="1">
      <c r="B26" s="241">
        <v>19</v>
      </c>
      <c r="C26" s="242" t="str">
        <f>'Program Descriptions'!C23</f>
        <v>Empty</v>
      </c>
      <c r="D26" s="242" t="str">
        <f>IF(ISBLANK('Program Descriptions'!E23),"",'Program Descriptions'!E23)</f>
        <v/>
      </c>
      <c r="E26" s="242"/>
      <c r="F26" s="179">
        <f>'Prior Year Progam'!H27</f>
        <v>0</v>
      </c>
      <c r="G26" s="454">
        <f>'Prior Year Progam'!I27</f>
        <v>0</v>
      </c>
      <c r="H26" s="179">
        <f>Data!K22</f>
        <v>0</v>
      </c>
      <c r="I26" s="180">
        <f>Data!K47</f>
        <v>0</v>
      </c>
      <c r="J26" s="8"/>
      <c r="K26" s="185">
        <f>'Prior Year Progam'!M27</f>
        <v>0</v>
      </c>
      <c r="L26" s="455">
        <f>'Prior Year Progam'!N27</f>
        <v>0</v>
      </c>
      <c r="M26" s="185">
        <f>Data!M22</f>
        <v>0</v>
      </c>
      <c r="N26" s="186">
        <f>Data!M47</f>
        <v>0</v>
      </c>
      <c r="O26" s="8"/>
      <c r="P26" s="185">
        <f>'Prior Year Progam'!R27</f>
        <v>0</v>
      </c>
      <c r="Q26" s="455">
        <f>'Prior Year Progam'!S27</f>
        <v>0</v>
      </c>
      <c r="R26" s="185" t="str">
        <f>Data!L22</f>
        <v>n/a</v>
      </c>
      <c r="S26" s="186" t="str">
        <f>Data!L47</f>
        <v>n/a</v>
      </c>
      <c r="T26" s="8"/>
      <c r="U26" s="4"/>
    </row>
    <row r="27" spans="2:21" ht="12.75" customHeight="1" thickBot="1">
      <c r="B27" s="241">
        <v>20</v>
      </c>
      <c r="C27" s="242" t="str">
        <f>'Program Descriptions'!C24</f>
        <v>Empty</v>
      </c>
      <c r="D27" s="242" t="str">
        <f>IF(ISBLANK('Program Descriptions'!E24),"",'Program Descriptions'!E24)</f>
        <v/>
      </c>
      <c r="E27" s="242"/>
      <c r="F27" s="179">
        <f>'Prior Year Progam'!H28</f>
        <v>0</v>
      </c>
      <c r="G27" s="454">
        <f>'Prior Year Progam'!I28</f>
        <v>0</v>
      </c>
      <c r="H27" s="179">
        <f>Data!K23</f>
        <v>0</v>
      </c>
      <c r="I27" s="180">
        <f>Data!K48</f>
        <v>0</v>
      </c>
      <c r="J27" s="8"/>
      <c r="K27" s="187">
        <f>'Prior Year Progam'!M28</f>
        <v>0</v>
      </c>
      <c r="L27" s="192">
        <f>'Prior Year Progam'!N28</f>
        <v>0</v>
      </c>
      <c r="M27" s="187">
        <f>Data!M23</f>
        <v>0</v>
      </c>
      <c r="N27" s="188">
        <f>Data!M48</f>
        <v>0</v>
      </c>
      <c r="O27" s="8"/>
      <c r="P27" s="187">
        <f>'Prior Year Progam'!R28</f>
        <v>0</v>
      </c>
      <c r="Q27" s="192">
        <f>'Prior Year Progam'!S28</f>
        <v>0</v>
      </c>
      <c r="R27" s="187" t="str">
        <f>Data!L23</f>
        <v>n/a</v>
      </c>
      <c r="S27" s="188" t="str">
        <f>Data!L48</f>
        <v>n/a</v>
      </c>
      <c r="T27" s="8"/>
      <c r="U27" s="4"/>
    </row>
    <row r="28" spans="2:21" ht="12.75" customHeight="1" thickBot="1">
      <c r="B28" s="16"/>
      <c r="C28" s="242" t="s">
        <v>405</v>
      </c>
      <c r="D28" s="242"/>
      <c r="E28" s="242"/>
      <c r="F28" s="181">
        <f>'Prior Year Progam'!H29</f>
        <v>0</v>
      </c>
      <c r="G28" s="190">
        <f>'Prior Year Progam'!I29</f>
        <v>0</v>
      </c>
      <c r="H28" s="181">
        <f>'Table 2'!F29</f>
        <v>31695</v>
      </c>
      <c r="I28" s="182">
        <f>'Table 2'!G29</f>
        <v>15003.2</v>
      </c>
      <c r="J28" s="8"/>
      <c r="K28" s="8"/>
      <c r="L28" s="8"/>
      <c r="M28" s="8"/>
      <c r="N28" s="8"/>
      <c r="O28" s="8"/>
      <c r="P28" s="8"/>
      <c r="Q28" s="8"/>
      <c r="R28" s="8"/>
      <c r="S28" s="8"/>
      <c r="T28" s="8"/>
      <c r="U28" s="4"/>
    </row>
    <row r="29" spans="2:21" ht="12.75" customHeight="1">
      <c r="B29" s="16"/>
      <c r="C29" s="254"/>
      <c r="D29" s="254"/>
      <c r="E29" s="254"/>
      <c r="F29" s="10"/>
      <c r="G29" s="10"/>
      <c r="H29" s="10"/>
      <c r="I29" s="10"/>
      <c r="U29" s="4"/>
    </row>
    <row r="30" spans="2:21" ht="12.75" customHeight="1">
      <c r="B30" s="16"/>
      <c r="C30"/>
      <c r="D30" s="254" t="s">
        <v>406</v>
      </c>
      <c r="E30" s="254"/>
      <c r="F30" s="10">
        <f>SUM(F8:F28)</f>
        <v>12746767</v>
      </c>
      <c r="G30" s="10">
        <f>SUM(G8:G28)</f>
        <v>10698511</v>
      </c>
      <c r="H30" s="10">
        <f>SUM(H8:H28)</f>
        <v>12941764.219999999</v>
      </c>
      <c r="I30" s="10">
        <f>SUM(I8:I28)</f>
        <v>10370539.259999998</v>
      </c>
      <c r="K30" s="113">
        <f>SUM(K8:K27)</f>
        <v>4024628</v>
      </c>
      <c r="L30" s="113">
        <f t="shared" ref="L30:S30" si="0">SUM(L8:L27)</f>
        <v>3742392</v>
      </c>
      <c r="M30" s="113">
        <f t="shared" si="0"/>
        <v>3639824</v>
      </c>
      <c r="N30" s="113">
        <f t="shared" si="0"/>
        <v>3639823.76</v>
      </c>
      <c r="P30" s="113">
        <f t="shared" si="0"/>
        <v>0</v>
      </c>
      <c r="Q30" s="113">
        <f t="shared" si="0"/>
        <v>0</v>
      </c>
      <c r="R30" s="113">
        <f t="shared" si="0"/>
        <v>0</v>
      </c>
      <c r="S30" s="113">
        <f t="shared" si="0"/>
        <v>0</v>
      </c>
      <c r="U30" s="4"/>
    </row>
    <row r="31" spans="2:21" ht="12.75" customHeight="1">
      <c r="B31" s="16"/>
      <c r="C31"/>
      <c r="D31"/>
      <c r="E31"/>
      <c r="U31" s="4"/>
    </row>
    <row r="32" spans="2:21" ht="12.75" customHeight="1">
      <c r="B32" s="16"/>
      <c r="C32"/>
      <c r="D32"/>
      <c r="E32"/>
      <c r="U32" s="4"/>
    </row>
    <row r="33" spans="2:21" ht="12.75" customHeight="1">
      <c r="B33" s="16"/>
      <c r="C33" s="262"/>
      <c r="D33" s="262"/>
      <c r="E33" s="262"/>
      <c r="F33" s="263"/>
      <c r="G33" s="263"/>
      <c r="H33" s="263"/>
      <c r="I33" s="263"/>
      <c r="J33" s="264"/>
      <c r="K33" s="264"/>
      <c r="L33" s="264"/>
      <c r="M33" s="264"/>
      <c r="N33" s="264"/>
      <c r="O33" s="264"/>
      <c r="P33" s="264"/>
      <c r="Q33" s="264"/>
      <c r="R33" s="264"/>
      <c r="S33" s="264"/>
      <c r="U33" s="4"/>
    </row>
    <row r="34" spans="2:21" ht="12.75" customHeight="1">
      <c r="B34" s="16"/>
      <c r="C34"/>
      <c r="D34"/>
      <c r="E34"/>
      <c r="H34" s="748" t="s">
        <v>10</v>
      </c>
      <c r="I34" s="748"/>
      <c r="K34" s="749" t="s">
        <v>415</v>
      </c>
      <c r="L34" s="749"/>
      <c r="M34" s="749"/>
      <c r="N34" s="749"/>
      <c r="U34" s="4"/>
    </row>
    <row r="35" spans="2:21" ht="12.75" customHeight="1">
      <c r="B35" s="16"/>
      <c r="C35"/>
      <c r="D35"/>
      <c r="E35"/>
      <c r="H35" s="748" t="s">
        <v>416</v>
      </c>
      <c r="I35" s="748"/>
      <c r="K35" s="748" t="s">
        <v>755</v>
      </c>
      <c r="L35" s="748"/>
      <c r="M35" s="748" t="str">
        <f>"Savings ("&amp;Energy_2&amp;")"</f>
        <v>Savings (Therms)</v>
      </c>
      <c r="N35" s="748"/>
      <c r="U35" s="4"/>
    </row>
    <row r="36" spans="2:21" ht="12.75" customHeight="1">
      <c r="B36" s="16"/>
      <c r="C36"/>
      <c r="D36"/>
      <c r="E36"/>
      <c r="G36" s="254" t="s">
        <v>74</v>
      </c>
      <c r="H36" s="563" t="s">
        <v>418</v>
      </c>
      <c r="I36" s="563" t="str">
        <f>"Sales ("&amp;Energy_2&amp;")"</f>
        <v>Sales (Therms)</v>
      </c>
      <c r="K36" s="563" t="s">
        <v>401</v>
      </c>
      <c r="L36" s="563" t="s">
        <v>402</v>
      </c>
      <c r="M36" s="563" t="s">
        <v>401</v>
      </c>
      <c r="N36" s="563" t="s">
        <v>402</v>
      </c>
      <c r="U36" s="4"/>
    </row>
    <row r="37" spans="2:21" ht="12.75" customHeight="1">
      <c r="B37" s="16"/>
      <c r="C37"/>
      <c r="D37"/>
      <c r="E37"/>
      <c r="G37" s="266">
        <f>Prg_Year</f>
        <v>2025</v>
      </c>
      <c r="H37" s="456">
        <f>VLOOKUP(G37,Tables!$B$44:$H$48,2,FALSE)</f>
        <v>491725009</v>
      </c>
      <c r="I37" s="457">
        <f>VLOOKUP(G37,Tables!$B$44:$H$48,3,FALSE)</f>
        <v>582922020</v>
      </c>
      <c r="K37" s="456">
        <f>VLOOKUP(G37,Tables!$B$44:$H$48,4,FALSE)</f>
        <v>12941764.219999999</v>
      </c>
      <c r="L37" s="456">
        <f>VLOOKUP(G37,Tables!$B$44:$H$48,5,FALSE)</f>
        <v>10370539.26</v>
      </c>
      <c r="M37" s="457">
        <f>VLOOKUP(G37,Tables!$B$44:$H$48,6,FALSE)</f>
        <v>3639824</v>
      </c>
      <c r="N37" s="457">
        <f>VLOOKUP(G37,Tables!$B$44:$H$48,7,FALSE)</f>
        <v>3639823.76</v>
      </c>
      <c r="U37" s="4"/>
    </row>
    <row r="38" spans="2:21" ht="12.75" customHeight="1">
      <c r="B38" s="16"/>
      <c r="C38"/>
      <c r="D38"/>
      <c r="E38"/>
      <c r="G38" s="266">
        <f>G37-1</f>
        <v>2024</v>
      </c>
      <c r="H38" s="456">
        <f>VLOOKUP(G38,Tables!$B$44:$H$48,2,FALSE)</f>
        <v>463969976</v>
      </c>
      <c r="I38" s="457">
        <f>VLOOKUP(G38,Tables!$B$44:$H$48,3,FALSE)</f>
        <v>590887528</v>
      </c>
      <c r="K38" s="456">
        <f>VLOOKUP(G38,Tables!$B$44:$H$48,4,FALSE)</f>
        <v>12873546</v>
      </c>
      <c r="L38" s="456">
        <f>VLOOKUP(G38,Tables!$B$44:$H$48,5,FALSE)</f>
        <v>10725767</v>
      </c>
      <c r="M38" s="457">
        <f>VLOOKUP(G38,Tables!$B$44:$H$48,6,FALSE)</f>
        <v>4024628</v>
      </c>
      <c r="N38" s="457">
        <f>VLOOKUP(G38,Tables!$B$44:$H$48,7,FALSE)</f>
        <v>3742393</v>
      </c>
      <c r="U38" s="4"/>
    </row>
    <row r="39" spans="2:21" ht="12.75" customHeight="1">
      <c r="B39" s="16"/>
      <c r="C39"/>
      <c r="D39"/>
      <c r="E39"/>
      <c r="G39" s="266">
        <f t="shared" ref="G39:G40" si="1">G38-1</f>
        <v>2023</v>
      </c>
      <c r="H39" s="456">
        <f>VLOOKUP(G39,Tables!$B$44:$H$48,2,FALSE)</f>
        <v>447950043</v>
      </c>
      <c r="I39" s="457">
        <f>VLOOKUP(G39,Tables!$B$44:$H$48,3,FALSE)</f>
        <v>628497665</v>
      </c>
      <c r="K39" s="456">
        <f>VLOOKUP(G39,Tables!$B$44:$H$48,4,FALSE)</f>
        <v>10241331</v>
      </c>
      <c r="L39" s="456">
        <f>VLOOKUP(G39,Tables!$B$44:$H$48,5,FALSE)</f>
        <v>8241200</v>
      </c>
      <c r="M39" s="457">
        <f>VLOOKUP(G39,Tables!$B$44:$H$48,6,FALSE)</f>
        <v>3934708</v>
      </c>
      <c r="N39" s="457">
        <f>VLOOKUP(G39,Tables!$B$44:$H$48,7,FALSE)</f>
        <v>3726152</v>
      </c>
      <c r="U39" s="4"/>
    </row>
    <row r="40" spans="2:21" ht="12.75" customHeight="1">
      <c r="B40" s="16"/>
      <c r="C40"/>
      <c r="D40"/>
      <c r="E40"/>
      <c r="G40" s="266">
        <f t="shared" si="1"/>
        <v>2022</v>
      </c>
      <c r="H40" s="456">
        <f>VLOOKUP(G40,Tables!$B$44:$H$48,2,FALSE)</f>
        <v>380360550.02999997</v>
      </c>
      <c r="I40" s="457">
        <f>VLOOKUP(G40,Tables!$B$44:$H$48,3,FALSE)</f>
        <v>638961284</v>
      </c>
      <c r="K40" s="456">
        <f>VLOOKUP(G40,Tables!$B$44:$H$48,4,FALSE)</f>
        <v>10025159.423866944</v>
      </c>
      <c r="L40" s="456">
        <f>VLOOKUP(G40,Tables!$B$44:$H$48,5,FALSE)</f>
        <v>9130614.0999999996</v>
      </c>
      <c r="M40" s="457">
        <f>VLOOKUP(G40,Tables!$B$44:$H$48,6,FALSE)</f>
        <v>3832796.495161566</v>
      </c>
      <c r="N40" s="457">
        <f>VLOOKUP(G40,Tables!$B$44:$H$48,7,FALSE)</f>
        <v>4124913</v>
      </c>
      <c r="U40" s="4"/>
    </row>
    <row r="41" spans="2:21" ht="12.75" customHeight="1">
      <c r="B41" s="16"/>
      <c r="C41"/>
      <c r="D41"/>
      <c r="E41"/>
      <c r="U41" s="4"/>
    </row>
    <row r="42" spans="2:21" ht="12.75" customHeight="1">
      <c r="B42" s="16"/>
      <c r="C42"/>
      <c r="D42"/>
      <c r="E42"/>
      <c r="U42" s="4"/>
    </row>
    <row r="43" spans="2:21" ht="12.75" customHeight="1">
      <c r="B43" s="16"/>
      <c r="C43"/>
      <c r="D43"/>
      <c r="E43"/>
      <c r="U43" s="4"/>
    </row>
    <row r="44" spans="2:21" ht="12.75" customHeight="1">
      <c r="B44" s="5"/>
      <c r="C44" s="6"/>
      <c r="D44" s="6"/>
      <c r="E44" s="6"/>
      <c r="F44" s="6"/>
      <c r="G44" s="6"/>
      <c r="H44" s="6"/>
      <c r="I44" s="6"/>
      <c r="J44" s="6"/>
      <c r="K44" s="6"/>
      <c r="L44" s="6"/>
      <c r="M44" s="6"/>
      <c r="N44" s="6"/>
      <c r="O44" s="6"/>
      <c r="P44" s="6"/>
      <c r="Q44" s="6"/>
      <c r="R44" s="6"/>
      <c r="S44" s="6"/>
      <c r="T44" s="6"/>
      <c r="U44" s="7"/>
    </row>
  </sheetData>
  <sheetProtection algorithmName="SHA-512" hashValue="InxyUflk2ORFearPhiKzCknlXvkmU44V05rMSRXWPAAmdPR/PP3HrBIEQiuylOW6Bxjym2WJ5XfgDBIPS1ctyw==" saltValue="U0fKkBH9Hx/+IkxIngBJ3Q==" spinCount="100000"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FF0000"/>
  </sheetPr>
  <dimension ref="A1:F33"/>
  <sheetViews>
    <sheetView workbookViewId="0">
      <selection activeCell="F2" sqref="F2"/>
    </sheetView>
  </sheetViews>
  <sheetFormatPr defaultRowHeight="12.75"/>
  <cols>
    <col min="1" max="1" width="10.85546875" bestFit="1" customWidth="1"/>
    <col min="2" max="2" width="20.28515625" bestFit="1" customWidth="1"/>
    <col min="3" max="3" width="28.28515625" customWidth="1"/>
    <col min="5" max="5" width="12.42578125" customWidth="1"/>
    <col min="6" max="6" width="47.5703125" bestFit="1" customWidth="1"/>
  </cols>
  <sheetData>
    <row r="1" spans="1:6">
      <c r="A1" s="396" t="s">
        <v>760</v>
      </c>
      <c r="B1" s="396" t="s">
        <v>32</v>
      </c>
      <c r="E1" s="396" t="s">
        <v>259</v>
      </c>
      <c r="F1" s="26" t="str">
        <f>'Utility Information'!D6</f>
        <v>SUA</v>
      </c>
    </row>
    <row r="2" spans="1:6">
      <c r="A2">
        <v>1</v>
      </c>
      <c r="B2" s="155" t="s">
        <v>34</v>
      </c>
      <c r="E2" s="396" t="s">
        <v>669</v>
      </c>
      <c r="F2" s="26">
        <f>'Utility Information'!D7</f>
        <v>2025</v>
      </c>
    </row>
    <row r="3" spans="1:6">
      <c r="A3">
        <v>2</v>
      </c>
      <c r="B3" s="155" t="s">
        <v>36</v>
      </c>
      <c r="E3" s="396" t="s">
        <v>68</v>
      </c>
      <c r="F3" s="26" t="str">
        <f>'Utility Information'!F5</f>
        <v>Natural Gas</v>
      </c>
    </row>
    <row r="4" spans="1:6">
      <c r="A4">
        <v>3</v>
      </c>
      <c r="B4" s="155" t="s">
        <v>39</v>
      </c>
    </row>
    <row r="5" spans="1:6">
      <c r="A5">
        <v>4</v>
      </c>
      <c r="B5" s="155" t="s">
        <v>42</v>
      </c>
      <c r="E5" s="396" t="s">
        <v>761</v>
      </c>
      <c r="F5" s="26" t="str">
        <f>F1&amp;" - "&amp;F2&amp;" "&amp;B1</f>
        <v>SUA - 2025 EE Portfolio Information</v>
      </c>
    </row>
    <row r="6" spans="1:6">
      <c r="A6">
        <v>5</v>
      </c>
      <c r="B6" s="155" t="s">
        <v>44</v>
      </c>
      <c r="E6" s="396" t="s">
        <v>762</v>
      </c>
      <c r="F6" s="26" t="str">
        <f>F1&amp;" - "&amp;F2&amp;" "&amp;B11</f>
        <v>SUA - 2025 Program Year Evaluation</v>
      </c>
    </row>
    <row r="7" spans="1:6">
      <c r="A7">
        <v>6</v>
      </c>
      <c r="B7" s="155" t="s">
        <v>763</v>
      </c>
    </row>
    <row r="8" spans="1:6">
      <c r="E8" s="396" t="s">
        <v>764</v>
      </c>
      <c r="F8" t="str">
        <f>F2&amp;" "&amp;B1</f>
        <v>2025 EE Portfolio Information</v>
      </c>
    </row>
    <row r="9" spans="1:6">
      <c r="E9" s="396" t="s">
        <v>765</v>
      </c>
      <c r="F9" t="str">
        <f>F2&amp;" "&amp;B11</f>
        <v>2025 Program Year Evaluation</v>
      </c>
    </row>
    <row r="10" spans="1:6">
      <c r="E10" s="396" t="s">
        <v>766</v>
      </c>
      <c r="F10" s="396" t="s">
        <v>58</v>
      </c>
    </row>
    <row r="11" spans="1:6">
      <c r="A11" s="396" t="s">
        <v>760</v>
      </c>
      <c r="B11" s="396" t="s">
        <v>647</v>
      </c>
    </row>
    <row r="12" spans="1:6">
      <c r="A12">
        <v>1</v>
      </c>
      <c r="B12" s="155" t="s">
        <v>48</v>
      </c>
      <c r="E12" s="76" t="str">
        <f>F3</f>
        <v>Natural Gas</v>
      </c>
    </row>
    <row r="13" spans="1:6">
      <c r="A13">
        <v>2</v>
      </c>
      <c r="B13" s="155" t="s">
        <v>50</v>
      </c>
      <c r="E13" s="396" t="s">
        <v>767</v>
      </c>
      <c r="F13" t="str">
        <f>INDEX($B$24:$C$25,MATCH(E$12,$A$24:$A$25,0),MATCH($E13,$B$23:$C$23,0))</f>
        <v>Therms</v>
      </c>
    </row>
    <row r="14" spans="1:6">
      <c r="A14">
        <v>3</v>
      </c>
      <c r="B14" s="155" t="s">
        <v>52</v>
      </c>
      <c r="E14" s="396" t="s">
        <v>768</v>
      </c>
      <c r="F14" t="str">
        <f>INDEX($B$24:$C$25,MATCH(E$12,$A$24:$A$25,0),MATCH($E14,$B$23:$C$23,0))</f>
        <v>Therms</v>
      </c>
    </row>
    <row r="15" spans="1:6">
      <c r="A15">
        <v>4</v>
      </c>
      <c r="B15" s="155" t="s">
        <v>56</v>
      </c>
      <c r="C15" s="396" t="s">
        <v>769</v>
      </c>
      <c r="E15" s="396" t="s">
        <v>770</v>
      </c>
      <c r="F15" t="str">
        <f>INDEX($B$28:$C$29,MATCH(E$12,$A$28:$A$29,0),MATCH($E15,$B$27:$C$27,0))</f>
        <v>Therms</v>
      </c>
    </row>
    <row r="16" spans="1:6">
      <c r="A16">
        <v>5</v>
      </c>
      <c r="B16" s="155" t="s">
        <v>57</v>
      </c>
      <c r="C16" s="396" t="s">
        <v>771</v>
      </c>
      <c r="E16" s="396" t="s">
        <v>772</v>
      </c>
      <c r="F16" t="str">
        <f>INDEX($B$28:$C$29,MATCH(E$12,$A$28:$A$29,0),MATCH($E16,$B$27:$C$27,0))</f>
        <v>Therms</v>
      </c>
    </row>
    <row r="17" spans="1:3">
      <c r="A17">
        <v>6</v>
      </c>
      <c r="B17" s="155" t="s">
        <v>763</v>
      </c>
      <c r="C17" s="396"/>
    </row>
    <row r="19" spans="1:3">
      <c r="B19" s="396" t="s">
        <v>773</v>
      </c>
    </row>
    <row r="20" spans="1:3">
      <c r="B20" s="155" t="s">
        <v>774</v>
      </c>
    </row>
    <row r="21" spans="1:3">
      <c r="B21" s="155" t="s">
        <v>71</v>
      </c>
    </row>
    <row r="23" spans="1:3">
      <c r="B23" s="396" t="str">
        <f>E13</f>
        <v>Energy 1</v>
      </c>
      <c r="C23" s="396" t="str">
        <f>E14</f>
        <v>Energy 2</v>
      </c>
    </row>
    <row r="24" spans="1:3">
      <c r="A24" t="str">
        <f>B20</f>
        <v>Electric</v>
      </c>
      <c r="B24" s="155" t="s">
        <v>444</v>
      </c>
      <c r="C24" s="155" t="s">
        <v>775</v>
      </c>
    </row>
    <row r="25" spans="1:3">
      <c r="A25" t="str">
        <f>B21</f>
        <v>Natural Gas</v>
      </c>
      <c r="B25" s="155" t="s">
        <v>776</v>
      </c>
      <c r="C25" s="155" t="s">
        <v>776</v>
      </c>
    </row>
    <row r="27" spans="1:3">
      <c r="B27" s="396" t="str">
        <f>E15</f>
        <v>Demand 1</v>
      </c>
      <c r="C27" s="396" t="str">
        <f>E16</f>
        <v>Demand 2</v>
      </c>
    </row>
    <row r="28" spans="1:3">
      <c r="A28" t="str">
        <f>B20</f>
        <v>Electric</v>
      </c>
      <c r="B28" s="155" t="s">
        <v>442</v>
      </c>
      <c r="C28" s="155" t="s">
        <v>777</v>
      </c>
    </row>
    <row r="29" spans="1:3">
      <c r="A29" t="str">
        <f>B21</f>
        <v>Natural Gas</v>
      </c>
      <c r="B29" s="155" t="s">
        <v>776</v>
      </c>
      <c r="C29" s="155" t="s">
        <v>776</v>
      </c>
    </row>
    <row r="32" spans="1:3">
      <c r="B32" s="396" t="s">
        <v>778</v>
      </c>
    </row>
    <row r="33" spans="2:2">
      <c r="B33" s="155"/>
    </row>
  </sheetData>
  <phoneticPr fontId="0" type="noConversion"/>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FF0000"/>
  </sheetPr>
  <dimension ref="B1:K30"/>
  <sheetViews>
    <sheetView showGridLines="0" showRowColHeaders="0" topLeftCell="A2" zoomScale="110" zoomScaleNormal="110" workbookViewId="0">
      <selection activeCell="J11" sqref="J11"/>
    </sheetView>
  </sheetViews>
  <sheetFormatPr defaultRowHeight="12.75"/>
  <cols>
    <col min="1" max="1" width="1.7109375" customWidth="1"/>
    <col min="2" max="2" width="2.42578125" bestFit="1" customWidth="1"/>
    <col min="3" max="3" width="8" customWidth="1"/>
    <col min="4" max="4" width="26.5703125" bestFit="1" customWidth="1"/>
    <col min="5" max="5" width="15.5703125" hidden="1" customWidth="1"/>
    <col min="6" max="7" width="6.7109375" customWidth="1"/>
    <col min="8" max="8" width="9.7109375" customWidth="1"/>
    <col min="9" max="9" width="15.140625" hidden="1" customWidth="1"/>
    <col min="10" max="10" width="6.42578125" bestFit="1" customWidth="1"/>
    <col min="11" max="11" width="2.5703125" customWidth="1"/>
  </cols>
  <sheetData>
    <row r="1" spans="2:11" ht="9" customHeight="1" thickBot="1"/>
    <row r="2" spans="2:11" ht="36.75" customHeight="1">
      <c r="B2" s="801" t="s">
        <v>779</v>
      </c>
      <c r="C2" s="802"/>
      <c r="D2" s="802"/>
      <c r="E2" s="802"/>
      <c r="F2" s="802"/>
      <c r="G2" s="802"/>
      <c r="H2" s="802"/>
      <c r="I2" s="802"/>
      <c r="J2" s="802"/>
      <c r="K2" s="803"/>
    </row>
    <row r="3" spans="2:11" ht="60" customHeight="1">
      <c r="B3" s="372"/>
      <c r="C3" s="655"/>
      <c r="D3" s="655"/>
      <c r="E3" s="655"/>
      <c r="F3" s="655"/>
      <c r="G3" s="655"/>
      <c r="H3" s="655"/>
      <c r="I3" s="655"/>
      <c r="J3" s="655"/>
      <c r="K3" s="373"/>
    </row>
    <row r="4" spans="2:11">
      <c r="B4" s="16"/>
      <c r="K4" s="17"/>
    </row>
    <row r="5" spans="2:11">
      <c r="B5" s="363">
        <v>1</v>
      </c>
      <c r="C5" s="22" t="s">
        <v>32</v>
      </c>
      <c r="D5" s="22"/>
      <c r="E5" s="22" t="s">
        <v>780</v>
      </c>
      <c r="F5" s="397" t="s">
        <v>781</v>
      </c>
      <c r="I5" s="22" t="s">
        <v>780</v>
      </c>
      <c r="J5" s="397" t="s">
        <v>781</v>
      </c>
      <c r="K5" s="17"/>
    </row>
    <row r="6" spans="2:11" ht="15.75">
      <c r="B6" s="364"/>
      <c r="C6" s="303" t="s">
        <v>33</v>
      </c>
      <c r="D6" s="359" t="s">
        <v>34</v>
      </c>
      <c r="E6" s="365">
        <f>'Utility Information'!N14</f>
        <v>0</v>
      </c>
      <c r="F6" s="367" t="str">
        <f>IF(E6=0,"ü","û")</f>
        <v>ü</v>
      </c>
      <c r="H6" s="366" t="s">
        <v>659</v>
      </c>
      <c r="I6" s="365"/>
      <c r="J6" s="371" t="s">
        <v>646</v>
      </c>
      <c r="K6" s="17"/>
    </row>
    <row r="7" spans="2:11" ht="15">
      <c r="B7" s="364"/>
      <c r="C7" s="303" t="s">
        <v>35</v>
      </c>
      <c r="D7" s="301" t="s">
        <v>36</v>
      </c>
      <c r="E7" s="358">
        <f>'Program Descriptions'!L25</f>
        <v>0</v>
      </c>
      <c r="F7" s="368" t="str">
        <f>IF(E7=0,"ü","û")</f>
        <v>ü</v>
      </c>
      <c r="H7" s="357" t="s">
        <v>666</v>
      </c>
      <c r="I7" s="358">
        <f ca="1">'Table 2'!L30</f>
        <v>0</v>
      </c>
      <c r="J7" s="368" t="str">
        <f ca="1">IF(I7=0,"ü","û")</f>
        <v>ü</v>
      </c>
      <c r="K7" s="17"/>
    </row>
    <row r="8" spans="2:11" ht="15.75">
      <c r="B8" s="364"/>
      <c r="C8" s="303"/>
      <c r="D8" s="360" t="s">
        <v>37</v>
      </c>
      <c r="E8" s="458"/>
      <c r="F8" s="370" t="s">
        <v>646</v>
      </c>
      <c r="H8" s="366" t="s">
        <v>667</v>
      </c>
      <c r="I8" s="365"/>
      <c r="J8" s="371" t="s">
        <v>646</v>
      </c>
      <c r="K8" s="17"/>
    </row>
    <row r="9" spans="2:11" ht="15.75">
      <c r="B9" s="364"/>
      <c r="C9" s="303" t="s">
        <v>38</v>
      </c>
      <c r="D9" s="301" t="s">
        <v>39</v>
      </c>
      <c r="E9" s="358">
        <f>Budgets!N27</f>
        <v>0</v>
      </c>
      <c r="F9" s="368" t="str">
        <f>IF(E9=0,"ü","û")</f>
        <v>ü</v>
      </c>
      <c r="H9" s="357" t="s">
        <v>668</v>
      </c>
      <c r="I9" s="358"/>
      <c r="J9" s="374" t="s">
        <v>646</v>
      </c>
      <c r="K9" s="17"/>
    </row>
    <row r="10" spans="2:11" ht="15.75">
      <c r="B10" s="364"/>
      <c r="C10" s="303"/>
      <c r="D10" s="360" t="s">
        <v>40</v>
      </c>
      <c r="E10" s="365">
        <f>'Rec1'!N29</f>
        <v>0</v>
      </c>
      <c r="F10" s="367" t="str">
        <f>IF(E10=0,"ü","û")</f>
        <v>ü</v>
      </c>
      <c r="H10" s="366" t="s">
        <v>710</v>
      </c>
      <c r="I10" s="365"/>
      <c r="J10" s="371" t="s">
        <v>646</v>
      </c>
      <c r="K10" s="17"/>
    </row>
    <row r="11" spans="2:11" ht="15">
      <c r="B11" s="364"/>
      <c r="C11" s="303" t="s">
        <v>41</v>
      </c>
      <c r="D11" s="301" t="s">
        <v>42</v>
      </c>
      <c r="E11" s="358">
        <f>'Savings &amp; Participants'!N26</f>
        <v>0</v>
      </c>
      <c r="F11" s="368" t="str">
        <f>IF(E11=0,"ü","û")</f>
        <v>ü</v>
      </c>
      <c r="H11" s="357" t="s">
        <v>673</v>
      </c>
      <c r="I11" s="358">
        <f ca="1">'Report 1'!Q29</f>
        <v>0</v>
      </c>
      <c r="J11" s="368" t="str">
        <f ca="1">IF(I11=0,"ü","û")</f>
        <v>ü</v>
      </c>
      <c r="K11" s="17"/>
    </row>
    <row r="12" spans="2:11" ht="15.75">
      <c r="B12" s="364"/>
      <c r="C12" s="303" t="s">
        <v>43</v>
      </c>
      <c r="D12" s="361" t="s">
        <v>44</v>
      </c>
      <c r="E12" s="459"/>
      <c r="F12" s="369" t="s">
        <v>646</v>
      </c>
      <c r="H12" s="366" t="s">
        <v>675</v>
      </c>
      <c r="I12" s="365"/>
      <c r="J12" s="371" t="s">
        <v>646</v>
      </c>
      <c r="K12" s="17"/>
    </row>
    <row r="13" spans="2:11" ht="15.75">
      <c r="B13" s="364"/>
      <c r="C13" s="303"/>
      <c r="D13" s="304" t="s">
        <v>45</v>
      </c>
      <c r="E13" s="358">
        <f>External!D24</f>
        <v>0</v>
      </c>
      <c r="F13" s="368" t="str">
        <f>IF(E13=0,"ü","û")</f>
        <v>ü</v>
      </c>
      <c r="H13" s="357" t="s">
        <v>719</v>
      </c>
      <c r="I13" s="358"/>
      <c r="J13" s="374" t="s">
        <v>646</v>
      </c>
      <c r="K13" s="17"/>
    </row>
    <row r="14" spans="2:11" ht="15.75">
      <c r="B14" s="364"/>
      <c r="C14" s="303"/>
      <c r="D14" s="360" t="s">
        <v>46</v>
      </c>
      <c r="E14" s="365">
        <f>Internal!B13</f>
        <v>0</v>
      </c>
      <c r="F14" s="367" t="str">
        <f>IF(E14=0,"ü","û")</f>
        <v>ü</v>
      </c>
      <c r="H14" s="366" t="s">
        <v>782</v>
      </c>
      <c r="I14" s="365"/>
      <c r="J14" s="371" t="s">
        <v>646</v>
      </c>
      <c r="K14" s="17"/>
    </row>
    <row r="15" spans="2:11" ht="15">
      <c r="B15" s="363">
        <v>2</v>
      </c>
      <c r="C15" s="22" t="s">
        <v>47</v>
      </c>
      <c r="D15" s="23"/>
      <c r="E15" s="396"/>
      <c r="F15" s="362"/>
      <c r="K15" s="17"/>
    </row>
    <row r="16" spans="2:11" ht="15.75">
      <c r="B16" s="364"/>
      <c r="C16" s="303" t="s">
        <v>33</v>
      </c>
      <c r="D16" s="359" t="s">
        <v>48</v>
      </c>
      <c r="E16" s="459"/>
      <c r="F16" s="371" t="s">
        <v>646</v>
      </c>
      <c r="K16" s="17"/>
    </row>
    <row r="17" spans="2:11" ht="15">
      <c r="B17" s="364"/>
      <c r="C17" s="303"/>
      <c r="D17" s="304" t="s">
        <v>49</v>
      </c>
      <c r="E17" s="358">
        <f>'Rec2'!L11</f>
        <v>0</v>
      </c>
      <c r="F17" s="368" t="str">
        <f>IF(E17=0,"ü","û")</f>
        <v>ü</v>
      </c>
      <c r="K17" s="17"/>
    </row>
    <row r="18" spans="2:11" ht="15">
      <c r="B18" s="364"/>
      <c r="C18" s="303" t="s">
        <v>35</v>
      </c>
      <c r="D18" s="361" t="s">
        <v>50</v>
      </c>
      <c r="E18" s="365">
        <f>'Evaluated Savings'!N26</f>
        <v>0</v>
      </c>
      <c r="F18" s="367" t="str">
        <f>IF(E18=0,"ü","û")</f>
        <v>ü</v>
      </c>
      <c r="K18" s="17"/>
    </row>
    <row r="19" spans="2:11" ht="15">
      <c r="B19" s="364"/>
      <c r="C19" s="303"/>
      <c r="D19" s="304" t="s">
        <v>51</v>
      </c>
      <c r="E19" s="358">
        <f>'Savings Methodology'!N26</f>
        <v>2</v>
      </c>
      <c r="F19" s="368" t="str">
        <f>IF(E19=0,"ü","û")</f>
        <v>û</v>
      </c>
      <c r="K19" s="17"/>
    </row>
    <row r="20" spans="2:11" ht="15">
      <c r="B20" s="364"/>
      <c r="C20" s="303" t="s">
        <v>38</v>
      </c>
      <c r="D20" s="361" t="s">
        <v>52</v>
      </c>
      <c r="E20" s="365">
        <f>'Cost-Benefits'!P27</f>
        <v>0</v>
      </c>
      <c r="F20" s="367" t="str">
        <f>IF(E20=0,"ü","û")</f>
        <v>ü</v>
      </c>
      <c r="K20" s="17"/>
    </row>
    <row r="21" spans="2:11" ht="15">
      <c r="B21" s="364"/>
      <c r="C21" s="303"/>
      <c r="D21" s="304" t="s">
        <v>53</v>
      </c>
      <c r="E21" s="358">
        <f>'Key Assumptions'!N6</f>
        <v>0</v>
      </c>
      <c r="F21" s="368" t="str">
        <f>IF(E21=0,"ü","û")</f>
        <v>ü</v>
      </c>
      <c r="K21" s="17"/>
    </row>
    <row r="22" spans="2:11" ht="15.75">
      <c r="B22" s="364"/>
      <c r="C22" s="303"/>
      <c r="D22" s="360" t="s">
        <v>54</v>
      </c>
      <c r="E22" s="459"/>
      <c r="F22" s="371" t="s">
        <v>646</v>
      </c>
      <c r="K22" s="17"/>
    </row>
    <row r="23" spans="2:11" ht="15">
      <c r="B23" s="364"/>
      <c r="C23" s="303"/>
      <c r="D23" s="304" t="s">
        <v>55</v>
      </c>
      <c r="E23" s="358">
        <f>'Other CB Test'!O27</f>
        <v>0</v>
      </c>
      <c r="F23" s="368" t="str">
        <f>IF(E23=0,"ü","û")</f>
        <v>ü</v>
      </c>
      <c r="K23" s="17"/>
    </row>
    <row r="24" spans="2:11" ht="15.75">
      <c r="B24" s="364"/>
      <c r="C24" s="303" t="s">
        <v>41</v>
      </c>
      <c r="D24" s="361" t="s">
        <v>56</v>
      </c>
      <c r="E24" s="459"/>
      <c r="F24" s="371" t="s">
        <v>646</v>
      </c>
      <c r="K24" s="17"/>
    </row>
    <row r="25" spans="2:11" ht="15">
      <c r="B25" s="364"/>
      <c r="C25" s="303" t="s">
        <v>43</v>
      </c>
      <c r="D25" s="301" t="s">
        <v>57</v>
      </c>
      <c r="E25" s="358">
        <f>Incentives!O7</f>
        <v>0</v>
      </c>
      <c r="F25" s="368" t="str">
        <f>IF(E25=0,"ü","û")</f>
        <v>ü</v>
      </c>
      <c r="K25" s="17"/>
    </row>
    <row r="26" spans="2:11" ht="15">
      <c r="B26" s="363">
        <v>3</v>
      </c>
      <c r="C26" s="667" t="s">
        <v>58</v>
      </c>
      <c r="D26" s="667"/>
      <c r="E26" s="667"/>
      <c r="F26" s="362"/>
      <c r="K26" s="17"/>
    </row>
    <row r="27" spans="2:11" ht="15.75">
      <c r="B27" s="364"/>
      <c r="C27" s="303" t="s">
        <v>33</v>
      </c>
      <c r="D27" s="359" t="s">
        <v>59</v>
      </c>
      <c r="E27" s="459"/>
      <c r="F27" s="371" t="s">
        <v>646</v>
      </c>
      <c r="K27" s="17"/>
    </row>
    <row r="28" spans="2:11" ht="15">
      <c r="B28" s="21"/>
      <c r="C28" s="23"/>
      <c r="D28" s="304" t="s">
        <v>60</v>
      </c>
      <c r="E28" s="358">
        <f>'Prior Year Portfolio'!N14</f>
        <v>0</v>
      </c>
      <c r="F28" s="368" t="str">
        <f>IF(E28=0,"ü","û")</f>
        <v>ü</v>
      </c>
      <c r="K28" s="17"/>
    </row>
    <row r="29" spans="2:11" hidden="1">
      <c r="B29" s="16"/>
      <c r="D29" s="460" t="s">
        <v>783</v>
      </c>
      <c r="E29" s="358">
        <f ca="1">SUM(E6:E28)+SUM(I6:I14)</f>
        <v>2</v>
      </c>
      <c r="K29" s="17"/>
    </row>
    <row r="30" spans="2:11">
      <c r="B30" s="279"/>
      <c r="C30" s="280"/>
      <c r="D30" s="280"/>
      <c r="E30" s="280"/>
      <c r="F30" s="280"/>
      <c r="G30" s="280"/>
      <c r="H30" s="280"/>
      <c r="I30" s="280"/>
      <c r="J30" s="280"/>
      <c r="K30" s="281"/>
    </row>
  </sheetData>
  <sheetProtection password="C925" sheet="1" objects="1" scenarios="1"/>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A27"/>
  <sheetViews>
    <sheetView showGridLines="0" showRowColHeaders="0" zoomScale="115" zoomScaleNormal="115" workbookViewId="0">
      <pane xSplit="3" ySplit="3" topLeftCell="D4" activePane="bottomRight" state="frozen"/>
      <selection pane="topRight" activeCell="D1" sqref="D1"/>
      <selection pane="bottomLeft" activeCell="A4" sqref="A4"/>
      <selection pane="bottomRight" activeCell="A5" sqref="A5"/>
    </sheetView>
  </sheetViews>
  <sheetFormatPr defaultColWidth="9.140625" defaultRowHeight="12.75"/>
  <cols>
    <col min="1" max="1" width="1" style="2" customWidth="1"/>
    <col min="2" max="2" width="4.5703125" style="2" customWidth="1"/>
    <col min="3" max="3" width="41.42578125" style="2" customWidth="1"/>
    <col min="4" max="4" width="1.140625" style="2" customWidth="1"/>
    <col min="5" max="52" width="4.42578125" style="2" customWidth="1"/>
    <col min="53" max="53" width="3.28515625" style="2" customWidth="1"/>
    <col min="54" max="16384" width="9.140625" style="2"/>
  </cols>
  <sheetData>
    <row r="1" spans="2:53" ht="5.0999999999999996" customHeight="1" thickBot="1"/>
    <row r="2" spans="2:53" ht="38.25" customHeight="1" thickBot="1">
      <c r="B2" s="684" t="s">
        <v>97</v>
      </c>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row>
    <row r="3" spans="2:53" ht="45.75" customHeight="1">
      <c r="B3" s="530"/>
      <c r="C3" s="572"/>
      <c r="D3" s="572"/>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c r="BA3" s="531"/>
    </row>
    <row r="4" spans="2:53" ht="6" customHeight="1">
      <c r="B4" s="3"/>
      <c r="BA4" s="4"/>
    </row>
    <row r="5" spans="2:53" ht="19.5" customHeight="1">
      <c r="B5" s="3"/>
      <c r="E5" s="681" t="s">
        <v>98</v>
      </c>
      <c r="F5" s="682"/>
      <c r="G5" s="682"/>
      <c r="H5" s="682"/>
      <c r="I5" s="682"/>
      <c r="J5" s="682"/>
      <c r="K5" s="682"/>
      <c r="L5" s="682"/>
      <c r="M5" s="682"/>
      <c r="N5" s="682"/>
      <c r="O5" s="682"/>
      <c r="P5" s="682"/>
      <c r="Q5" s="682"/>
      <c r="R5" s="682"/>
      <c r="S5" s="682"/>
      <c r="T5" s="682"/>
      <c r="U5" s="682"/>
      <c r="V5" s="682"/>
      <c r="W5" s="682"/>
      <c r="X5" s="683"/>
      <c r="Y5" s="681" t="s">
        <v>99</v>
      </c>
      <c r="Z5" s="682"/>
      <c r="AA5" s="682"/>
      <c r="AB5" s="682"/>
      <c r="AC5" s="682"/>
      <c r="AD5" s="682"/>
      <c r="AE5" s="682"/>
      <c r="AF5" s="682"/>
      <c r="AG5" s="682"/>
      <c r="AH5" s="682"/>
      <c r="AI5" s="682"/>
      <c r="AJ5" s="682"/>
      <c r="AK5" s="682"/>
      <c r="AL5" s="682"/>
      <c r="AM5" s="682"/>
      <c r="AN5" s="682"/>
      <c r="AO5" s="682"/>
      <c r="AP5" s="682"/>
      <c r="AQ5" s="683"/>
      <c r="AR5" s="681" t="s">
        <v>100</v>
      </c>
      <c r="AS5" s="682"/>
      <c r="AT5" s="682"/>
      <c r="AU5" s="682"/>
      <c r="AV5" s="682"/>
      <c r="AW5" s="682"/>
      <c r="AX5" s="682"/>
      <c r="AY5" s="682"/>
      <c r="AZ5" s="683"/>
      <c r="BA5" s="4"/>
    </row>
    <row r="6" spans="2:53" ht="152.25" customHeight="1">
      <c r="B6" s="3"/>
      <c r="C6" s="312" t="s">
        <v>85</v>
      </c>
      <c r="D6" s="154"/>
      <c r="E6" s="577" t="s">
        <v>101</v>
      </c>
      <c r="F6" s="577" t="s">
        <v>102</v>
      </c>
      <c r="G6" s="577" t="s">
        <v>103</v>
      </c>
      <c r="H6" s="577" t="s">
        <v>104</v>
      </c>
      <c r="I6" s="577" t="s">
        <v>105</v>
      </c>
      <c r="J6" s="577" t="s">
        <v>106</v>
      </c>
      <c r="K6" s="577" t="s">
        <v>107</v>
      </c>
      <c r="L6" s="577" t="s">
        <v>108</v>
      </c>
      <c r="M6" s="577" t="s">
        <v>109</v>
      </c>
      <c r="N6" s="577" t="s">
        <v>110</v>
      </c>
      <c r="O6" s="577" t="s">
        <v>111</v>
      </c>
      <c r="P6" s="577" t="s">
        <v>112</v>
      </c>
      <c r="Q6" s="577" t="s">
        <v>113</v>
      </c>
      <c r="R6" s="577" t="s">
        <v>114</v>
      </c>
      <c r="S6" s="577" t="s">
        <v>115</v>
      </c>
      <c r="T6" s="577" t="s">
        <v>116</v>
      </c>
      <c r="U6" s="577" t="s">
        <v>117</v>
      </c>
      <c r="V6" s="577" t="s">
        <v>118</v>
      </c>
      <c r="W6" s="577" t="s">
        <v>119</v>
      </c>
      <c r="X6" s="577" t="s">
        <v>120</v>
      </c>
      <c r="Y6" s="577" t="s">
        <v>121</v>
      </c>
      <c r="Z6" s="577" t="s">
        <v>122</v>
      </c>
      <c r="AA6" s="577" t="s">
        <v>123</v>
      </c>
      <c r="AB6" s="577" t="s">
        <v>124</v>
      </c>
      <c r="AC6" s="577" t="s">
        <v>125</v>
      </c>
      <c r="AD6" s="577" t="s">
        <v>126</v>
      </c>
      <c r="AE6" s="577" t="s">
        <v>107</v>
      </c>
      <c r="AF6" s="577" t="s">
        <v>108</v>
      </c>
      <c r="AG6" s="577" t="s">
        <v>109</v>
      </c>
      <c r="AH6" s="577" t="s">
        <v>127</v>
      </c>
      <c r="AI6" s="577" t="s">
        <v>117</v>
      </c>
      <c r="AJ6" s="577" t="s">
        <v>128</v>
      </c>
      <c r="AK6" s="577" t="s">
        <v>129</v>
      </c>
      <c r="AL6" s="577" t="s">
        <v>130</v>
      </c>
      <c r="AM6" s="577" t="s">
        <v>131</v>
      </c>
      <c r="AN6" s="577" t="s">
        <v>132</v>
      </c>
      <c r="AO6" s="577" t="s">
        <v>133</v>
      </c>
      <c r="AP6" s="577" t="s">
        <v>134</v>
      </c>
      <c r="AQ6" s="577" t="s">
        <v>135</v>
      </c>
      <c r="AR6" s="577" t="s">
        <v>136</v>
      </c>
      <c r="AS6" s="577" t="s">
        <v>137</v>
      </c>
      <c r="AT6" s="577" t="s">
        <v>138</v>
      </c>
      <c r="AU6" s="577" t="s">
        <v>139</v>
      </c>
      <c r="AV6" s="577" t="s">
        <v>117</v>
      </c>
      <c r="AW6" s="577" t="s">
        <v>140</v>
      </c>
      <c r="AX6" s="577" t="s">
        <v>141</v>
      </c>
      <c r="AY6" s="577" t="s">
        <v>142</v>
      </c>
      <c r="AZ6" s="577" t="s">
        <v>143</v>
      </c>
      <c r="BA6" s="4"/>
    </row>
    <row r="7" spans="2:53" ht="15" customHeight="1">
      <c r="B7" s="241">
        <v>1</v>
      </c>
      <c r="C7" s="242" t="str">
        <f>'Program Descriptions'!C5</f>
        <v>Residential Solutions Program</v>
      </c>
      <c r="D7" s="242"/>
      <c r="E7" s="578"/>
      <c r="F7" s="578" t="s">
        <v>144</v>
      </c>
      <c r="G7" s="578" t="s">
        <v>144</v>
      </c>
      <c r="H7" s="578"/>
      <c r="I7" s="578"/>
      <c r="J7" s="578"/>
      <c r="K7" s="578"/>
      <c r="L7" s="578"/>
      <c r="M7" s="578"/>
      <c r="N7" s="578"/>
      <c r="O7" s="578"/>
      <c r="P7" s="578"/>
      <c r="Q7" s="578"/>
      <c r="R7" s="578"/>
      <c r="S7" s="578"/>
      <c r="T7" s="578" t="s">
        <v>144</v>
      </c>
      <c r="U7" s="578"/>
      <c r="V7" s="578" t="s">
        <v>144</v>
      </c>
      <c r="W7" s="578"/>
      <c r="X7" s="578" t="s">
        <v>144</v>
      </c>
      <c r="Y7" s="578"/>
      <c r="Z7" s="578"/>
      <c r="AA7" s="578"/>
      <c r="AB7" s="578"/>
      <c r="AC7" s="578"/>
      <c r="AD7" s="578"/>
      <c r="AE7" s="578"/>
      <c r="AF7" s="578"/>
      <c r="AG7" s="578"/>
      <c r="AH7" s="578"/>
      <c r="AI7" s="578"/>
      <c r="AJ7" s="578" t="s">
        <v>144</v>
      </c>
      <c r="AK7" s="578" t="s">
        <v>144</v>
      </c>
      <c r="AL7" s="578"/>
      <c r="AM7" s="578"/>
      <c r="AN7" s="578"/>
      <c r="AO7" s="578"/>
      <c r="AP7" s="578" t="s">
        <v>144</v>
      </c>
      <c r="AQ7" s="578"/>
      <c r="AR7" s="578"/>
      <c r="AS7" s="578"/>
      <c r="AT7" s="578" t="s">
        <v>144</v>
      </c>
      <c r="AU7" s="578" t="s">
        <v>144</v>
      </c>
      <c r="AV7" s="578"/>
      <c r="AW7" s="578"/>
      <c r="AX7" s="578"/>
      <c r="AY7" s="578"/>
      <c r="AZ7" s="578"/>
      <c r="BA7" s="4"/>
    </row>
    <row r="8" spans="2:53" ht="15" customHeight="1">
      <c r="B8" s="241">
        <v>2</v>
      </c>
      <c r="C8" s="242" t="str">
        <f>'Program Descriptions'!C6</f>
        <v>Access to Afford Energy &amp; Conservation</v>
      </c>
      <c r="D8" s="242"/>
      <c r="E8" s="578"/>
      <c r="F8" s="578" t="s">
        <v>144</v>
      </c>
      <c r="G8" s="578" t="s">
        <v>144</v>
      </c>
      <c r="H8" s="578"/>
      <c r="I8" s="578"/>
      <c r="J8" s="578"/>
      <c r="K8" s="578"/>
      <c r="L8" s="578"/>
      <c r="M8" s="578"/>
      <c r="N8" s="578"/>
      <c r="O8" s="578"/>
      <c r="P8" s="578"/>
      <c r="Q8" s="578"/>
      <c r="R8" s="578"/>
      <c r="S8" s="578"/>
      <c r="T8" s="578" t="s">
        <v>144</v>
      </c>
      <c r="U8" s="578"/>
      <c r="V8" s="578" t="s">
        <v>144</v>
      </c>
      <c r="W8" s="578"/>
      <c r="X8" s="578" t="s">
        <v>144</v>
      </c>
      <c r="Y8" s="578"/>
      <c r="Z8" s="578"/>
      <c r="AA8" s="578"/>
      <c r="AB8" s="578"/>
      <c r="AC8" s="578"/>
      <c r="AD8" s="578"/>
      <c r="AE8" s="578"/>
      <c r="AF8" s="578"/>
      <c r="AG8" s="578"/>
      <c r="AH8" s="578"/>
      <c r="AI8" s="578"/>
      <c r="AJ8" s="578"/>
      <c r="AK8" s="578"/>
      <c r="AL8" s="578"/>
      <c r="AM8" s="578"/>
      <c r="AN8" s="578"/>
      <c r="AO8" s="578"/>
      <c r="AP8" s="578"/>
      <c r="AQ8" s="578"/>
      <c r="AR8" s="578"/>
      <c r="AS8" s="578"/>
      <c r="AT8" s="578" t="s">
        <v>144</v>
      </c>
      <c r="AU8" s="578"/>
      <c r="AV8" s="578"/>
      <c r="AW8" s="578"/>
      <c r="AX8" s="578"/>
      <c r="AY8" s="578"/>
      <c r="AZ8" s="578"/>
      <c r="BA8" s="4"/>
    </row>
    <row r="9" spans="2:53" ht="15" customHeight="1">
      <c r="B9" s="241">
        <v>3</v>
      </c>
      <c r="C9" s="242" t="str">
        <f>'Program Descriptions'!C7</f>
        <v>Commercial Solutions</v>
      </c>
      <c r="D9" s="242"/>
      <c r="E9" s="578"/>
      <c r="F9" s="578"/>
      <c r="G9" s="578"/>
      <c r="H9" s="578"/>
      <c r="I9" s="578"/>
      <c r="J9" s="578"/>
      <c r="K9" s="578"/>
      <c r="L9" s="578"/>
      <c r="M9" s="578"/>
      <c r="N9" s="578"/>
      <c r="O9" s="578"/>
      <c r="P9" s="578"/>
      <c r="Q9" s="578"/>
      <c r="R9" s="578"/>
      <c r="S9" s="578"/>
      <c r="T9" s="578"/>
      <c r="U9" s="578"/>
      <c r="V9" s="578"/>
      <c r="W9" s="578"/>
      <c r="X9" s="578"/>
      <c r="Y9" s="578" t="s">
        <v>144</v>
      </c>
      <c r="Z9" s="578" t="s">
        <v>144</v>
      </c>
      <c r="AA9" s="578"/>
      <c r="AB9" s="578"/>
      <c r="AC9" s="578" t="s">
        <v>144</v>
      </c>
      <c r="AD9" s="578"/>
      <c r="AE9" s="578"/>
      <c r="AF9" s="578"/>
      <c r="AG9" s="578"/>
      <c r="AH9" s="578"/>
      <c r="AI9" s="578"/>
      <c r="AJ9" s="578"/>
      <c r="AK9" s="578"/>
      <c r="AL9" s="578"/>
      <c r="AM9" s="578" t="s">
        <v>144</v>
      </c>
      <c r="AN9" s="578"/>
      <c r="AO9" s="578"/>
      <c r="AP9" s="578" t="s">
        <v>144</v>
      </c>
      <c r="AQ9" s="578"/>
      <c r="AR9" s="578"/>
      <c r="AS9" s="578"/>
      <c r="AT9" s="578"/>
      <c r="AU9" s="578"/>
      <c r="AV9" s="578"/>
      <c r="AW9" s="578"/>
      <c r="AX9" s="578"/>
      <c r="AY9" s="578"/>
      <c r="AZ9" s="578"/>
      <c r="BA9" s="4"/>
    </row>
    <row r="10" spans="2:53" ht="15" hidden="1" customHeight="1">
      <c r="B10" s="241">
        <v>4</v>
      </c>
      <c r="C10" s="242" t="str">
        <f>'Program Descriptions'!C8</f>
        <v>Empty</v>
      </c>
      <c r="D10" s="242"/>
      <c r="E10" s="578"/>
      <c r="F10" s="578"/>
      <c r="G10" s="578"/>
      <c r="H10" s="578"/>
      <c r="I10" s="578"/>
      <c r="J10" s="578"/>
      <c r="K10" s="578"/>
      <c r="L10" s="578"/>
      <c r="M10" s="578"/>
      <c r="N10" s="578"/>
      <c r="O10" s="578"/>
      <c r="P10" s="578"/>
      <c r="Q10" s="578"/>
      <c r="R10" s="578"/>
      <c r="S10" s="578"/>
      <c r="T10" s="578"/>
      <c r="U10" s="578"/>
      <c r="V10" s="578"/>
      <c r="W10" s="578"/>
      <c r="X10" s="578"/>
      <c r="Y10" s="578"/>
      <c r="Z10" s="578"/>
      <c r="AA10" s="578"/>
      <c r="AB10" s="578"/>
      <c r="AC10" s="578"/>
      <c r="AD10" s="578"/>
      <c r="AE10" s="578"/>
      <c r="AF10" s="578"/>
      <c r="AG10" s="578"/>
      <c r="AH10" s="578"/>
      <c r="AI10" s="578"/>
      <c r="AJ10" s="578"/>
      <c r="AK10" s="578"/>
      <c r="AL10" s="578"/>
      <c r="AM10" s="578"/>
      <c r="AN10" s="578"/>
      <c r="AO10" s="578"/>
      <c r="AP10" s="578"/>
      <c r="AQ10" s="578"/>
      <c r="AR10" s="578"/>
      <c r="AS10" s="578"/>
      <c r="AT10" s="578"/>
      <c r="AU10" s="578"/>
      <c r="AV10" s="578"/>
      <c r="AW10" s="578"/>
      <c r="AX10" s="578"/>
      <c r="AY10" s="578"/>
      <c r="AZ10" s="578"/>
      <c r="BA10" s="4"/>
    </row>
    <row r="11" spans="2:53" ht="15" hidden="1" customHeight="1">
      <c r="B11" s="241">
        <v>5</v>
      </c>
      <c r="C11" s="242" t="str">
        <f>'Program Descriptions'!C9</f>
        <v>Empty</v>
      </c>
      <c r="D11" s="242"/>
      <c r="E11" s="578"/>
      <c r="F11" s="578"/>
      <c r="G11" s="578"/>
      <c r="H11" s="578"/>
      <c r="I11" s="578"/>
      <c r="J11" s="578"/>
      <c r="K11" s="578"/>
      <c r="L11" s="578"/>
      <c r="M11" s="578"/>
      <c r="N11" s="578"/>
      <c r="O11" s="578"/>
      <c r="P11" s="578"/>
      <c r="Q11" s="578"/>
      <c r="R11" s="578"/>
      <c r="S11" s="578"/>
      <c r="T11" s="578"/>
      <c r="U11" s="578"/>
      <c r="V11" s="578"/>
      <c r="W11" s="578"/>
      <c r="X11" s="578"/>
      <c r="Y11" s="578"/>
      <c r="Z11" s="578"/>
      <c r="AA11" s="578"/>
      <c r="AB11" s="578"/>
      <c r="AC11" s="578"/>
      <c r="AD11" s="578"/>
      <c r="AE11" s="578"/>
      <c r="AF11" s="578"/>
      <c r="AG11" s="578"/>
      <c r="AH11" s="578"/>
      <c r="AI11" s="578"/>
      <c r="AJ11" s="578"/>
      <c r="AK11" s="578"/>
      <c r="AL11" s="578"/>
      <c r="AM11" s="578"/>
      <c r="AN11" s="578"/>
      <c r="AO11" s="578"/>
      <c r="AP11" s="578"/>
      <c r="AQ11" s="578"/>
      <c r="AR11" s="578"/>
      <c r="AS11" s="578"/>
      <c r="AT11" s="578"/>
      <c r="AU11" s="578"/>
      <c r="AV11" s="578"/>
      <c r="AW11" s="578"/>
      <c r="AX11" s="578"/>
      <c r="AY11" s="578"/>
      <c r="AZ11" s="578"/>
      <c r="BA11" s="4"/>
    </row>
    <row r="12" spans="2:53" ht="15" hidden="1" customHeight="1">
      <c r="B12" s="241">
        <v>6</v>
      </c>
      <c r="C12" s="242" t="str">
        <f>'Program Descriptions'!C10</f>
        <v>Empty</v>
      </c>
      <c r="D12" s="242"/>
      <c r="E12" s="578"/>
      <c r="F12" s="578"/>
      <c r="G12" s="578"/>
      <c r="H12" s="578"/>
      <c r="I12" s="578"/>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8"/>
      <c r="AH12" s="578"/>
      <c r="AI12" s="578"/>
      <c r="AJ12" s="578"/>
      <c r="AK12" s="578"/>
      <c r="AL12" s="578"/>
      <c r="AM12" s="578"/>
      <c r="AN12" s="578"/>
      <c r="AO12" s="578"/>
      <c r="AP12" s="578"/>
      <c r="AQ12" s="578"/>
      <c r="AR12" s="578"/>
      <c r="AS12" s="578"/>
      <c r="AT12" s="578"/>
      <c r="AU12" s="578"/>
      <c r="AV12" s="578"/>
      <c r="AW12" s="578"/>
      <c r="AX12" s="578"/>
      <c r="AY12" s="578"/>
      <c r="AZ12" s="578"/>
      <c r="BA12" s="4"/>
    </row>
    <row r="13" spans="2:53" ht="15" hidden="1" customHeight="1">
      <c r="B13" s="241">
        <v>7</v>
      </c>
      <c r="C13" s="242" t="str">
        <f>'Program Descriptions'!C11</f>
        <v>Empty</v>
      </c>
      <c r="D13" s="242"/>
      <c r="E13" s="578"/>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8"/>
      <c r="AE13" s="578"/>
      <c r="AF13" s="578"/>
      <c r="AG13" s="578"/>
      <c r="AH13" s="578"/>
      <c r="AI13" s="578"/>
      <c r="AJ13" s="578"/>
      <c r="AK13" s="578"/>
      <c r="AL13" s="578"/>
      <c r="AM13" s="578"/>
      <c r="AN13" s="578"/>
      <c r="AO13" s="578"/>
      <c r="AP13" s="578"/>
      <c r="AQ13" s="578"/>
      <c r="AR13" s="578"/>
      <c r="AS13" s="578"/>
      <c r="AT13" s="578"/>
      <c r="AU13" s="578"/>
      <c r="AV13" s="578"/>
      <c r="AW13" s="578"/>
      <c r="AX13" s="578"/>
      <c r="AY13" s="578"/>
      <c r="AZ13" s="578"/>
      <c r="BA13" s="4"/>
    </row>
    <row r="14" spans="2:53" ht="15" hidden="1" customHeight="1">
      <c r="B14" s="241">
        <v>8</v>
      </c>
      <c r="C14" s="242" t="str">
        <f>'Program Descriptions'!C12</f>
        <v>Empty</v>
      </c>
      <c r="D14" s="242"/>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78"/>
      <c r="AM14" s="578"/>
      <c r="AN14" s="578"/>
      <c r="AO14" s="578"/>
      <c r="AP14" s="578"/>
      <c r="AQ14" s="578"/>
      <c r="AR14" s="578"/>
      <c r="AS14" s="578"/>
      <c r="AT14" s="578"/>
      <c r="AU14" s="578"/>
      <c r="AV14" s="578"/>
      <c r="AW14" s="578"/>
      <c r="AX14" s="578"/>
      <c r="AY14" s="578"/>
      <c r="AZ14" s="578"/>
      <c r="BA14" s="4"/>
    </row>
    <row r="15" spans="2:53" ht="15" hidden="1" customHeight="1">
      <c r="B15" s="241">
        <v>9</v>
      </c>
      <c r="C15" s="242" t="str">
        <f>'Program Descriptions'!C13</f>
        <v>Empty</v>
      </c>
      <c r="D15" s="242"/>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78"/>
      <c r="AM15" s="578"/>
      <c r="AN15" s="578"/>
      <c r="AO15" s="578"/>
      <c r="AP15" s="578"/>
      <c r="AQ15" s="578"/>
      <c r="AR15" s="578"/>
      <c r="AS15" s="578"/>
      <c r="AT15" s="578"/>
      <c r="AU15" s="578"/>
      <c r="AV15" s="578"/>
      <c r="AW15" s="578"/>
      <c r="AX15" s="578"/>
      <c r="AY15" s="578"/>
      <c r="AZ15" s="578"/>
      <c r="BA15" s="4"/>
    </row>
    <row r="16" spans="2:53" ht="15" hidden="1" customHeight="1">
      <c r="B16" s="241">
        <v>10</v>
      </c>
      <c r="C16" s="242" t="str">
        <f>'Program Descriptions'!C14</f>
        <v>Empty</v>
      </c>
      <c r="D16" s="242"/>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8"/>
      <c r="AL16" s="578"/>
      <c r="AM16" s="578"/>
      <c r="AN16" s="578"/>
      <c r="AO16" s="578"/>
      <c r="AP16" s="578"/>
      <c r="AQ16" s="578"/>
      <c r="AR16" s="578"/>
      <c r="AS16" s="578"/>
      <c r="AT16" s="578"/>
      <c r="AU16" s="578"/>
      <c r="AV16" s="578"/>
      <c r="AW16" s="578"/>
      <c r="AX16" s="578"/>
      <c r="AY16" s="578"/>
      <c r="AZ16" s="578"/>
      <c r="BA16" s="4"/>
    </row>
    <row r="17" spans="2:53" ht="15" hidden="1" customHeight="1">
      <c r="B17" s="241">
        <v>11</v>
      </c>
      <c r="C17" s="242" t="str">
        <f>'Program Descriptions'!C15</f>
        <v>Empty</v>
      </c>
      <c r="D17" s="242"/>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4"/>
    </row>
    <row r="18" spans="2:53" ht="15" hidden="1" customHeight="1">
      <c r="B18" s="241">
        <v>12</v>
      </c>
      <c r="C18" s="242" t="str">
        <f>'Program Descriptions'!C16</f>
        <v>Empty</v>
      </c>
      <c r="D18" s="242"/>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c r="AK18" s="578"/>
      <c r="AL18" s="578"/>
      <c r="AM18" s="578"/>
      <c r="AN18" s="578"/>
      <c r="AO18" s="578"/>
      <c r="AP18" s="578"/>
      <c r="AQ18" s="578"/>
      <c r="AR18" s="578"/>
      <c r="AS18" s="578"/>
      <c r="AT18" s="578"/>
      <c r="AU18" s="578"/>
      <c r="AV18" s="578"/>
      <c r="AW18" s="578"/>
      <c r="AX18" s="578"/>
      <c r="AY18" s="578"/>
      <c r="AZ18" s="578"/>
      <c r="BA18" s="4"/>
    </row>
    <row r="19" spans="2:53" ht="15" hidden="1" customHeight="1">
      <c r="B19" s="241">
        <v>13</v>
      </c>
      <c r="C19" s="242" t="str">
        <f>'Program Descriptions'!C17</f>
        <v>Empty</v>
      </c>
      <c r="D19" s="242"/>
      <c r="E19" s="578"/>
      <c r="F19" s="578"/>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8"/>
      <c r="AU19" s="578"/>
      <c r="AV19" s="578"/>
      <c r="AW19" s="578"/>
      <c r="AX19" s="578"/>
      <c r="AY19" s="578"/>
      <c r="AZ19" s="578"/>
      <c r="BA19" s="4"/>
    </row>
    <row r="20" spans="2:53" ht="15" hidden="1" customHeight="1">
      <c r="B20" s="241">
        <v>14</v>
      </c>
      <c r="C20" s="242" t="str">
        <f>'Program Descriptions'!C18</f>
        <v>Empty</v>
      </c>
      <c r="D20" s="242"/>
      <c r="E20" s="578"/>
      <c r="F20" s="578"/>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578"/>
      <c r="AL20" s="578"/>
      <c r="AM20" s="578"/>
      <c r="AN20" s="578"/>
      <c r="AO20" s="578"/>
      <c r="AP20" s="578"/>
      <c r="AQ20" s="578"/>
      <c r="AR20" s="578"/>
      <c r="AS20" s="578"/>
      <c r="AT20" s="578"/>
      <c r="AU20" s="578"/>
      <c r="AV20" s="578"/>
      <c r="AW20" s="578"/>
      <c r="AX20" s="578"/>
      <c r="AY20" s="578"/>
      <c r="AZ20" s="578"/>
      <c r="BA20" s="4"/>
    </row>
    <row r="21" spans="2:53" ht="15" hidden="1" customHeight="1">
      <c r="B21" s="241">
        <v>15</v>
      </c>
      <c r="C21" s="242" t="str">
        <f>'Program Descriptions'!C19</f>
        <v>Empty</v>
      </c>
      <c r="D21" s="242"/>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8"/>
      <c r="AY21" s="578"/>
      <c r="AZ21" s="578"/>
      <c r="BA21" s="4"/>
    </row>
    <row r="22" spans="2:53" ht="15" hidden="1" customHeight="1">
      <c r="B22" s="241">
        <v>16</v>
      </c>
      <c r="C22" s="242" t="str">
        <f>'Program Descriptions'!C20</f>
        <v>Empty</v>
      </c>
      <c r="D22" s="242"/>
      <c r="E22" s="578"/>
      <c r="F22" s="578"/>
      <c r="G22" s="578"/>
      <c r="H22" s="578"/>
      <c r="I22" s="578"/>
      <c r="J22" s="578"/>
      <c r="K22" s="578"/>
      <c r="L22" s="578"/>
      <c r="M22" s="578"/>
      <c r="N22" s="578"/>
      <c r="O22" s="578"/>
      <c r="P22" s="578"/>
      <c r="Q22" s="578"/>
      <c r="R22" s="578"/>
      <c r="S22" s="578"/>
      <c r="T22" s="578"/>
      <c r="U22" s="578"/>
      <c r="V22" s="578"/>
      <c r="W22" s="578"/>
      <c r="X22" s="578"/>
      <c r="Y22" s="578"/>
      <c r="Z22" s="578"/>
      <c r="AA22" s="578"/>
      <c r="AB22" s="578"/>
      <c r="AC22" s="578"/>
      <c r="AD22" s="578"/>
      <c r="AE22" s="578"/>
      <c r="AF22" s="578"/>
      <c r="AG22" s="578"/>
      <c r="AH22" s="578"/>
      <c r="AI22" s="578"/>
      <c r="AJ22" s="578"/>
      <c r="AK22" s="578"/>
      <c r="AL22" s="578"/>
      <c r="AM22" s="578"/>
      <c r="AN22" s="578"/>
      <c r="AO22" s="578"/>
      <c r="AP22" s="578"/>
      <c r="AQ22" s="578"/>
      <c r="AR22" s="578"/>
      <c r="AS22" s="578"/>
      <c r="AT22" s="578"/>
      <c r="AU22" s="578"/>
      <c r="AV22" s="578"/>
      <c r="AW22" s="578"/>
      <c r="AX22" s="578"/>
      <c r="AY22" s="578"/>
      <c r="AZ22" s="578"/>
      <c r="BA22" s="4"/>
    </row>
    <row r="23" spans="2:53" ht="15" hidden="1" customHeight="1">
      <c r="B23" s="241">
        <v>17</v>
      </c>
      <c r="C23" s="242" t="str">
        <f>'Program Descriptions'!C21</f>
        <v>Empty</v>
      </c>
      <c r="D23" s="242"/>
      <c r="E23" s="578"/>
      <c r="F23" s="578"/>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578"/>
      <c r="AI23" s="578"/>
      <c r="AJ23" s="578"/>
      <c r="AK23" s="578"/>
      <c r="AL23" s="578"/>
      <c r="AM23" s="578"/>
      <c r="AN23" s="578"/>
      <c r="AO23" s="578"/>
      <c r="AP23" s="578"/>
      <c r="AQ23" s="578"/>
      <c r="AR23" s="578"/>
      <c r="AS23" s="578"/>
      <c r="AT23" s="578"/>
      <c r="AU23" s="578"/>
      <c r="AV23" s="578"/>
      <c r="AW23" s="578"/>
      <c r="AX23" s="578"/>
      <c r="AY23" s="578"/>
      <c r="AZ23" s="578"/>
      <c r="BA23" s="4"/>
    </row>
    <row r="24" spans="2:53" ht="15" hidden="1" customHeight="1">
      <c r="B24" s="241">
        <v>18</v>
      </c>
      <c r="C24" s="242" t="str">
        <f>'Program Descriptions'!C22</f>
        <v>Empty</v>
      </c>
      <c r="D24" s="242"/>
      <c r="E24" s="57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c r="AD24" s="578"/>
      <c r="AE24" s="578"/>
      <c r="AF24" s="578"/>
      <c r="AG24" s="578"/>
      <c r="AH24" s="578"/>
      <c r="AI24" s="578"/>
      <c r="AJ24" s="578"/>
      <c r="AK24" s="578"/>
      <c r="AL24" s="578"/>
      <c r="AM24" s="578"/>
      <c r="AN24" s="578"/>
      <c r="AO24" s="578"/>
      <c r="AP24" s="578"/>
      <c r="AQ24" s="578"/>
      <c r="AR24" s="578"/>
      <c r="AS24" s="578"/>
      <c r="AT24" s="578"/>
      <c r="AU24" s="578"/>
      <c r="AV24" s="578"/>
      <c r="AW24" s="578"/>
      <c r="AX24" s="578"/>
      <c r="AY24" s="578"/>
      <c r="AZ24" s="578"/>
      <c r="BA24" s="4"/>
    </row>
    <row r="25" spans="2:53" ht="15" hidden="1" customHeight="1">
      <c r="B25" s="241">
        <v>19</v>
      </c>
      <c r="C25" s="242" t="str">
        <f>'Program Descriptions'!C23</f>
        <v>Empty</v>
      </c>
      <c r="D25" s="242"/>
      <c r="E25" s="578"/>
      <c r="F25" s="578"/>
      <c r="G25" s="578"/>
      <c r="H25" s="578"/>
      <c r="I25" s="578"/>
      <c r="J25" s="578"/>
      <c r="K25" s="578"/>
      <c r="L25" s="578"/>
      <c r="M25" s="578"/>
      <c r="N25" s="578"/>
      <c r="O25" s="578"/>
      <c r="P25" s="578"/>
      <c r="Q25" s="578"/>
      <c r="R25" s="578"/>
      <c r="S25" s="578"/>
      <c r="T25" s="578"/>
      <c r="U25" s="578"/>
      <c r="V25" s="578"/>
      <c r="W25" s="578"/>
      <c r="X25" s="578"/>
      <c r="Y25" s="578"/>
      <c r="Z25" s="578"/>
      <c r="AA25" s="578"/>
      <c r="AB25" s="578"/>
      <c r="AC25" s="578"/>
      <c r="AD25" s="578"/>
      <c r="AE25" s="578"/>
      <c r="AF25" s="578"/>
      <c r="AG25" s="578"/>
      <c r="AH25" s="578"/>
      <c r="AI25" s="578"/>
      <c r="AJ25" s="578"/>
      <c r="AK25" s="578"/>
      <c r="AL25" s="578"/>
      <c r="AM25" s="578"/>
      <c r="AN25" s="578"/>
      <c r="AO25" s="578"/>
      <c r="AP25" s="578"/>
      <c r="AQ25" s="578"/>
      <c r="AR25" s="578"/>
      <c r="AS25" s="578"/>
      <c r="AT25" s="578"/>
      <c r="AU25" s="578"/>
      <c r="AV25" s="578"/>
      <c r="AW25" s="578"/>
      <c r="AX25" s="578"/>
      <c r="AY25" s="578"/>
      <c r="AZ25" s="578"/>
      <c r="BA25" s="4"/>
    </row>
    <row r="26" spans="2:53" ht="15" hidden="1" customHeight="1">
      <c r="B26" s="241">
        <v>20</v>
      </c>
      <c r="C26" s="242" t="str">
        <f>'Program Descriptions'!C24</f>
        <v>Empty</v>
      </c>
      <c r="D26" s="242"/>
      <c r="E26" s="578"/>
      <c r="F26" s="578"/>
      <c r="G26" s="578"/>
      <c r="H26" s="578"/>
      <c r="I26" s="578"/>
      <c r="J26" s="578"/>
      <c r="K26" s="578"/>
      <c r="L26" s="578"/>
      <c r="M26" s="578"/>
      <c r="N26" s="578"/>
      <c r="O26" s="578"/>
      <c r="P26" s="578"/>
      <c r="Q26" s="578"/>
      <c r="R26" s="578"/>
      <c r="S26" s="578"/>
      <c r="T26" s="578"/>
      <c r="U26" s="578"/>
      <c r="V26" s="578"/>
      <c r="W26" s="578"/>
      <c r="X26" s="578"/>
      <c r="Y26" s="578"/>
      <c r="Z26" s="578"/>
      <c r="AA26" s="578"/>
      <c r="AB26" s="578"/>
      <c r="AC26" s="578"/>
      <c r="AD26" s="578"/>
      <c r="AE26" s="578"/>
      <c r="AF26" s="578"/>
      <c r="AG26" s="578"/>
      <c r="AH26" s="578"/>
      <c r="AI26" s="578"/>
      <c r="AJ26" s="578"/>
      <c r="AK26" s="578"/>
      <c r="AL26" s="578"/>
      <c r="AM26" s="578"/>
      <c r="AN26" s="578"/>
      <c r="AO26" s="578"/>
      <c r="AP26" s="578"/>
      <c r="AQ26" s="578"/>
      <c r="AR26" s="578"/>
      <c r="AS26" s="578"/>
      <c r="AT26" s="578"/>
      <c r="AU26" s="578"/>
      <c r="AV26" s="578"/>
      <c r="AW26" s="578"/>
      <c r="AX26" s="578"/>
      <c r="AY26" s="578"/>
      <c r="AZ26" s="578"/>
      <c r="BA26" s="4"/>
    </row>
    <row r="27" spans="2:53">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formatRows="0"/>
  <mergeCells count="4">
    <mergeCell ref="E5:X5"/>
    <mergeCell ref="Y5:AQ5"/>
    <mergeCell ref="AR5:AZ5"/>
    <mergeCell ref="B2:BA2"/>
  </mergeCells>
  <conditionalFormatting sqref="E7:AZ8 E9:X9 AD9:AZ9 E10:U15 AU10:AZ15 E16:AZ26">
    <cfRule type="expression" dxfId="93" priority="2">
      <formula>$B7&gt;Programs</formula>
    </cfRule>
  </conditionalFormatting>
  <conditionalFormatting sqref="V10:AT15">
    <cfRule type="expression" dxfId="92" priority="81">
      <formula>$B9&gt;Programs</formula>
    </cfRule>
  </conditionalFormatting>
  <conditionalFormatting sqref="Y9:AC9">
    <cfRule type="expression" dxfId="91" priority="1">
      <formula>$B8&gt;Programs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0000"/>
  </sheetPr>
  <dimension ref="B2:G22"/>
  <sheetViews>
    <sheetView zoomScale="110" zoomScaleNormal="110" workbookViewId="0">
      <selection activeCell="L16" sqref="L16"/>
    </sheetView>
  </sheetViews>
  <sheetFormatPr defaultRowHeight="12.75"/>
  <cols>
    <col min="1" max="1" width="2.28515625" customWidth="1"/>
    <col min="2" max="2" width="10.5703125" customWidth="1"/>
    <col min="3" max="3" width="7.7109375" customWidth="1"/>
    <col min="4" max="4" width="9.42578125" customWidth="1"/>
    <col min="5" max="5" width="11.140625" customWidth="1"/>
    <col min="6" max="6" width="8.7109375" customWidth="1"/>
    <col min="7" max="7" width="7.85546875" customWidth="1"/>
  </cols>
  <sheetData>
    <row r="2" spans="2:7" ht="25.9" customHeight="1">
      <c r="B2" s="461" t="s">
        <v>74</v>
      </c>
      <c r="C2" s="461" t="str">
        <f>Titles!B20</f>
        <v>Electric</v>
      </c>
      <c r="D2" s="461" t="str">
        <f>Titles!B21</f>
        <v>Natural Gas</v>
      </c>
      <c r="E2" s="461" t="s">
        <v>784</v>
      </c>
      <c r="F2" s="461" t="s">
        <v>785</v>
      </c>
      <c r="G2" s="461" t="s">
        <v>786</v>
      </c>
    </row>
    <row r="3" spans="2:7">
      <c r="B3" s="419">
        <v>2011</v>
      </c>
      <c r="C3" s="462">
        <v>2.5000000000000001E-3</v>
      </c>
      <c r="D3" s="462">
        <v>2E-3</v>
      </c>
      <c r="E3" s="419">
        <v>2010</v>
      </c>
      <c r="F3" s="463" t="s">
        <v>787</v>
      </c>
      <c r="G3" s="463">
        <v>15</v>
      </c>
    </row>
    <row r="4" spans="2:7">
      <c r="B4" s="419">
        <v>2012</v>
      </c>
      <c r="C4" s="462">
        <v>5.0000000000000001E-3</v>
      </c>
      <c r="D4" s="462">
        <v>3.0000000000000001E-3</v>
      </c>
      <c r="E4" s="419">
        <v>2010</v>
      </c>
      <c r="F4" s="463" t="s">
        <v>787</v>
      </c>
      <c r="G4" s="463">
        <v>15</v>
      </c>
    </row>
    <row r="5" spans="2:7">
      <c r="B5" s="419">
        <v>2013</v>
      </c>
      <c r="C5" s="462">
        <v>7.4999999999999997E-3</v>
      </c>
      <c r="D5" s="462">
        <v>4.0000000000000001E-3</v>
      </c>
      <c r="E5" s="419">
        <v>2010</v>
      </c>
      <c r="F5" s="463" t="s">
        <v>787</v>
      </c>
      <c r="G5" s="463">
        <v>15</v>
      </c>
    </row>
    <row r="6" spans="2:7">
      <c r="B6" s="419">
        <v>2014</v>
      </c>
      <c r="C6" s="462">
        <v>7.4999999999999997E-3</v>
      </c>
      <c r="D6" s="462">
        <v>4.0000000000000001E-3</v>
      </c>
      <c r="E6" s="419">
        <v>2010</v>
      </c>
      <c r="F6" s="463" t="s">
        <v>788</v>
      </c>
      <c r="G6" s="463">
        <v>2</v>
      </c>
    </row>
    <row r="7" spans="2:7">
      <c r="B7" s="419">
        <v>2015</v>
      </c>
      <c r="C7" s="462">
        <v>8.9999999999999993E-3</v>
      </c>
      <c r="D7" s="462">
        <v>5.0000000000000001E-3</v>
      </c>
      <c r="E7" s="419">
        <v>2013</v>
      </c>
      <c r="F7" s="463" t="s">
        <v>788</v>
      </c>
      <c r="G7" s="463">
        <v>15</v>
      </c>
    </row>
    <row r="8" spans="2:7">
      <c r="B8" s="419">
        <v>2016</v>
      </c>
      <c r="C8" s="462">
        <v>8.9999999999999993E-3</v>
      </c>
      <c r="D8" s="462">
        <v>5.0000000000000001E-3</v>
      </c>
      <c r="E8" s="419">
        <v>2014</v>
      </c>
      <c r="F8" s="463" t="s">
        <v>788</v>
      </c>
      <c r="G8" s="463">
        <v>25</v>
      </c>
    </row>
    <row r="9" spans="2:7">
      <c r="B9" s="419">
        <v>2017</v>
      </c>
      <c r="C9" s="462">
        <v>8.9999999999999993E-3</v>
      </c>
      <c r="D9" s="462">
        <v>5.0000000000000001E-3</v>
      </c>
      <c r="E9" s="419">
        <v>2015</v>
      </c>
      <c r="F9" s="463" t="s">
        <v>788</v>
      </c>
      <c r="G9" s="463">
        <v>31</v>
      </c>
    </row>
    <row r="10" spans="2:7">
      <c r="B10" s="419">
        <v>2018</v>
      </c>
      <c r="C10" s="462">
        <v>8.9999999999999993E-3</v>
      </c>
      <c r="D10" s="462">
        <v>5.0000000000000001E-3</v>
      </c>
      <c r="E10" s="419">
        <v>2015</v>
      </c>
      <c r="F10" s="463" t="s">
        <v>788</v>
      </c>
      <c r="G10" s="463">
        <v>31</v>
      </c>
    </row>
    <row r="11" spans="2:7">
      <c r="B11" s="419">
        <v>2019</v>
      </c>
      <c r="C11" s="462">
        <v>0.01</v>
      </c>
      <c r="D11" s="462">
        <v>5.0000000000000001E-3</v>
      </c>
      <c r="E11" s="419">
        <v>2015</v>
      </c>
      <c r="F11" s="463" t="s">
        <v>788</v>
      </c>
      <c r="G11" s="463">
        <v>31</v>
      </c>
    </row>
    <row r="12" spans="2:7">
      <c r="B12" s="419">
        <v>2020</v>
      </c>
      <c r="C12" s="462">
        <v>0.01</v>
      </c>
      <c r="D12" s="462">
        <v>5.0000000000000001E-3</v>
      </c>
      <c r="E12" s="463">
        <v>2018</v>
      </c>
      <c r="F12" s="463"/>
      <c r="G12" s="463"/>
    </row>
    <row r="13" spans="2:7">
      <c r="B13" s="419">
        <v>2021</v>
      </c>
      <c r="C13" s="462">
        <v>0.01</v>
      </c>
      <c r="D13" s="462">
        <v>5.0000000000000001E-3</v>
      </c>
      <c r="E13" s="463">
        <v>2018</v>
      </c>
      <c r="F13" s="463"/>
      <c r="G13" s="463"/>
    </row>
    <row r="14" spans="2:7">
      <c r="B14" s="419">
        <v>2022</v>
      </c>
      <c r="C14" s="462">
        <v>0.01</v>
      </c>
      <c r="D14" s="462">
        <v>5.0000000000000001E-3</v>
      </c>
      <c r="E14" s="463">
        <v>2018</v>
      </c>
      <c r="F14" s="463"/>
      <c r="G14" s="463"/>
    </row>
    <row r="15" spans="2:7">
      <c r="B15" s="419">
        <v>2023</v>
      </c>
      <c r="C15" s="462">
        <v>0.01</v>
      </c>
      <c r="D15" s="462">
        <v>5.0000000000000001E-3</v>
      </c>
      <c r="E15" s="463">
        <v>2018</v>
      </c>
      <c r="F15" s="463"/>
      <c r="G15" s="463"/>
    </row>
    <row r="16" spans="2:7">
      <c r="B16" s="419">
        <v>2024</v>
      </c>
      <c r="C16" s="462">
        <v>0.01</v>
      </c>
      <c r="D16" s="462">
        <v>5.0000000000000001E-3</v>
      </c>
      <c r="E16" s="463">
        <v>2022</v>
      </c>
      <c r="F16" s="463"/>
      <c r="G16" s="463"/>
    </row>
    <row r="17" spans="2:7">
      <c r="B17" s="419">
        <v>2025</v>
      </c>
      <c r="C17" s="462">
        <v>0.01</v>
      </c>
      <c r="D17" s="462">
        <v>5.0000000000000001E-3</v>
      </c>
      <c r="E17" s="463">
        <v>2022</v>
      </c>
      <c r="F17" s="463"/>
      <c r="G17" s="463"/>
    </row>
    <row r="18" spans="2:7">
      <c r="B18" s="419">
        <v>2026</v>
      </c>
      <c r="C18" s="462">
        <v>0.01</v>
      </c>
      <c r="D18" s="462">
        <v>5.0000000000000001E-3</v>
      </c>
      <c r="E18" s="463">
        <v>2022</v>
      </c>
      <c r="F18" s="463"/>
      <c r="G18" s="463"/>
    </row>
    <row r="19" spans="2:7">
      <c r="B19" s="419">
        <v>2027</v>
      </c>
      <c r="C19" s="462">
        <v>0</v>
      </c>
      <c r="D19" s="462">
        <v>0</v>
      </c>
      <c r="E19" s="463" t="s">
        <v>789</v>
      </c>
      <c r="F19" s="463"/>
      <c r="G19" s="463"/>
    </row>
    <row r="20" spans="2:7">
      <c r="B20" s="419">
        <v>2028</v>
      </c>
      <c r="C20" s="462">
        <v>0</v>
      </c>
      <c r="D20" s="462">
        <v>0</v>
      </c>
      <c r="E20" s="463" t="s">
        <v>789</v>
      </c>
      <c r="F20" s="463"/>
      <c r="G20" s="463"/>
    </row>
    <row r="21" spans="2:7">
      <c r="B21" s="419">
        <v>2029</v>
      </c>
      <c r="C21" s="462">
        <v>0</v>
      </c>
      <c r="D21" s="462">
        <v>0</v>
      </c>
      <c r="E21" s="463" t="s">
        <v>789</v>
      </c>
      <c r="F21" s="463"/>
      <c r="G21" s="463"/>
    </row>
    <row r="22" spans="2:7">
      <c r="B22" s="419">
        <v>2030</v>
      </c>
      <c r="C22" s="462">
        <v>0</v>
      </c>
      <c r="D22" s="462">
        <v>0</v>
      </c>
      <c r="E22" s="463" t="s">
        <v>789</v>
      </c>
      <c r="F22" s="463"/>
      <c r="G22" s="46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N115"/>
  <sheetViews>
    <sheetView showGridLines="0" showRowColHeaders="0" zoomScale="115" zoomScaleNormal="115" workbookViewId="0">
      <pane ySplit="4" topLeftCell="A5" activePane="bottomLeft" state="frozen"/>
      <selection pane="bottomLeft" activeCell="D6" sqref="D6"/>
    </sheetView>
  </sheetViews>
  <sheetFormatPr defaultColWidth="9.140625" defaultRowHeight="12.75"/>
  <cols>
    <col min="1" max="1" width="1" style="2" customWidth="1"/>
    <col min="2" max="2" width="3.7109375" style="2" customWidth="1"/>
    <col min="3" max="3" width="35.7109375" style="2" customWidth="1"/>
    <col min="4" max="9" width="13.28515625" style="2" customWidth="1"/>
    <col min="10" max="10" width="5.85546875" style="2" customWidth="1"/>
    <col min="11" max="11" width="8" style="2" customWidth="1"/>
    <col min="12" max="12" width="1" style="2" customWidth="1"/>
    <col min="13" max="13" width="16" style="2" customWidth="1"/>
    <col min="14" max="14" width="0" style="2" hidden="1" customWidth="1"/>
    <col min="15" max="16384" width="9.140625" style="2"/>
  </cols>
  <sheetData>
    <row r="1" spans="2:14" ht="28.5" customHeight="1"/>
    <row r="2" spans="2:14" ht="85.5" customHeight="1">
      <c r="B2" s="569"/>
      <c r="C2" s="570"/>
      <c r="D2" s="570"/>
      <c r="E2" s="570"/>
      <c r="F2" s="570"/>
      <c r="G2" s="570"/>
      <c r="H2" s="570"/>
      <c r="I2" s="570"/>
      <c r="J2" s="570"/>
      <c r="K2" s="571"/>
    </row>
    <row r="3" spans="2:14" ht="12" customHeight="1">
      <c r="B3" s="530"/>
      <c r="C3" s="313" t="str">
        <f>IF(N27&gt;0,"Incomplete - All yellow shaded cells must be completed.","")</f>
        <v/>
      </c>
      <c r="D3" s="572"/>
      <c r="E3" s="572"/>
      <c r="F3" s="572"/>
      <c r="G3" s="572"/>
      <c r="H3" s="572"/>
      <c r="I3" s="572"/>
      <c r="J3" s="572"/>
      <c r="K3" s="531"/>
    </row>
    <row r="4" spans="2:14" ht="42.75" customHeight="1">
      <c r="B4" s="3"/>
      <c r="C4" s="8" t="s">
        <v>85</v>
      </c>
      <c r="D4" s="243" t="str">
        <f>Cost!B4</f>
        <v>Planning / Design</v>
      </c>
      <c r="E4" s="243" t="str">
        <f>Cost!C4</f>
        <v>Marketing &amp; Delivery</v>
      </c>
      <c r="F4" s="243" t="str">
        <f>Cost!B14</f>
        <v>Incentives / Direct Install Costs</v>
      </c>
      <c r="G4" s="243" t="str">
        <f>Cost!C19</f>
        <v>EM&amp;V</v>
      </c>
      <c r="H4" s="243" t="str">
        <f>Cost!B25</f>
        <v>Administration</v>
      </c>
      <c r="I4" s="244" t="s">
        <v>145</v>
      </c>
      <c r="K4" s="4"/>
    </row>
    <row r="5" spans="2:14" ht="15" customHeight="1">
      <c r="B5" s="241">
        <v>1</v>
      </c>
      <c r="C5" s="242" t="str">
        <f>'Program Descriptions'!C5</f>
        <v>Residential Solutions Program</v>
      </c>
      <c r="D5" s="579">
        <v>43078</v>
      </c>
      <c r="E5" s="579">
        <v>1531377</v>
      </c>
      <c r="F5" s="579">
        <v>4782551</v>
      </c>
      <c r="G5" s="579">
        <v>284087</v>
      </c>
      <c r="H5" s="579">
        <v>394206.92</v>
      </c>
      <c r="I5" s="10">
        <f>SUM(D5:H5)</f>
        <v>7035299.9199999999</v>
      </c>
      <c r="K5" s="4"/>
      <c r="N5" s="297">
        <f>IF(C5="Empty",0,IF(OR(ISBLANK(D5),ISBLANK(E5),ISBLANK(F5),ISBLANK(G5),ISBLANK(H5)),1,0))</f>
        <v>0</v>
      </c>
    </row>
    <row r="6" spans="2:14" ht="15" customHeight="1">
      <c r="B6" s="241">
        <v>2</v>
      </c>
      <c r="C6" s="242" t="str">
        <f>'Program Descriptions'!C6</f>
        <v>Access to Afford Energy &amp; Conservation</v>
      </c>
      <c r="D6" s="579">
        <v>15713.62</v>
      </c>
      <c r="E6" s="579">
        <v>546319</v>
      </c>
      <c r="F6" s="579">
        <v>1273130</v>
      </c>
      <c r="G6" s="579">
        <v>23718.73</v>
      </c>
      <c r="H6" s="579">
        <v>88475.16</v>
      </c>
      <c r="I6" s="10">
        <f>SUM(D6:H6)</f>
        <v>1947356.51</v>
      </c>
      <c r="K6" s="4"/>
      <c r="N6" s="297">
        <f>IF(C6="Empty",0,IF(OR(ISBLANK(D6),ISBLANK(E6),ISBLANK(F6),ISBLANK(G6),ISBLANK(H6)),1,0))</f>
        <v>0</v>
      </c>
    </row>
    <row r="7" spans="2:14" ht="15" customHeight="1" thickBot="1">
      <c r="B7" s="241">
        <v>3</v>
      </c>
      <c r="C7" s="242" t="str">
        <f>'Program Descriptions'!C7</f>
        <v>Commercial Solutions</v>
      </c>
      <c r="D7" s="579">
        <v>54035.519999999997</v>
      </c>
      <c r="E7" s="579">
        <v>1370153</v>
      </c>
      <c r="F7" s="579">
        <v>1621373</v>
      </c>
      <c r="G7" s="579">
        <v>560745.53</v>
      </c>
      <c r="H7" s="579">
        <v>321105.74</v>
      </c>
      <c r="I7" s="10">
        <f t="shared" ref="I7:I24" si="0">SUM(D7:H7)</f>
        <v>3927412.79</v>
      </c>
      <c r="K7" s="4"/>
      <c r="N7" s="297">
        <f t="shared" ref="N7:N24" si="1">IF(C7="Empty",0,IF(OR(ISBLANK(D7),ISBLANK(E7),ISBLANK(F7),ISBLANK(G7),ISBLANK(H7)),1,0))</f>
        <v>0</v>
      </c>
    </row>
    <row r="8" spans="2:14" ht="15" hidden="1" customHeight="1">
      <c r="B8" s="241">
        <v>4</v>
      </c>
      <c r="C8" s="242" t="str">
        <f>'Program Descriptions'!C8</f>
        <v>Empty</v>
      </c>
      <c r="D8" s="579"/>
      <c r="E8" s="579"/>
      <c r="F8" s="579"/>
      <c r="G8" s="579"/>
      <c r="H8" s="579"/>
      <c r="I8" s="10">
        <f>SUM(D8:H8)</f>
        <v>0</v>
      </c>
      <c r="K8" s="4"/>
      <c r="N8" s="297">
        <f>IF(C8="Empty",0,IF(OR(ISBLANK(D8),ISBLANK(E8),ISBLANK(F8),ISBLANK(G8),ISBLANK(H8)),1,0))</f>
        <v>0</v>
      </c>
    </row>
    <row r="9" spans="2:14" ht="15" hidden="1" customHeight="1">
      <c r="B9" s="241">
        <v>5</v>
      </c>
      <c r="C9" s="242" t="str">
        <f>'Program Descriptions'!C9</f>
        <v>Empty</v>
      </c>
      <c r="D9" s="579"/>
      <c r="E9" s="579"/>
      <c r="F9" s="579"/>
      <c r="G9" s="579"/>
      <c r="H9" s="579"/>
      <c r="I9" s="10">
        <f t="shared" si="0"/>
        <v>0</v>
      </c>
      <c r="K9" s="4"/>
      <c r="N9" s="297">
        <f t="shared" si="1"/>
        <v>0</v>
      </c>
    </row>
    <row r="10" spans="2:14" ht="15" hidden="1" customHeight="1">
      <c r="B10" s="241">
        <v>6</v>
      </c>
      <c r="C10" s="242" t="str">
        <f>'Program Descriptions'!C10</f>
        <v>Empty</v>
      </c>
      <c r="D10" s="579"/>
      <c r="E10" s="579"/>
      <c r="F10" s="579"/>
      <c r="G10" s="579"/>
      <c r="H10" s="579"/>
      <c r="I10" s="10">
        <f t="shared" si="0"/>
        <v>0</v>
      </c>
      <c r="K10" s="4"/>
      <c r="N10" s="297">
        <f t="shared" si="1"/>
        <v>0</v>
      </c>
    </row>
    <row r="11" spans="2:14" ht="15" hidden="1" customHeight="1">
      <c r="B11" s="241">
        <v>7</v>
      </c>
      <c r="C11" s="242" t="str">
        <f>'Program Descriptions'!C11</f>
        <v>Empty</v>
      </c>
      <c r="D11" s="579"/>
      <c r="E11" s="579"/>
      <c r="F11" s="579"/>
      <c r="G11" s="579"/>
      <c r="H11" s="579"/>
      <c r="I11" s="10">
        <f t="shared" si="0"/>
        <v>0</v>
      </c>
      <c r="K11" s="4"/>
      <c r="N11" s="297">
        <f t="shared" si="1"/>
        <v>0</v>
      </c>
    </row>
    <row r="12" spans="2:14" ht="15" hidden="1" customHeight="1">
      <c r="B12" s="241">
        <v>8</v>
      </c>
      <c r="C12" s="242" t="str">
        <f>'Program Descriptions'!C12</f>
        <v>Empty</v>
      </c>
      <c r="D12" s="579"/>
      <c r="E12" s="579"/>
      <c r="F12" s="579"/>
      <c r="G12" s="579"/>
      <c r="H12" s="579"/>
      <c r="I12" s="10">
        <f t="shared" si="0"/>
        <v>0</v>
      </c>
      <c r="K12" s="4"/>
      <c r="N12" s="297">
        <f t="shared" si="1"/>
        <v>0</v>
      </c>
    </row>
    <row r="13" spans="2:14" ht="15" hidden="1" customHeight="1">
      <c r="B13" s="241">
        <v>9</v>
      </c>
      <c r="C13" s="242" t="str">
        <f>'Program Descriptions'!C13</f>
        <v>Empty</v>
      </c>
      <c r="D13" s="579"/>
      <c r="E13" s="579"/>
      <c r="F13" s="579"/>
      <c r="G13" s="579"/>
      <c r="H13" s="579"/>
      <c r="I13" s="10">
        <f t="shared" si="0"/>
        <v>0</v>
      </c>
      <c r="K13" s="4"/>
      <c r="N13" s="297">
        <f t="shared" si="1"/>
        <v>0</v>
      </c>
    </row>
    <row r="14" spans="2:14" ht="15" hidden="1" customHeight="1">
      <c r="B14" s="241">
        <v>10</v>
      </c>
      <c r="C14" s="242" t="str">
        <f>'Program Descriptions'!C14</f>
        <v>Empty</v>
      </c>
      <c r="D14" s="579"/>
      <c r="E14" s="579"/>
      <c r="F14" s="579"/>
      <c r="G14" s="579"/>
      <c r="H14" s="579"/>
      <c r="I14" s="10">
        <f t="shared" si="0"/>
        <v>0</v>
      </c>
      <c r="K14" s="4"/>
      <c r="N14" s="297">
        <f t="shared" si="1"/>
        <v>0</v>
      </c>
    </row>
    <row r="15" spans="2:14" ht="15" hidden="1" customHeight="1">
      <c r="B15" s="241">
        <v>11</v>
      </c>
      <c r="C15" s="242" t="str">
        <f>'Program Descriptions'!C15</f>
        <v>Empty</v>
      </c>
      <c r="D15" s="579"/>
      <c r="E15" s="579"/>
      <c r="F15" s="579"/>
      <c r="G15" s="579"/>
      <c r="H15" s="579"/>
      <c r="I15" s="10">
        <f t="shared" si="0"/>
        <v>0</v>
      </c>
      <c r="K15" s="4"/>
      <c r="N15" s="297">
        <f t="shared" si="1"/>
        <v>0</v>
      </c>
    </row>
    <row r="16" spans="2:14" ht="15" hidden="1" customHeight="1">
      <c r="B16" s="241">
        <v>12</v>
      </c>
      <c r="C16" s="242" t="str">
        <f>'Program Descriptions'!C16</f>
        <v>Empty</v>
      </c>
      <c r="D16" s="579"/>
      <c r="E16" s="579"/>
      <c r="F16" s="579"/>
      <c r="G16" s="579"/>
      <c r="H16" s="579"/>
      <c r="I16" s="10">
        <f t="shared" si="0"/>
        <v>0</v>
      </c>
      <c r="K16" s="4"/>
      <c r="N16" s="297">
        <f t="shared" si="1"/>
        <v>0</v>
      </c>
    </row>
    <row r="17" spans="2:14" ht="15" hidden="1" customHeight="1">
      <c r="B17" s="241">
        <v>13</v>
      </c>
      <c r="C17" s="242" t="str">
        <f>'Program Descriptions'!C17</f>
        <v>Empty</v>
      </c>
      <c r="D17" s="579"/>
      <c r="E17" s="579"/>
      <c r="F17" s="579"/>
      <c r="G17" s="579"/>
      <c r="H17" s="579"/>
      <c r="I17" s="10">
        <f t="shared" si="0"/>
        <v>0</v>
      </c>
      <c r="K17" s="4"/>
      <c r="N17" s="297">
        <f t="shared" si="1"/>
        <v>0</v>
      </c>
    </row>
    <row r="18" spans="2:14" ht="15" hidden="1" customHeight="1">
      <c r="B18" s="241">
        <v>14</v>
      </c>
      <c r="C18" s="242" t="str">
        <f>'Program Descriptions'!C18</f>
        <v>Empty</v>
      </c>
      <c r="D18" s="579"/>
      <c r="E18" s="579"/>
      <c r="F18" s="579"/>
      <c r="G18" s="579"/>
      <c r="H18" s="579"/>
      <c r="I18" s="10">
        <f t="shared" si="0"/>
        <v>0</v>
      </c>
      <c r="K18" s="4"/>
      <c r="N18" s="297">
        <f t="shared" si="1"/>
        <v>0</v>
      </c>
    </row>
    <row r="19" spans="2:14" ht="15" hidden="1" customHeight="1">
      <c r="B19" s="241">
        <v>15</v>
      </c>
      <c r="C19" s="242" t="str">
        <f>'Program Descriptions'!C19</f>
        <v>Empty</v>
      </c>
      <c r="D19" s="579"/>
      <c r="E19" s="579"/>
      <c r="F19" s="579"/>
      <c r="G19" s="579"/>
      <c r="H19" s="579"/>
      <c r="I19" s="10">
        <f t="shared" si="0"/>
        <v>0</v>
      </c>
      <c r="K19" s="4"/>
      <c r="N19" s="297">
        <f t="shared" si="1"/>
        <v>0</v>
      </c>
    </row>
    <row r="20" spans="2:14" ht="15" hidden="1" customHeight="1">
      <c r="B20" s="241">
        <v>16</v>
      </c>
      <c r="C20" s="242" t="str">
        <f>'Program Descriptions'!C20</f>
        <v>Empty</v>
      </c>
      <c r="D20" s="579"/>
      <c r="E20" s="579"/>
      <c r="F20" s="579"/>
      <c r="G20" s="579"/>
      <c r="H20" s="579"/>
      <c r="I20" s="10">
        <f t="shared" si="0"/>
        <v>0</v>
      </c>
      <c r="K20" s="4"/>
      <c r="N20" s="297">
        <f t="shared" si="1"/>
        <v>0</v>
      </c>
    </row>
    <row r="21" spans="2:14" ht="15" hidden="1" customHeight="1">
      <c r="B21" s="241">
        <v>17</v>
      </c>
      <c r="C21" s="242" t="str">
        <f>'Program Descriptions'!C21</f>
        <v>Empty</v>
      </c>
      <c r="D21" s="580"/>
      <c r="E21" s="580"/>
      <c r="F21" s="580"/>
      <c r="G21" s="580"/>
      <c r="H21" s="580"/>
      <c r="I21" s="10">
        <f t="shared" si="0"/>
        <v>0</v>
      </c>
      <c r="K21" s="4"/>
      <c r="N21" s="297">
        <f t="shared" si="1"/>
        <v>0</v>
      </c>
    </row>
    <row r="22" spans="2:14" ht="15" hidden="1" customHeight="1">
      <c r="B22" s="241">
        <v>18</v>
      </c>
      <c r="C22" s="242" t="str">
        <f>'Program Descriptions'!C22</f>
        <v>Empty</v>
      </c>
      <c r="D22" s="580"/>
      <c r="E22" s="580"/>
      <c r="F22" s="580"/>
      <c r="G22" s="580"/>
      <c r="H22" s="580"/>
      <c r="I22" s="10">
        <f t="shared" si="0"/>
        <v>0</v>
      </c>
      <c r="K22" s="4"/>
      <c r="N22" s="297">
        <f t="shared" si="1"/>
        <v>0</v>
      </c>
    </row>
    <row r="23" spans="2:14" ht="15" hidden="1" customHeight="1">
      <c r="B23" s="241">
        <v>19</v>
      </c>
      <c r="C23" s="242" t="str">
        <f>'Program Descriptions'!C23</f>
        <v>Empty</v>
      </c>
      <c r="D23" s="580"/>
      <c r="E23" s="580"/>
      <c r="F23" s="580"/>
      <c r="G23" s="580"/>
      <c r="H23" s="580"/>
      <c r="I23" s="10">
        <f t="shared" si="0"/>
        <v>0</v>
      </c>
      <c r="K23" s="4"/>
      <c r="N23" s="297">
        <f t="shared" si="1"/>
        <v>0</v>
      </c>
    </row>
    <row r="24" spans="2:14" ht="15" hidden="1" customHeight="1" thickBot="1">
      <c r="B24" s="241">
        <v>20</v>
      </c>
      <c r="C24" s="242" t="str">
        <f>'Program Descriptions'!C24</f>
        <v>Empty</v>
      </c>
      <c r="D24" s="532"/>
      <c r="E24" s="532"/>
      <c r="F24" s="532"/>
      <c r="G24" s="532"/>
      <c r="H24" s="532"/>
      <c r="I24" s="10">
        <f t="shared" si="0"/>
        <v>0</v>
      </c>
      <c r="K24" s="4"/>
      <c r="N24" s="297">
        <f t="shared" si="1"/>
        <v>0</v>
      </c>
    </row>
    <row r="25" spans="2:14" ht="15" customHeight="1">
      <c r="B25" s="16"/>
      <c r="C25" s="245" t="s">
        <v>146</v>
      </c>
      <c r="D25" s="533">
        <f t="shared" ref="D25:I25" si="2">SUM(D5:D24)</f>
        <v>112827.14</v>
      </c>
      <c r="E25" s="533">
        <f t="shared" si="2"/>
        <v>3447849</v>
      </c>
      <c r="F25" s="533">
        <f t="shared" si="2"/>
        <v>7677054</v>
      </c>
      <c r="G25" s="533">
        <f t="shared" si="2"/>
        <v>868551.26</v>
      </c>
      <c r="H25" s="533">
        <f t="shared" si="2"/>
        <v>803787.82</v>
      </c>
      <c r="I25" s="533">
        <f t="shared" si="2"/>
        <v>12910069.219999999</v>
      </c>
      <c r="K25" s="4"/>
    </row>
    <row r="26" spans="2:14" ht="15" customHeight="1">
      <c r="B26" s="16"/>
      <c r="C26" s="246"/>
      <c r="D26" s="10"/>
      <c r="E26" s="10"/>
      <c r="F26" s="10"/>
      <c r="G26" s="10"/>
      <c r="H26" s="13" t="str">
        <f>Cost!C25</f>
        <v>Regulatory</v>
      </c>
      <c r="I26" s="580">
        <v>31695</v>
      </c>
      <c r="K26" s="4"/>
      <c r="N26" s="297">
        <f>IF(ISBLANK(I26),1,0)</f>
        <v>0</v>
      </c>
    </row>
    <row r="27" spans="2:14" ht="15" customHeight="1" thickBot="1">
      <c r="B27" s="16"/>
      <c r="C27" s="246"/>
      <c r="D27" s="10"/>
      <c r="E27" s="10"/>
      <c r="F27" s="10"/>
      <c r="G27" s="10"/>
      <c r="H27" s="11" t="s">
        <v>147</v>
      </c>
      <c r="I27" s="12">
        <f>I25+I26</f>
        <v>12941764.219999999</v>
      </c>
      <c r="K27" s="4"/>
      <c r="N27" s="2">
        <f>SUM(N5:N26)</f>
        <v>0</v>
      </c>
    </row>
    <row r="28" spans="2:14" ht="15" customHeight="1" thickTop="1">
      <c r="B28" s="5"/>
      <c r="C28" s="6"/>
      <c r="D28" s="6"/>
      <c r="E28" s="6"/>
      <c r="F28" s="6"/>
      <c r="G28" s="6"/>
      <c r="H28" s="6"/>
      <c r="I28" s="6"/>
      <c r="J28" s="6"/>
      <c r="K28" s="7"/>
    </row>
    <row r="29" spans="2:14" ht="15" customHeight="1"/>
    <row r="30" spans="2:14" ht="15" customHeight="1"/>
    <row r="31" spans="2:14" ht="15" customHeight="1"/>
    <row r="32" spans="2: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sheetProtection password="C925" sheet="1" objects="1" scenarios="1" formatRows="0"/>
  <conditionalFormatting sqref="D5:H24">
    <cfRule type="expression" dxfId="90"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N29"/>
  <sheetViews>
    <sheetView showGridLines="0" zoomScale="120" zoomScaleNormal="120" workbookViewId="0">
      <selection activeCell="I36" sqref="I36"/>
    </sheetView>
  </sheetViews>
  <sheetFormatPr defaultColWidth="9.140625" defaultRowHeight="12.75"/>
  <cols>
    <col min="1" max="1" width="1" style="2" customWidth="1"/>
    <col min="2" max="2" width="1.85546875" style="2" customWidth="1"/>
    <col min="3" max="3" width="3.42578125" style="2" customWidth="1"/>
    <col min="4" max="4" width="37" style="2" customWidth="1"/>
    <col min="5" max="6" width="14.5703125" style="2" customWidth="1"/>
    <col min="7" max="7" width="12.7109375" style="2" customWidth="1"/>
    <col min="8" max="8" width="7" style="2" customWidth="1"/>
    <col min="9" max="9" width="121.140625" style="2" customWidth="1"/>
    <col min="10" max="10" width="1.5703125" style="2" customWidth="1"/>
    <col min="11" max="11" width="1" style="2" customWidth="1"/>
    <col min="12" max="13" width="9.140625" style="2"/>
    <col min="14" max="14" width="9.140625" style="2" hidden="1" customWidth="1"/>
    <col min="15" max="16384" width="9.140625" style="2"/>
  </cols>
  <sheetData>
    <row r="1" spans="2:14" ht="5.0999999999999996" customHeight="1" thickBot="1"/>
    <row r="2" spans="2:14" ht="38.25" customHeight="1" thickBot="1">
      <c r="B2" s="684" t="s">
        <v>148</v>
      </c>
      <c r="C2" s="684"/>
      <c r="D2" s="684"/>
      <c r="E2" s="684"/>
      <c r="F2" s="684"/>
      <c r="G2" s="684"/>
      <c r="H2" s="684"/>
      <c r="I2" s="684"/>
      <c r="J2" s="684"/>
    </row>
    <row r="3" spans="2:14" ht="15.75" customHeight="1">
      <c r="B3" s="530"/>
      <c r="C3" s="572"/>
      <c r="D3" s="313" t="str">
        <f>IF(N29&gt;0,"Incomplete - All yellow shaded cells must be completed.","")</f>
        <v/>
      </c>
      <c r="E3" s="572"/>
      <c r="F3" s="572"/>
      <c r="G3" s="572"/>
      <c r="H3" s="572"/>
      <c r="I3" s="572"/>
      <c r="J3" s="531"/>
    </row>
    <row r="4" spans="2:14">
      <c r="B4" s="3"/>
      <c r="D4" s="9" t="s">
        <v>85</v>
      </c>
      <c r="E4" s="27" t="s">
        <v>149</v>
      </c>
      <c r="F4" s="27" t="s">
        <v>150</v>
      </c>
      <c r="G4" s="27" t="s">
        <v>151</v>
      </c>
      <c r="H4" s="27" t="s">
        <v>152</v>
      </c>
      <c r="I4" s="27" t="s">
        <v>153</v>
      </c>
      <c r="J4" s="4"/>
    </row>
    <row r="5" spans="2:14" ht="12.75" customHeight="1">
      <c r="B5" s="3"/>
      <c r="C5" s="581">
        <v>1</v>
      </c>
      <c r="D5" s="582" t="str">
        <f>'Program Descriptions'!C5</f>
        <v>Residential Solutions Program</v>
      </c>
      <c r="E5" s="583">
        <v>7035301</v>
      </c>
      <c r="F5" s="583">
        <f>E5-40000-165.09</f>
        <v>6995135.9100000001</v>
      </c>
      <c r="G5" s="584">
        <f>E5-F5</f>
        <v>40165.089999999851</v>
      </c>
      <c r="H5" s="585">
        <f>IF(ISERROR(G5/E5),"-",G5/E5)</f>
        <v>5.7090791140279361E-3</v>
      </c>
      <c r="I5" s="30" t="s">
        <v>154</v>
      </c>
      <c r="J5" s="4"/>
      <c r="N5" s="297">
        <f>IF(D5="Empty",0,IF(ISBLANK(E5),1,IF(H5=0,0,IF(ISBLANK(I5),1,0))))</f>
        <v>0</v>
      </c>
    </row>
    <row r="6" spans="2:14" ht="12.75" customHeight="1">
      <c r="B6" s="3"/>
      <c r="C6" s="581">
        <v>2</v>
      </c>
      <c r="D6" s="582" t="str">
        <f>'Program Descriptions'!C6</f>
        <v>Access to Afford Energy &amp; Conservation</v>
      </c>
      <c r="E6" s="583">
        <v>1947356</v>
      </c>
      <c r="F6" s="583">
        <f>E6+165.09+40000</f>
        <v>1987521.09</v>
      </c>
      <c r="G6" s="584">
        <f>E6-F6</f>
        <v>-40165.090000000084</v>
      </c>
      <c r="H6" s="585">
        <f t="shared" ref="H6:H10" si="0">IF(ISERROR(G6/E6),"-",G6/E6)</f>
        <v>-2.0625448043398373E-2</v>
      </c>
      <c r="I6" s="30" t="s">
        <v>155</v>
      </c>
      <c r="J6" s="4"/>
      <c r="N6" s="297">
        <f t="shared" ref="N6:N25" si="1">IF(D6="Empty",0,IF(ISBLANK(E6),1,IF(H6=0,0,IF(ISBLANK(I6),1,0))))</f>
        <v>0</v>
      </c>
    </row>
    <row r="7" spans="2:14">
      <c r="B7" s="3"/>
      <c r="C7" s="581">
        <v>3</v>
      </c>
      <c r="D7" s="582" t="str">
        <f>'Program Descriptions'!C7</f>
        <v>Commercial Solutions</v>
      </c>
      <c r="E7" s="583">
        <v>3927413</v>
      </c>
      <c r="F7" s="583">
        <f>E7</f>
        <v>3927413</v>
      </c>
      <c r="G7" s="584"/>
      <c r="H7" s="585">
        <f t="shared" si="0"/>
        <v>0</v>
      </c>
      <c r="I7" s="30" t="s">
        <v>156</v>
      </c>
      <c r="J7" s="4"/>
      <c r="N7" s="297">
        <f t="shared" si="1"/>
        <v>0</v>
      </c>
    </row>
    <row r="8" spans="2:14" hidden="1">
      <c r="B8" s="3"/>
      <c r="C8" s="581">
        <v>4</v>
      </c>
      <c r="D8" s="582" t="str">
        <f>'Program Descriptions'!C8</f>
        <v>Empty</v>
      </c>
      <c r="E8" s="583"/>
      <c r="F8" s="583"/>
      <c r="G8" s="584"/>
      <c r="H8" s="585" t="str">
        <f t="shared" si="0"/>
        <v>-</v>
      </c>
      <c r="I8" s="30"/>
      <c r="J8" s="4"/>
      <c r="N8" s="297">
        <f t="shared" si="1"/>
        <v>0</v>
      </c>
    </row>
    <row r="9" spans="2:14" hidden="1">
      <c r="B9" s="3"/>
      <c r="C9" s="581">
        <v>5</v>
      </c>
      <c r="D9" s="582" t="str">
        <f>'Program Descriptions'!C9</f>
        <v>Empty</v>
      </c>
      <c r="E9" s="583"/>
      <c r="F9" s="583"/>
      <c r="G9" s="584"/>
      <c r="H9" s="585" t="str">
        <f t="shared" si="0"/>
        <v>-</v>
      </c>
      <c r="I9" s="30"/>
      <c r="J9" s="4"/>
      <c r="N9" s="297">
        <f t="shared" si="1"/>
        <v>0</v>
      </c>
    </row>
    <row r="10" spans="2:14" hidden="1">
      <c r="B10" s="3"/>
      <c r="C10" s="581">
        <v>6</v>
      </c>
      <c r="D10" s="582" t="str">
        <f>'Program Descriptions'!C10</f>
        <v>Empty</v>
      </c>
      <c r="E10" s="583"/>
      <c r="F10" s="583"/>
      <c r="G10" s="584"/>
      <c r="H10" s="585" t="str">
        <f t="shared" si="0"/>
        <v>-</v>
      </c>
      <c r="I10" s="30"/>
      <c r="J10" s="4"/>
      <c r="N10" s="297">
        <f t="shared" si="1"/>
        <v>0</v>
      </c>
    </row>
    <row r="11" spans="2:14" ht="12" hidden="1" customHeight="1">
      <c r="B11" s="3"/>
      <c r="C11" s="581">
        <v>7</v>
      </c>
      <c r="D11" s="582" t="str">
        <f>'Program Descriptions'!C11</f>
        <v>Empty</v>
      </c>
      <c r="E11" s="583"/>
      <c r="F11" s="583"/>
      <c r="G11" s="584"/>
      <c r="H11" s="585" t="str">
        <f t="shared" ref="H11:H25" si="2">IF(ISERROR(G11/E11),"-",G11/E11)</f>
        <v>-</v>
      </c>
      <c r="I11" s="30"/>
      <c r="J11" s="4"/>
      <c r="N11" s="297">
        <f t="shared" si="1"/>
        <v>0</v>
      </c>
    </row>
    <row r="12" spans="2:14" hidden="1">
      <c r="B12" s="3"/>
      <c r="C12" s="581">
        <v>8</v>
      </c>
      <c r="D12" s="582" t="str">
        <f>'Program Descriptions'!C12</f>
        <v>Empty</v>
      </c>
      <c r="E12" s="583"/>
      <c r="F12" s="583"/>
      <c r="G12" s="584"/>
      <c r="H12" s="585" t="str">
        <f t="shared" si="2"/>
        <v>-</v>
      </c>
      <c r="I12" s="30"/>
      <c r="J12" s="4"/>
      <c r="N12" s="297">
        <f t="shared" si="1"/>
        <v>0</v>
      </c>
    </row>
    <row r="13" spans="2:14" hidden="1">
      <c r="B13" s="3"/>
      <c r="C13" s="581">
        <v>9</v>
      </c>
      <c r="D13" s="582" t="str">
        <f>'Program Descriptions'!C13</f>
        <v>Empty</v>
      </c>
      <c r="E13" s="583"/>
      <c r="F13" s="584"/>
      <c r="G13" s="584"/>
      <c r="H13" s="585" t="str">
        <f t="shared" si="2"/>
        <v>-</v>
      </c>
      <c r="I13" s="30"/>
      <c r="J13" s="4"/>
      <c r="N13" s="297">
        <f t="shared" si="1"/>
        <v>0</v>
      </c>
    </row>
    <row r="14" spans="2:14" hidden="1">
      <c r="B14" s="3"/>
      <c r="C14" s="581">
        <v>10</v>
      </c>
      <c r="D14" s="582" t="str">
        <f>'Program Descriptions'!C14</f>
        <v>Empty</v>
      </c>
      <c r="E14" s="583"/>
      <c r="F14" s="584"/>
      <c r="G14" s="584"/>
      <c r="H14" s="585" t="str">
        <f t="shared" si="2"/>
        <v>-</v>
      </c>
      <c r="I14" s="30"/>
      <c r="J14" s="4"/>
      <c r="N14" s="297">
        <f t="shared" si="1"/>
        <v>0</v>
      </c>
    </row>
    <row r="15" spans="2:14" hidden="1">
      <c r="B15" s="3"/>
      <c r="C15" s="581">
        <v>11</v>
      </c>
      <c r="D15" s="582" t="str">
        <f>'Program Descriptions'!C15</f>
        <v>Empty</v>
      </c>
      <c r="E15" s="583"/>
      <c r="F15" s="584"/>
      <c r="G15" s="584"/>
      <c r="H15" s="585" t="str">
        <f t="shared" si="2"/>
        <v>-</v>
      </c>
      <c r="I15" s="30"/>
      <c r="J15" s="4"/>
      <c r="N15" s="297">
        <f t="shared" si="1"/>
        <v>0</v>
      </c>
    </row>
    <row r="16" spans="2:14" hidden="1">
      <c r="B16" s="3"/>
      <c r="C16" s="581">
        <v>12</v>
      </c>
      <c r="D16" s="582" t="str">
        <f>'Program Descriptions'!C16</f>
        <v>Empty</v>
      </c>
      <c r="E16" s="583"/>
      <c r="F16" s="584"/>
      <c r="G16" s="584"/>
      <c r="H16" s="585" t="str">
        <f t="shared" si="2"/>
        <v>-</v>
      </c>
      <c r="I16" s="30"/>
      <c r="J16" s="4"/>
      <c r="N16" s="297">
        <f t="shared" si="1"/>
        <v>0</v>
      </c>
    </row>
    <row r="17" spans="2:14" hidden="1">
      <c r="B17" s="3"/>
      <c r="C17" s="581">
        <v>13</v>
      </c>
      <c r="D17" s="582" t="str">
        <f>'Program Descriptions'!C17</f>
        <v>Empty</v>
      </c>
      <c r="E17" s="583"/>
      <c r="F17" s="584"/>
      <c r="G17" s="584"/>
      <c r="H17" s="585" t="str">
        <f t="shared" si="2"/>
        <v>-</v>
      </c>
      <c r="I17" s="30"/>
      <c r="J17" s="4"/>
      <c r="N17" s="297">
        <f t="shared" si="1"/>
        <v>0</v>
      </c>
    </row>
    <row r="18" spans="2:14" hidden="1">
      <c r="B18" s="3"/>
      <c r="C18" s="581">
        <v>14</v>
      </c>
      <c r="D18" s="582" t="str">
        <f>'Program Descriptions'!C18</f>
        <v>Empty</v>
      </c>
      <c r="E18" s="583"/>
      <c r="F18" s="584"/>
      <c r="G18" s="584"/>
      <c r="H18" s="585" t="str">
        <f t="shared" si="2"/>
        <v>-</v>
      </c>
      <c r="I18" s="30"/>
      <c r="J18" s="4"/>
      <c r="N18" s="297">
        <f t="shared" si="1"/>
        <v>0</v>
      </c>
    </row>
    <row r="19" spans="2:14" hidden="1">
      <c r="B19" s="3"/>
      <c r="C19" s="581">
        <v>15</v>
      </c>
      <c r="D19" s="582" t="str">
        <f>'Program Descriptions'!C19</f>
        <v>Empty</v>
      </c>
      <c r="E19" s="583"/>
      <c r="F19" s="584"/>
      <c r="G19" s="584"/>
      <c r="H19" s="585" t="str">
        <f t="shared" si="2"/>
        <v>-</v>
      </c>
      <c r="I19" s="30"/>
      <c r="J19" s="4"/>
      <c r="N19" s="297">
        <f t="shared" si="1"/>
        <v>0</v>
      </c>
    </row>
    <row r="20" spans="2:14" hidden="1">
      <c r="B20" s="3"/>
      <c r="C20" s="581">
        <v>16</v>
      </c>
      <c r="D20" s="582" t="str">
        <f>'Program Descriptions'!C20</f>
        <v>Empty</v>
      </c>
      <c r="E20" s="583"/>
      <c r="F20" s="584"/>
      <c r="G20" s="584"/>
      <c r="H20" s="585" t="str">
        <f t="shared" si="2"/>
        <v>-</v>
      </c>
      <c r="I20" s="30"/>
      <c r="J20" s="4"/>
      <c r="N20" s="297">
        <f t="shared" si="1"/>
        <v>0</v>
      </c>
    </row>
    <row r="21" spans="2:14" hidden="1">
      <c r="B21" s="3"/>
      <c r="C21" s="581">
        <v>17</v>
      </c>
      <c r="D21" s="582" t="str">
        <f>'Program Descriptions'!C21</f>
        <v>Empty</v>
      </c>
      <c r="E21" s="586"/>
      <c r="F21" s="584"/>
      <c r="G21" s="584"/>
      <c r="H21" s="585" t="str">
        <f t="shared" si="2"/>
        <v>-</v>
      </c>
      <c r="I21" s="30"/>
      <c r="J21" s="4"/>
      <c r="N21" s="297">
        <f t="shared" si="1"/>
        <v>0</v>
      </c>
    </row>
    <row r="22" spans="2:14" hidden="1">
      <c r="B22" s="3"/>
      <c r="C22" s="581">
        <v>18</v>
      </c>
      <c r="D22" s="582" t="str">
        <f>'Program Descriptions'!C22</f>
        <v>Empty</v>
      </c>
      <c r="E22" s="586"/>
      <c r="F22" s="584"/>
      <c r="G22" s="584"/>
      <c r="H22" s="585" t="str">
        <f t="shared" si="2"/>
        <v>-</v>
      </c>
      <c r="I22" s="30"/>
      <c r="J22" s="4"/>
      <c r="N22" s="297">
        <f t="shared" si="1"/>
        <v>0</v>
      </c>
    </row>
    <row r="23" spans="2:14" hidden="1">
      <c r="B23" s="3"/>
      <c r="C23" s="581">
        <v>19</v>
      </c>
      <c r="D23" s="582" t="str">
        <f>'Program Descriptions'!C23</f>
        <v>Empty</v>
      </c>
      <c r="E23" s="586"/>
      <c r="F23" s="584"/>
      <c r="G23" s="584"/>
      <c r="H23" s="585" t="str">
        <f t="shared" si="2"/>
        <v>-</v>
      </c>
      <c r="I23" s="30"/>
      <c r="J23" s="4"/>
      <c r="N23" s="297">
        <f t="shared" si="1"/>
        <v>0</v>
      </c>
    </row>
    <row r="24" spans="2:14" hidden="1">
      <c r="B24" s="3"/>
      <c r="C24" s="581">
        <v>20</v>
      </c>
      <c r="D24" s="582" t="str">
        <f>'Program Descriptions'!C24</f>
        <v>Empty</v>
      </c>
      <c r="E24" s="586"/>
      <c r="F24" s="584"/>
      <c r="G24" s="584"/>
      <c r="H24" s="585" t="str">
        <f t="shared" si="2"/>
        <v>-</v>
      </c>
      <c r="I24" s="30"/>
      <c r="J24" s="4"/>
      <c r="N24" s="297">
        <f t="shared" si="1"/>
        <v>0</v>
      </c>
    </row>
    <row r="25" spans="2:14">
      <c r="B25" s="3"/>
      <c r="C25" s="581"/>
      <c r="D25" s="587" t="str">
        <f>Budgets!H26</f>
        <v>Regulatory</v>
      </c>
      <c r="E25" s="586">
        <v>0</v>
      </c>
      <c r="F25" s="584"/>
      <c r="G25" s="584"/>
      <c r="H25" s="585" t="str">
        <f t="shared" si="2"/>
        <v>-</v>
      </c>
      <c r="I25" s="30" t="s">
        <v>157</v>
      </c>
      <c r="J25" s="4"/>
      <c r="N25" s="297">
        <f t="shared" si="1"/>
        <v>0</v>
      </c>
    </row>
    <row r="26" spans="2:14">
      <c r="B26" s="3"/>
      <c r="C26" s="28"/>
      <c r="D26" s="29" t="s">
        <v>158</v>
      </c>
      <c r="E26" s="31">
        <f>SUM(E5:E25)</f>
        <v>12910070</v>
      </c>
      <c r="F26" s="31">
        <f>SUM(F5:F25)</f>
        <v>12910070</v>
      </c>
      <c r="G26" s="31">
        <f>SUM(G5:G25)</f>
        <v>-2.3283064365386963E-10</v>
      </c>
      <c r="H26" s="523">
        <f>IF(ISERROR(G26/E26),"-",G26/E26)</f>
        <v>-1.8034808769733211E-17</v>
      </c>
      <c r="I26" s="588" t="s">
        <v>157</v>
      </c>
      <c r="J26" s="4"/>
      <c r="N26" s="297">
        <f>IF(H26=0,0,IF(H26=0,0,IF(ISBLANK(I26),1,0)))</f>
        <v>0</v>
      </c>
    </row>
    <row r="27" spans="2:14">
      <c r="B27" s="3"/>
      <c r="J27" s="4"/>
    </row>
    <row r="28" spans="2:14">
      <c r="B28" s="3"/>
      <c r="C28" s="211"/>
      <c r="D28" s="233" t="s">
        <v>159</v>
      </c>
      <c r="E28" s="234">
        <v>85</v>
      </c>
      <c r="F28" s="329" t="s">
        <v>160</v>
      </c>
      <c r="J28" s="4"/>
      <c r="N28" s="297">
        <f>IF(ISBLANK(E28),1,0)</f>
        <v>0</v>
      </c>
    </row>
    <row r="29" spans="2:14">
      <c r="B29" s="5"/>
      <c r="C29" s="6"/>
      <c r="D29" s="6"/>
      <c r="E29" s="6"/>
      <c r="F29" s="6"/>
      <c r="G29" s="6"/>
      <c r="H29" s="6"/>
      <c r="I29" s="6"/>
      <c r="J29" s="7"/>
      <c r="N29" s="218">
        <f>SUM(N5:N28)</f>
        <v>0</v>
      </c>
    </row>
  </sheetData>
  <sheetProtection formatRows="0"/>
  <mergeCells count="1">
    <mergeCell ref="B2:J2"/>
  </mergeCells>
  <conditionalFormatting sqref="E5:I24">
    <cfRule type="expression" dxfId="89" priority="2">
      <formula>$C5&gt;Programs</formula>
    </cfRule>
  </conditionalFormatting>
  <conditionalFormatting sqref="I26">
    <cfRule type="expression" dxfId="88" priority="1">
      <formula>$H$26=0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N115"/>
  <sheetViews>
    <sheetView showGridLines="0" showRowColHeaders="0" zoomScale="90" zoomScaleNormal="90" workbookViewId="0">
      <pane ySplit="5" topLeftCell="A6" activePane="bottomLeft" state="frozen"/>
      <selection pane="bottomLeft" activeCell="G26" sqref="G26"/>
    </sheetView>
  </sheetViews>
  <sheetFormatPr defaultColWidth="9.140625" defaultRowHeight="12.75"/>
  <cols>
    <col min="1" max="1" width="1" style="2" customWidth="1"/>
    <col min="2" max="2" width="3.7109375" style="2" customWidth="1"/>
    <col min="3" max="3" width="35.7109375" style="2" customWidth="1"/>
    <col min="4" max="5" width="13.28515625" style="2" customWidth="1"/>
    <col min="6" max="6" width="8.7109375" style="2" customWidth="1"/>
    <col min="7" max="7" width="13.28515625" style="2" customWidth="1"/>
    <col min="8" max="8" width="20.5703125" style="2" customWidth="1"/>
    <col min="9" max="9" width="13.28515625" style="2" customWidth="1"/>
    <col min="10" max="10" width="5.85546875" style="2" customWidth="1"/>
    <col min="11" max="11" width="5.28515625" style="2" customWidth="1"/>
    <col min="12" max="12" width="1" style="2" customWidth="1"/>
    <col min="13" max="13" width="16" style="2" customWidth="1"/>
    <col min="14" max="14" width="0" style="2" hidden="1" customWidth="1"/>
    <col min="15" max="16384" width="9.140625" style="2"/>
  </cols>
  <sheetData>
    <row r="1" spans="2:14" ht="28.5" customHeight="1"/>
    <row r="2" spans="2:14" ht="76.5" customHeight="1">
      <c r="B2" s="569"/>
      <c r="C2" s="570"/>
      <c r="D2" s="570"/>
      <c r="E2" s="570"/>
      <c r="F2" s="570"/>
      <c r="G2" s="570"/>
      <c r="H2" s="570"/>
      <c r="I2" s="570"/>
      <c r="J2" s="570"/>
      <c r="K2" s="571"/>
    </row>
    <row r="3" spans="2:14" ht="11.25" customHeight="1">
      <c r="B3" s="530"/>
      <c r="C3" s="313" t="str">
        <f>IF(N26&gt;0,"Incomplete - All yellow shaded cells must be completed.","")</f>
        <v/>
      </c>
      <c r="D3" s="572"/>
      <c r="E3" s="572"/>
      <c r="F3" s="572"/>
      <c r="G3" s="572"/>
      <c r="H3" s="572"/>
      <c r="I3" s="572"/>
      <c r="J3" s="572"/>
      <c r="K3" s="531"/>
    </row>
    <row r="4" spans="2:14" ht="25.5">
      <c r="B4" s="3"/>
      <c r="D4" s="243" t="s">
        <v>161</v>
      </c>
      <c r="E4" s="243" t="s">
        <v>162</v>
      </c>
      <c r="K4" s="4"/>
    </row>
    <row r="5" spans="2:14" ht="15.75">
      <c r="B5" s="3"/>
      <c r="C5" s="8" t="s">
        <v>85</v>
      </c>
      <c r="D5" s="243" t="str">
        <f>"("&amp;Demand_1&amp;")"</f>
        <v>(Therms)</v>
      </c>
      <c r="E5" s="243" t="str">
        <f>"("&amp;Energy_1&amp;")"</f>
        <v>(Therms)</v>
      </c>
      <c r="G5" s="243" t="s">
        <v>163</v>
      </c>
      <c r="H5" s="243" t="s">
        <v>164</v>
      </c>
      <c r="K5" s="4"/>
    </row>
    <row r="6" spans="2:14" ht="15" customHeight="1">
      <c r="B6" s="241">
        <v>1</v>
      </c>
      <c r="C6" s="242" t="str">
        <f>'Program Descriptions'!C5</f>
        <v>Residential Solutions Program</v>
      </c>
      <c r="D6" s="589">
        <v>0</v>
      </c>
      <c r="E6" s="589">
        <v>1101642</v>
      </c>
      <c r="G6" s="589">
        <v>93318</v>
      </c>
      <c r="H6" s="567" t="s">
        <v>165</v>
      </c>
      <c r="K6" s="4"/>
      <c r="N6" s="297">
        <f t="shared" ref="N6:N25" si="0">IF(C6="Empty",0,IF(OR(ISBLANK(IF(Demand_1=NG_Demand,E6,D6)),ISBLANK(E6),ISBLANK(G6),ISBLANK(H6)),1,0))</f>
        <v>0</v>
      </c>
    </row>
    <row r="7" spans="2:14" ht="15" customHeight="1">
      <c r="B7" s="241">
        <v>2</v>
      </c>
      <c r="C7" s="242" t="str">
        <f>'Program Descriptions'!C6</f>
        <v>Access to Afford Energy &amp; Conservation</v>
      </c>
      <c r="D7" s="589">
        <v>0</v>
      </c>
      <c r="E7" s="589">
        <v>541439</v>
      </c>
      <c r="G7" s="589">
        <v>64865</v>
      </c>
      <c r="H7" s="567" t="s">
        <v>165</v>
      </c>
      <c r="K7" s="4"/>
      <c r="N7" s="297">
        <f t="shared" si="0"/>
        <v>0</v>
      </c>
    </row>
    <row r="8" spans="2:14" ht="15" customHeight="1" thickBot="1">
      <c r="B8" s="241">
        <v>3</v>
      </c>
      <c r="C8" s="242" t="str">
        <f>'Program Descriptions'!C7</f>
        <v>Commercial Solutions</v>
      </c>
      <c r="D8" s="589">
        <v>0</v>
      </c>
      <c r="E8" s="589">
        <v>1996743</v>
      </c>
      <c r="G8" s="589">
        <v>687</v>
      </c>
      <c r="H8" s="567" t="s">
        <v>166</v>
      </c>
      <c r="K8" s="4"/>
      <c r="N8" s="297">
        <f t="shared" si="0"/>
        <v>0</v>
      </c>
    </row>
    <row r="9" spans="2:14" ht="15" hidden="1" customHeight="1">
      <c r="B9" s="241">
        <v>4</v>
      </c>
      <c r="C9" s="242" t="str">
        <f>'Program Descriptions'!C8</f>
        <v>Empty</v>
      </c>
      <c r="D9" s="589"/>
      <c r="E9" s="589"/>
      <c r="G9" s="589"/>
      <c r="H9" s="567"/>
      <c r="K9" s="4"/>
      <c r="N9" s="297">
        <f t="shared" si="0"/>
        <v>0</v>
      </c>
    </row>
    <row r="10" spans="2:14" ht="15" hidden="1" customHeight="1">
      <c r="B10" s="241">
        <v>5</v>
      </c>
      <c r="C10" s="242" t="str">
        <f>'Program Descriptions'!C9</f>
        <v>Empty</v>
      </c>
      <c r="D10" s="589"/>
      <c r="E10" s="589"/>
      <c r="G10" s="589"/>
      <c r="H10" s="567"/>
      <c r="K10" s="4"/>
      <c r="N10" s="297">
        <f t="shared" si="0"/>
        <v>0</v>
      </c>
    </row>
    <row r="11" spans="2:14" ht="15" hidden="1" customHeight="1">
      <c r="B11" s="241">
        <v>6</v>
      </c>
      <c r="C11" s="242" t="str">
        <f>'Program Descriptions'!C10</f>
        <v>Empty</v>
      </c>
      <c r="D11" s="589"/>
      <c r="E11" s="589"/>
      <c r="G11" s="589"/>
      <c r="H11" s="567"/>
      <c r="K11" s="4"/>
      <c r="N11" s="297">
        <f t="shared" si="0"/>
        <v>0</v>
      </c>
    </row>
    <row r="12" spans="2:14" ht="15" hidden="1" customHeight="1">
      <c r="B12" s="241">
        <v>7</v>
      </c>
      <c r="C12" s="242" t="str">
        <f>'Program Descriptions'!C11</f>
        <v>Empty</v>
      </c>
      <c r="D12" s="589"/>
      <c r="E12" s="589"/>
      <c r="G12" s="589"/>
      <c r="H12" s="567"/>
      <c r="K12" s="4"/>
      <c r="N12" s="297">
        <f t="shared" si="0"/>
        <v>0</v>
      </c>
    </row>
    <row r="13" spans="2:14" ht="15" hidden="1" customHeight="1">
      <c r="B13" s="241">
        <v>8</v>
      </c>
      <c r="C13" s="242" t="str">
        <f>'Program Descriptions'!C12</f>
        <v>Empty</v>
      </c>
      <c r="D13" s="589"/>
      <c r="E13" s="589"/>
      <c r="G13" s="589"/>
      <c r="H13" s="567"/>
      <c r="K13" s="4"/>
      <c r="N13" s="297">
        <f t="shared" si="0"/>
        <v>0</v>
      </c>
    </row>
    <row r="14" spans="2:14" ht="15" hidden="1" customHeight="1">
      <c r="B14" s="241">
        <v>9</v>
      </c>
      <c r="C14" s="242" t="str">
        <f>'Program Descriptions'!C13</f>
        <v>Empty</v>
      </c>
      <c r="D14" s="589"/>
      <c r="E14" s="589"/>
      <c r="G14" s="589"/>
      <c r="H14" s="567"/>
      <c r="K14" s="4"/>
      <c r="N14" s="297">
        <f t="shared" si="0"/>
        <v>0</v>
      </c>
    </row>
    <row r="15" spans="2:14" ht="15" hidden="1" customHeight="1">
      <c r="B15" s="241">
        <v>10</v>
      </c>
      <c r="C15" s="242" t="str">
        <f>'Program Descriptions'!C14</f>
        <v>Empty</v>
      </c>
      <c r="D15" s="589"/>
      <c r="E15" s="589"/>
      <c r="G15" s="589"/>
      <c r="H15" s="567"/>
      <c r="K15" s="4"/>
      <c r="N15" s="297">
        <f t="shared" si="0"/>
        <v>0</v>
      </c>
    </row>
    <row r="16" spans="2:14" ht="15" hidden="1" customHeight="1">
      <c r="B16" s="241">
        <v>11</v>
      </c>
      <c r="C16" s="242" t="str">
        <f>'Program Descriptions'!C15</f>
        <v>Empty</v>
      </c>
      <c r="D16" s="589"/>
      <c r="E16" s="589"/>
      <c r="G16" s="589"/>
      <c r="H16" s="567"/>
      <c r="K16" s="4"/>
      <c r="N16" s="297">
        <f t="shared" si="0"/>
        <v>0</v>
      </c>
    </row>
    <row r="17" spans="2:14" ht="15" hidden="1" customHeight="1">
      <c r="B17" s="241">
        <v>12</v>
      </c>
      <c r="C17" s="242" t="str">
        <f>'Program Descriptions'!C16</f>
        <v>Empty</v>
      </c>
      <c r="D17" s="589"/>
      <c r="E17" s="589"/>
      <c r="G17" s="589"/>
      <c r="H17" s="567"/>
      <c r="K17" s="4"/>
      <c r="N17" s="297">
        <f t="shared" si="0"/>
        <v>0</v>
      </c>
    </row>
    <row r="18" spans="2:14" ht="15" hidden="1" customHeight="1">
      <c r="B18" s="241">
        <v>13</v>
      </c>
      <c r="C18" s="242" t="str">
        <f>'Program Descriptions'!C17</f>
        <v>Empty</v>
      </c>
      <c r="D18" s="589"/>
      <c r="E18" s="589"/>
      <c r="G18" s="589"/>
      <c r="H18" s="567"/>
      <c r="K18" s="4"/>
      <c r="N18" s="297">
        <f t="shared" si="0"/>
        <v>0</v>
      </c>
    </row>
    <row r="19" spans="2:14" ht="15" hidden="1" customHeight="1">
      <c r="B19" s="241">
        <v>14</v>
      </c>
      <c r="C19" s="242" t="str">
        <f>'Program Descriptions'!C18</f>
        <v>Empty</v>
      </c>
      <c r="D19" s="589"/>
      <c r="E19" s="589"/>
      <c r="G19" s="589"/>
      <c r="H19" s="567"/>
      <c r="K19" s="4"/>
      <c r="N19" s="297">
        <f t="shared" si="0"/>
        <v>0</v>
      </c>
    </row>
    <row r="20" spans="2:14" ht="15" hidden="1" customHeight="1">
      <c r="B20" s="241">
        <v>15</v>
      </c>
      <c r="C20" s="242" t="str">
        <f>'Program Descriptions'!C19</f>
        <v>Empty</v>
      </c>
      <c r="D20" s="589"/>
      <c r="E20" s="589"/>
      <c r="G20" s="589"/>
      <c r="H20" s="567"/>
      <c r="K20" s="4"/>
      <c r="N20" s="297">
        <f t="shared" si="0"/>
        <v>0</v>
      </c>
    </row>
    <row r="21" spans="2:14" ht="15" hidden="1" customHeight="1">
      <c r="B21" s="241">
        <v>16</v>
      </c>
      <c r="C21" s="242" t="str">
        <f>'Program Descriptions'!C20</f>
        <v>Empty</v>
      </c>
      <c r="D21" s="589"/>
      <c r="E21" s="589"/>
      <c r="G21" s="589"/>
      <c r="H21" s="567"/>
      <c r="K21" s="4"/>
      <c r="N21" s="297">
        <f t="shared" si="0"/>
        <v>0</v>
      </c>
    </row>
    <row r="22" spans="2:14" ht="15" hidden="1" customHeight="1">
      <c r="B22" s="241">
        <v>17</v>
      </c>
      <c r="C22" s="242" t="str">
        <f>'Program Descriptions'!C21</f>
        <v>Empty</v>
      </c>
      <c r="D22" s="589"/>
      <c r="E22" s="589"/>
      <c r="G22" s="589"/>
      <c r="H22" s="567"/>
      <c r="K22" s="4"/>
      <c r="N22" s="297">
        <f t="shared" si="0"/>
        <v>0</v>
      </c>
    </row>
    <row r="23" spans="2:14" ht="15" hidden="1" customHeight="1">
      <c r="B23" s="241">
        <v>18</v>
      </c>
      <c r="C23" s="242" t="str">
        <f>'Program Descriptions'!C22</f>
        <v>Empty</v>
      </c>
      <c r="D23" s="589"/>
      <c r="E23" s="589"/>
      <c r="G23" s="589"/>
      <c r="H23" s="567"/>
      <c r="K23" s="4"/>
      <c r="N23" s="297">
        <f t="shared" si="0"/>
        <v>0</v>
      </c>
    </row>
    <row r="24" spans="2:14" ht="15" hidden="1" customHeight="1">
      <c r="B24" s="241">
        <v>19</v>
      </c>
      <c r="C24" s="242" t="str">
        <f>'Program Descriptions'!C23</f>
        <v>Empty</v>
      </c>
      <c r="D24" s="589"/>
      <c r="E24" s="589"/>
      <c r="G24" s="589"/>
      <c r="H24" s="567"/>
      <c r="K24" s="4"/>
      <c r="N24" s="297">
        <f t="shared" si="0"/>
        <v>0</v>
      </c>
    </row>
    <row r="25" spans="2:14" ht="15" hidden="1" customHeight="1" thickBot="1">
      <c r="B25" s="241">
        <v>20</v>
      </c>
      <c r="C25" s="242" t="str">
        <f>'Program Descriptions'!C24</f>
        <v>Empty</v>
      </c>
      <c r="D25" s="589"/>
      <c r="E25" s="589"/>
      <c r="G25" s="589"/>
      <c r="H25" s="567"/>
      <c r="K25" s="4"/>
      <c r="N25" s="297">
        <f t="shared" si="0"/>
        <v>0</v>
      </c>
    </row>
    <row r="26" spans="2:14" ht="15" customHeight="1">
      <c r="B26" s="16"/>
      <c r="C26" s="246" t="s">
        <v>146</v>
      </c>
      <c r="D26" s="534">
        <f>SUM(D6:D25)</f>
        <v>0</v>
      </c>
      <c r="E26" s="534">
        <f>SUM(E6:E25)</f>
        <v>3639824</v>
      </c>
      <c r="G26" s="534">
        <f>SUM(G6:G25)</f>
        <v>158870</v>
      </c>
      <c r="H26" s="534"/>
      <c r="K26" s="4"/>
      <c r="N26" s="2">
        <f>SUM(N6:N25)</f>
        <v>0</v>
      </c>
    </row>
    <row r="27" spans="2:14" ht="15" customHeight="1">
      <c r="B27" s="16"/>
      <c r="C27" s="246"/>
      <c r="D27" s="10"/>
      <c r="E27" s="10"/>
      <c r="F27" s="10"/>
      <c r="G27" s="10"/>
      <c r="K27" s="4"/>
    </row>
    <row r="28" spans="2:14" ht="15" customHeight="1">
      <c r="B28" s="5"/>
      <c r="C28" s="6"/>
      <c r="D28" s="6"/>
      <c r="E28" s="6"/>
      <c r="F28" s="6"/>
      <c r="G28" s="6"/>
      <c r="H28" s="6"/>
      <c r="I28" s="6"/>
      <c r="J28" s="6"/>
      <c r="K28" s="7"/>
    </row>
    <row r="29" spans="2:14" ht="15" customHeight="1"/>
    <row r="30" spans="2:14" ht="15" customHeight="1"/>
    <row r="31" spans="2:14" ht="15" customHeight="1"/>
    <row r="32" spans="2: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sheetProtection password="C925" sheet="1" objects="1" scenarios="1" formatRows="0"/>
  <conditionalFormatting sqref="D6:D25">
    <cfRule type="expression" dxfId="87" priority="69">
      <formula>Demand_1=NG_Demand</formula>
    </cfRule>
  </conditionalFormatting>
  <conditionalFormatting sqref="D6:E25 G6:H25">
    <cfRule type="expression" dxfId="86"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K104"/>
  <sheetViews>
    <sheetView showGridLines="0" showRowColHeaders="0" zoomScaleNormal="100" workbookViewId="0">
      <pane ySplit="2" topLeftCell="A3" activePane="bottomLeft" state="frozen"/>
      <selection pane="bottomLeft" activeCell="A3" sqref="A3"/>
    </sheetView>
  </sheetViews>
  <sheetFormatPr defaultColWidth="9.140625" defaultRowHeight="12.75"/>
  <cols>
    <col min="1" max="1" width="1" style="2" customWidth="1"/>
    <col min="2" max="2" width="3.7109375" style="2" customWidth="1"/>
    <col min="3" max="3" width="21" style="2" customWidth="1"/>
    <col min="4" max="8" width="15.7109375" style="2" customWidth="1"/>
    <col min="9" max="9" width="13.28515625" style="2" customWidth="1"/>
    <col min="10" max="10" width="5.85546875" style="2" customWidth="1"/>
    <col min="11" max="11" width="10.42578125" style="2" customWidth="1"/>
    <col min="12" max="12" width="1" style="2" customWidth="1"/>
    <col min="13" max="13" width="16" style="2" customWidth="1"/>
    <col min="14" max="16384" width="9.140625" style="2"/>
  </cols>
  <sheetData>
    <row r="1" spans="2:11" ht="28.5" customHeight="1"/>
    <row r="2" spans="2:11" ht="64.5" customHeight="1">
      <c r="B2" s="569"/>
      <c r="C2" s="570"/>
      <c r="D2" s="570"/>
      <c r="E2" s="570"/>
      <c r="F2" s="570"/>
      <c r="G2" s="570"/>
      <c r="H2" s="570"/>
      <c r="I2" s="570"/>
      <c r="J2" s="570"/>
      <c r="K2" s="571"/>
    </row>
    <row r="3" spans="2:11" ht="7.5" customHeight="1">
      <c r="B3" s="530"/>
      <c r="C3" s="572"/>
      <c r="D3" s="572"/>
      <c r="E3" s="572"/>
      <c r="F3" s="572"/>
      <c r="G3" s="572"/>
      <c r="H3" s="572"/>
      <c r="I3" s="572"/>
      <c r="J3" s="572"/>
      <c r="K3" s="531"/>
    </row>
    <row r="4" spans="2:11" ht="15" customHeight="1">
      <c r="B4" s="3"/>
      <c r="K4" s="4"/>
    </row>
    <row r="5" spans="2:11" ht="15" customHeight="1">
      <c r="B5" s="3"/>
      <c r="D5" s="14" t="s">
        <v>167</v>
      </c>
      <c r="E5" s="14" t="s">
        <v>168</v>
      </c>
      <c r="F5" s="14" t="s">
        <v>169</v>
      </c>
      <c r="G5" s="14" t="s">
        <v>170</v>
      </c>
      <c r="H5" s="14" t="s">
        <v>171</v>
      </c>
      <c r="K5" s="4"/>
    </row>
    <row r="6" spans="2:11" ht="15" customHeight="1">
      <c r="B6" s="3"/>
      <c r="C6" s="8" t="s">
        <v>172</v>
      </c>
      <c r="D6" s="15">
        <f>External!F24</f>
        <v>7</v>
      </c>
      <c r="E6" s="15">
        <f>External!J24</f>
        <v>1540</v>
      </c>
      <c r="F6" s="15">
        <f>External!L24</f>
        <v>13380</v>
      </c>
      <c r="G6" s="15">
        <f>External!N24</f>
        <v>0</v>
      </c>
      <c r="H6" s="580">
        <v>3050</v>
      </c>
      <c r="K6" s="4"/>
    </row>
    <row r="7" spans="2:11" ht="15" customHeight="1">
      <c r="B7" s="3"/>
      <c r="K7" s="4"/>
    </row>
    <row r="8" spans="2:11" ht="15" customHeight="1">
      <c r="B8" s="3"/>
      <c r="K8" s="4"/>
    </row>
    <row r="9" spans="2:11" ht="15" customHeight="1">
      <c r="B9" s="3"/>
      <c r="K9" s="4"/>
    </row>
    <row r="10" spans="2:11" ht="15" customHeight="1">
      <c r="B10" s="3"/>
      <c r="K10" s="4"/>
    </row>
    <row r="11" spans="2:11" ht="15" customHeight="1">
      <c r="B11" s="3"/>
      <c r="D11" s="14" t="s">
        <v>167</v>
      </c>
      <c r="E11" s="14" t="s">
        <v>168</v>
      </c>
      <c r="F11" s="14" t="s">
        <v>169</v>
      </c>
      <c r="G11" s="14" t="s">
        <v>170</v>
      </c>
      <c r="H11" s="14" t="s">
        <v>171</v>
      </c>
      <c r="K11" s="4"/>
    </row>
    <row r="12" spans="2:11" ht="15" customHeight="1">
      <c r="B12" s="3"/>
      <c r="C12" s="8" t="s">
        <v>173</v>
      </c>
      <c r="D12" s="15">
        <f>Internal!F55</f>
        <v>18</v>
      </c>
      <c r="E12" s="15">
        <f>Internal!J55</f>
        <v>46</v>
      </c>
      <c r="F12" s="15">
        <f>Internal!L55</f>
        <v>106</v>
      </c>
      <c r="G12" s="15">
        <f>Internal!N55</f>
        <v>22</v>
      </c>
      <c r="H12" s="580">
        <v>670</v>
      </c>
      <c r="K12" s="4"/>
    </row>
    <row r="13" spans="2:11" ht="15" customHeight="1">
      <c r="B13" s="3"/>
      <c r="K13" s="4"/>
    </row>
    <row r="14" spans="2:11" ht="15" customHeight="1">
      <c r="B14" s="3"/>
      <c r="K14" s="4"/>
    </row>
    <row r="15" spans="2:11" ht="15" customHeight="1">
      <c r="B15" s="3"/>
      <c r="K15" s="4"/>
    </row>
    <row r="16" spans="2:11" ht="15" customHeight="1">
      <c r="B16" s="3"/>
      <c r="K16" s="4"/>
    </row>
    <row r="17" spans="2:11" ht="15" customHeight="1">
      <c r="B17" s="5"/>
      <c r="C17" s="6"/>
      <c r="D17" s="6"/>
      <c r="E17" s="6"/>
      <c r="F17" s="6"/>
      <c r="G17" s="6"/>
      <c r="H17" s="6"/>
      <c r="I17" s="6"/>
      <c r="J17" s="6"/>
      <c r="K17" s="7"/>
    </row>
    <row r="18" spans="2:11" ht="15" customHeight="1"/>
    <row r="19" spans="2:11" ht="15" customHeight="1"/>
    <row r="20" spans="2:11" ht="15" customHeight="1"/>
    <row r="21" spans="2:11" ht="15" customHeight="1"/>
    <row r="22" spans="2:11" ht="1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D171F7B3DDE74E98E0F5431EAE6308" ma:contentTypeVersion="22" ma:contentTypeDescription="Create a new document." ma:contentTypeScope="" ma:versionID="3d1fe2ffc7530927bcb651eadd8810cd">
  <xsd:schema xmlns:xsd="http://www.w3.org/2001/XMLSchema" xmlns:xs="http://www.w3.org/2001/XMLSchema" xmlns:p="http://schemas.microsoft.com/office/2006/metadata/properties" xmlns:ns1="http://schemas.microsoft.com/sharepoint/v3" xmlns:ns2="aca7d723-bad4-4126-8137-f7b547dbf029" xmlns:ns3="4a83a662-decd-40e8-89ab-21918cab0e69" targetNamespace="http://schemas.microsoft.com/office/2006/metadata/properties" ma:root="true" ma:fieldsID="e71412b0a0f9009ad7f9afe451868519" ns1:_="" ns2:_="" ns3:_="">
    <xsd:import namespace="http://schemas.microsoft.com/sharepoint/v3"/>
    <xsd:import namespace="aca7d723-bad4-4126-8137-f7b547dbf029"/>
    <xsd:import namespace="4a83a662-decd-40e8-89ab-21918cab0e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3:SharedWithUsers" minOccurs="0"/>
                <xsd:element ref="ns3:SharedWithDetails" minOccurs="0"/>
                <xsd:element ref="ns2:MediaServiceLocation"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a7d723-bad4-4126-8137-f7b547dbf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869a17e-d325-4bb8-b869-a416430990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83a662-decd-40e8-89ab-21918cab0e6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323c754b-1600-4d99-b7ef-bf53aa3ce010}" ma:internalName="TaxCatchAll" ma:showField="CatchAllData" ma:web="4a83a662-decd-40e8-89ab-21918cab0e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a83a662-decd-40e8-89ab-21918cab0e69" xsi:nil="true"/>
    <lcf76f155ced4ddcb4097134ff3c332f xmlns="aca7d723-bad4-4126-8137-f7b547dbf02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aca7d723-bad4-4126-8137-f7b547dbf029" xsi:nil="true"/>
  </documentManagement>
</p:properties>
</file>

<file path=customXml/itemProps1.xml><?xml version="1.0" encoding="utf-8"?>
<ds:datastoreItem xmlns:ds="http://schemas.openxmlformats.org/officeDocument/2006/customXml" ds:itemID="{2F124A3C-983D-41F3-8AB4-DE6F70BBD19F}">
  <ds:schemaRefs>
    <ds:schemaRef ds:uri="http://schemas.microsoft.com/sharepoint/v3/contenttype/forms"/>
  </ds:schemaRefs>
</ds:datastoreItem>
</file>

<file path=customXml/itemProps2.xml><?xml version="1.0" encoding="utf-8"?>
<ds:datastoreItem xmlns:ds="http://schemas.openxmlformats.org/officeDocument/2006/customXml" ds:itemID="{EE6AC0D0-C42B-4529-8229-3E9E9DB59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a7d723-bad4-4126-8137-f7b547dbf029"/>
    <ds:schemaRef ds:uri="4a83a662-decd-40e8-89ab-21918cab0e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25973-12FF-4505-BF12-145BEBC98AF6}">
  <ds:schemaRefs>
    <ds:schemaRef ds:uri="http://schemas.microsoft.com/office/2006/metadata/properties"/>
    <ds:schemaRef ds:uri="http://schemas.microsoft.com/office/infopath/2007/PartnerControls"/>
    <ds:schemaRef ds:uri="4a83a662-decd-40e8-89ab-21918cab0e69"/>
    <ds:schemaRef ds:uri="aca7d723-bad4-4126-8137-f7b547dbf02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26</vt:i4>
      </vt:variant>
    </vt:vector>
  </HeadingPairs>
  <TitlesOfParts>
    <vt:vector size="76"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LCFC</vt:lpstr>
      <vt:lpstr>Incentives</vt:lpstr>
      <vt:lpstr>Carbon Calculator</vt:lpstr>
      <vt:lpstr>Not Used</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Daniel Sheppard</cp:lastModifiedBy>
  <cp:revision/>
  <dcterms:created xsi:type="dcterms:W3CDTF">2010-09-07T19:03:37Z</dcterms:created>
  <dcterms:modified xsi:type="dcterms:W3CDTF">2026-06-11T14:42:53Z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13510943-5961-42c9-97c3-7fba35935fc8</vt:lpwstr>
  </property>
  <property fmtid="{D5CDD505-2E9C-101B-9397-08002B2CF9AE}" pid="3" name="ContentTypeId">
    <vt:lpwstr>0x01010041D171F7B3DDE74E98E0F5431EAE6308</vt:lpwstr>
  </property>
  <property fmtid="{D5CDD505-2E9C-101B-9397-08002B2CF9AE}" pid="4" name="ComplianceAssetId">
    <vt:lpwstr/>
  </property>
  <property fmtid="{D5CDD505-2E9C-101B-9397-08002B2CF9AE}" pid="5" name="MediaServiceImageTags">
    <vt:lpwstr/>
  </property>
</Properties>
</file>