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tables/table2.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harts/chart1.xml" ContentType="application/vnd.openxmlformats-officedocument.drawingml.chart+xml"/>
  <Override PartName="/xl/drawings/drawing37.xml" ContentType="application/vnd.openxmlformats-officedocument.drawing+xml"/>
  <Override PartName="/xl/charts/chart2.xml" ContentType="application/vnd.openxmlformats-officedocument.drawingml.chart+xml"/>
  <Override PartName="/xl/drawings/drawing38.xml" ContentType="application/vnd.openxmlformats-officedocument.drawing+xml"/>
  <Override PartName="/xl/charts/chart3.xml" ContentType="application/vnd.openxmlformats-officedocument.drawingml.chart+xml"/>
  <Override PartName="/xl/drawings/drawing39.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40.xml" ContentType="application/vnd.openxmlformats-officedocument.drawing+xml"/>
  <Override PartName="/xl/charts/chart6.xml" ContentType="application/vnd.openxmlformats-officedocument.drawingml.chart+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hidePivotFieldList="1"/>
  <mc:AlternateContent xmlns:mc="http://schemas.openxmlformats.org/markup-compatibility/2006">
    <mc:Choice Requires="x15">
      <x15ac:absPath xmlns:x15ac="http://schemas.microsoft.com/office/spreadsheetml/2010/11/ac" url="\\APSCSVR2\Cost Allocation and Rate Design\AAA CARD - New PRIMARY 2-28-2025\Energy Efficiency\EE Dockets - TF\EE Ann. Reports + EECR\Filing Year 2025\07-078-TF (Black Hills)\Company Files\"/>
    </mc:Choice>
  </mc:AlternateContent>
  <xr:revisionPtr revIDLastSave="0" documentId="14_{FE5CF553-C9CA-4F07-B89E-814F76210C2E}" xr6:coauthVersionLast="47" xr6:coauthVersionMax="47" xr10:uidLastSave="{00000000-0000-0000-0000-000000000000}"/>
  <bookViews>
    <workbookView xWindow="-16428" yWindow="-108" windowWidth="16536" windowHeight="8712" tabRatio="769" firstSheet="3" activeTab="7" xr2:uid="{00000000-000D-0000-FFFF-FFFF00000000}"/>
  </bookViews>
  <sheets>
    <sheet name="Main Menu" sheetId="57" r:id="rId1"/>
    <sheet name="Instructions" sheetId="59" r:id="rId2"/>
    <sheet name="Utility Information" sheetId="51" r:id="rId3"/>
    <sheet name="Program Descriptions" sheetId="52" r:id="rId4"/>
    <sheet name="Program Detail" sheetId="67" r:id="rId5"/>
    <sheet name="Budgets" sheetId="53" r:id="rId6"/>
    <sheet name="Rec1" sheetId="68" r:id="rId7"/>
    <sheet name="Savings &amp; Participants" sheetId="54" r:id="rId8"/>
    <sheet name="Training" sheetId="55" r:id="rId9"/>
    <sheet name="External" sheetId="69" r:id="rId10"/>
    <sheet name="Internal" sheetId="99" r:id="rId11"/>
    <sheet name="Not Used1" sheetId="56" r:id="rId12"/>
    <sheet name="Actual Expenses" sheetId="60" r:id="rId13"/>
    <sheet name="Rec2" sheetId="71" r:id="rId14"/>
    <sheet name="Evaluated Savings" sheetId="61" r:id="rId15"/>
    <sheet name="Savings Methodology" sheetId="72" r:id="rId16"/>
    <sheet name="Cost-Benefits" sheetId="62" r:id="rId17"/>
    <sheet name="Key Assumptions" sheetId="73" r:id="rId18"/>
    <sheet name="NEBs" sheetId="96" r:id="rId19"/>
    <sheet name="Other CB Test" sheetId="74" r:id="rId20"/>
    <sheet name="LCFC" sheetId="63" r:id="rId21"/>
    <sheet name="Incentives" sheetId="64" r:id="rId22"/>
    <sheet name="Not Used2" sheetId="58" r:id="rId23"/>
    <sheet name="Prior Year Progam" sheetId="75" r:id="rId24"/>
    <sheet name="Prior Year Portfolio" sheetId="94" r:id="rId25"/>
    <sheet name="Glossary" sheetId="66" r:id="rId26"/>
    <sheet name="Definition-Program Type" sheetId="84" r:id="rId27"/>
    <sheet name="Definition-Participants" sheetId="98" r:id="rId28"/>
    <sheet name="Definition-Res" sheetId="88" r:id="rId29"/>
    <sheet name="Definition-C&amp;I" sheetId="89" r:id="rId30"/>
    <sheet name="Definition-CS" sheetId="90" r:id="rId31"/>
    <sheet name="Cost" sheetId="49" r:id="rId32"/>
    <sheet name="List" sheetId="65" r:id="rId33"/>
    <sheet name="Data" sheetId="78" r:id="rId34"/>
    <sheet name="Order" sheetId="77" r:id="rId35"/>
    <sheet name="Tables" sheetId="79" r:id="rId36"/>
    <sheet name="Table 1" sheetId="82" r:id="rId37"/>
    <sheet name="Table 2" sheetId="76" r:id="rId38"/>
    <sheet name="Table 3" sheetId="80" r:id="rId39"/>
    <sheet name="Table 4" sheetId="81" r:id="rId40"/>
    <sheet name="Table 5" sheetId="86" r:id="rId41"/>
    <sheet name="Report 1" sheetId="83" r:id="rId42"/>
    <sheet name="Report 2" sheetId="92" r:id="rId43"/>
    <sheet name="Report 3" sheetId="95" r:id="rId44"/>
    <sheet name="PY Data" sheetId="91" r:id="rId45"/>
    <sheet name="Next Years" sheetId="87" r:id="rId46"/>
    <sheet name="Titles" sheetId="45" r:id="rId47"/>
    <sheet name="Incomplete" sheetId="97" r:id="rId48"/>
    <sheet name="Targets" sheetId="93" r:id="rId49"/>
  </sheets>
  <definedNames>
    <definedName name="D_Channel">OFFSET(List!$E$5,0,0,COUNTA(List!$E$5:$E$108),1)</definedName>
    <definedName name="Demand_1">Titles!$F$15</definedName>
    <definedName name="Demand_2">Titles!$F$16</definedName>
    <definedName name="Discount_Rate">'Key Assumptions'!$D$6</definedName>
    <definedName name="Energy_1">Titles!$F$13</definedName>
    <definedName name="Energy_2">Titles!$F$14</definedName>
    <definedName name="F_Utility">Titles!$F$3</definedName>
    <definedName name="G_List">'Report 2'!$D$24:$D$25</definedName>
    <definedName name="Graph_2">OFFSET(Tables!$I$94,0,0,COUNTIF(Tables!$E$94:$E$103,"&gt;0"),1)</definedName>
    <definedName name="Graph_C2">OFFSET(Tables!$E$107,0,0,COUNTIF(Tables!$D$107:$D$126,"&gt;0"),1)</definedName>
    <definedName name="Graph_S2">OFFSET(Tables!$G$107,0,0,COUNTIF(Tables!$E$107:$E$126,"&gt;0"),1)</definedName>
    <definedName name="NG_Demand">Titles!$B$29</definedName>
    <definedName name="Participant_List">OFFSET(List!$G$5,0,0,COUNTA(List!$G$5:$G$109),1)</definedName>
    <definedName name="Prg_Empty">Titles!$B$33</definedName>
    <definedName name="Prg_Names">OFFSET(Order!$J$3,0,0,COUNTIF(Order!$J$3:$J$22,"&lt;&gt;*Hide*"),1)</definedName>
    <definedName name="Prg_Type">OFFSET(List!$D$5,0,0,COUNTA(List!$D$5:$D$108),1)</definedName>
    <definedName name="Prg_Year">Titles!$F$2</definedName>
    <definedName name="_xlnm.Print_Titles" localSheetId="12">'Actual Expenses'!$4:$4</definedName>
    <definedName name="_xlnm.Print_Titles" localSheetId="29">'Definition-C&amp;I'!$2:$3</definedName>
    <definedName name="_xlnm.Print_Titles" localSheetId="30">'Definition-CS'!$2:$3</definedName>
    <definedName name="_xlnm.Print_Titles" localSheetId="27">'Definition-Participants'!$2:$3</definedName>
    <definedName name="_xlnm.Print_Titles" localSheetId="26">'Definition-Program Type'!$2:$3</definedName>
    <definedName name="_xlnm.Print_Titles" localSheetId="28">'Definition-Res'!$2:$3</definedName>
    <definedName name="_xlnm.Print_Titles" localSheetId="9">External!$6:$6</definedName>
    <definedName name="_xlnm.Print_Titles" localSheetId="25">Glossary!$2:$3</definedName>
    <definedName name="_xlnm.Print_Titles" localSheetId="10">Internal!$6:$6</definedName>
    <definedName name="_xlnm.Print_Titles" localSheetId="4">'Program Detail'!$B:$C</definedName>
    <definedName name="_xlnm.Print_Titles" localSheetId="44">'PY Data'!$B:$B</definedName>
    <definedName name="Programs">20-COUNTIF('Program Descriptions'!$C$5:$C$24,"Empty")</definedName>
    <definedName name="Sector_Type">OFFSET(List!$B$5,0,0,COUNTA(List!$B$5:$B$108),1)</definedName>
    <definedName name="Status">Incomplete!$E$29</definedName>
    <definedName name="Target_Type">Targets!$C$2:$D$2</definedName>
    <definedName name="Target_Year">Targets!$B$3:$B$22</definedName>
    <definedName name="Targets">Targets!$C$3:$E$22</definedName>
    <definedName name="Utility_Type">Titles!$B$20:$B$21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75" l="1"/>
  <c r="F7" i="75"/>
  <c r="C12" i="94" l="1"/>
  <c r="C13" i="94" s="1"/>
  <c r="C11" i="94"/>
  <c r="C10" i="94"/>
  <c r="D10" i="94"/>
  <c r="E10" i="94"/>
  <c r="P26" i="96" l="1"/>
  <c r="P25" i="96"/>
  <c r="P24" i="96"/>
  <c r="P23" i="96"/>
  <c r="P22" i="96"/>
  <c r="P21" i="96"/>
  <c r="P20" i="96"/>
  <c r="P19" i="96"/>
  <c r="P18" i="96"/>
  <c r="P17" i="96"/>
  <c r="P16" i="96"/>
  <c r="P15" i="96"/>
  <c r="P14" i="96"/>
  <c r="P13" i="96"/>
  <c r="P12" i="96"/>
  <c r="P11" i="96"/>
  <c r="P10" i="96"/>
  <c r="P9" i="96"/>
  <c r="P8" i="96"/>
  <c r="P7" i="96"/>
  <c r="J19" i="99" l="1"/>
  <c r="G27" i="96" l="1"/>
  <c r="F27" i="96"/>
  <c r="N19" i="99" l="1"/>
  <c r="C18" i="99"/>
  <c r="D18" i="99"/>
  <c r="C17" i="99"/>
  <c r="D17" i="99"/>
  <c r="C16" i="99"/>
  <c r="D16" i="99"/>
  <c r="C15" i="99"/>
  <c r="D15" i="99"/>
  <c r="D48" i="79" l="1"/>
  <c r="D50" i="79"/>
  <c r="P27" i="96" l="1"/>
  <c r="N27" i="69"/>
  <c r="J27" i="69"/>
  <c r="C26" i="69"/>
  <c r="D26" i="69"/>
  <c r="L26" i="69"/>
  <c r="O6" i="64" l="1"/>
  <c r="O5" i="64"/>
  <c r="O7" i="64" l="1"/>
  <c r="E25" i="97" s="1"/>
  <c r="F25" i="97" s="1"/>
  <c r="H10" i="61"/>
  <c r="H11" i="61"/>
  <c r="H12" i="61"/>
  <c r="H13" i="61"/>
  <c r="H14" i="61"/>
  <c r="H15" i="61"/>
  <c r="H16" i="61"/>
  <c r="H17" i="61"/>
  <c r="H18" i="61"/>
  <c r="H19" i="61"/>
  <c r="H20" i="61"/>
  <c r="H21" i="61"/>
  <c r="H22" i="61"/>
  <c r="H23" i="61"/>
  <c r="H24" i="61"/>
  <c r="H25" i="61"/>
  <c r="G12" i="55"/>
  <c r="E12" i="55"/>
  <c r="F19" i="99"/>
  <c r="D12" i="55" s="1"/>
  <c r="D14" i="99"/>
  <c r="C14" i="99"/>
  <c r="D13" i="99"/>
  <c r="C13" i="99"/>
  <c r="D12" i="99"/>
  <c r="C12" i="99"/>
  <c r="D11" i="99"/>
  <c r="C11" i="99"/>
  <c r="D10" i="99"/>
  <c r="C10" i="99"/>
  <c r="D9" i="99"/>
  <c r="C9" i="99"/>
  <c r="D7" i="99"/>
  <c r="C7" i="99"/>
  <c r="C25" i="69"/>
  <c r="D25" i="69"/>
  <c r="L25" i="69"/>
  <c r="D7" i="69"/>
  <c r="D8" i="69"/>
  <c r="D9" i="69"/>
  <c r="D10" i="69"/>
  <c r="D11" i="69"/>
  <c r="D12" i="69"/>
  <c r="D13" i="69"/>
  <c r="D14" i="69"/>
  <c r="D15" i="69"/>
  <c r="D16" i="69"/>
  <c r="D17" i="69"/>
  <c r="D18" i="69"/>
  <c r="D19" i="69"/>
  <c r="D20" i="69"/>
  <c r="D21" i="69"/>
  <c r="D22" i="69"/>
  <c r="D23" i="69"/>
  <c r="D24" i="69"/>
  <c r="F27" i="69"/>
  <c r="C7" i="69"/>
  <c r="C8" i="69"/>
  <c r="C9" i="69"/>
  <c r="C10" i="69"/>
  <c r="C11" i="69"/>
  <c r="C12" i="69"/>
  <c r="C13" i="69"/>
  <c r="C14" i="69"/>
  <c r="C15" i="69"/>
  <c r="C16" i="69"/>
  <c r="C17" i="69"/>
  <c r="C18" i="69"/>
  <c r="C19" i="69"/>
  <c r="C20" i="69"/>
  <c r="C21" i="69"/>
  <c r="C22" i="69"/>
  <c r="C23" i="69"/>
  <c r="C24" i="69"/>
  <c r="C3" i="64" l="1"/>
  <c r="D19" i="99"/>
  <c r="L19" i="99"/>
  <c r="F12" i="55" s="1"/>
  <c r="L7" i="69"/>
  <c r="E4" i="99" l="1"/>
  <c r="E14" i="97"/>
  <c r="F14" i="97" s="1"/>
  <c r="D27" i="69"/>
  <c r="O56" i="78"/>
  <c r="P56" i="78"/>
  <c r="Q56" i="78"/>
  <c r="R56" i="78"/>
  <c r="P57" i="78"/>
  <c r="O58" i="78"/>
  <c r="P58" i="78"/>
  <c r="Q58" i="78"/>
  <c r="R58" i="78"/>
  <c r="O59" i="78"/>
  <c r="P59" i="78"/>
  <c r="Q59" i="78"/>
  <c r="R59" i="78"/>
  <c r="O60" i="78"/>
  <c r="P60" i="78"/>
  <c r="Q60" i="78"/>
  <c r="R60" i="78"/>
  <c r="O61" i="78"/>
  <c r="P61" i="78"/>
  <c r="Q61" i="78"/>
  <c r="R61" i="78"/>
  <c r="O62" i="78"/>
  <c r="P62" i="78"/>
  <c r="Q62" i="78"/>
  <c r="R62" i="78"/>
  <c r="O63" i="78"/>
  <c r="P63" i="78"/>
  <c r="Q63" i="78"/>
  <c r="R63" i="78"/>
  <c r="O64" i="78"/>
  <c r="P64" i="78"/>
  <c r="Q64" i="78"/>
  <c r="R64" i="78"/>
  <c r="O65" i="78"/>
  <c r="P65" i="78"/>
  <c r="Q65" i="78"/>
  <c r="R65" i="78"/>
  <c r="O66" i="78"/>
  <c r="P66" i="78"/>
  <c r="Q66" i="78"/>
  <c r="R66" i="78"/>
  <c r="O67" i="78"/>
  <c r="P67" i="78"/>
  <c r="Q67" i="78"/>
  <c r="R67" i="78"/>
  <c r="O68" i="78"/>
  <c r="P68" i="78"/>
  <c r="Q68" i="78"/>
  <c r="R68" i="78"/>
  <c r="O69" i="78"/>
  <c r="P69" i="78"/>
  <c r="Q69" i="78"/>
  <c r="R69" i="78"/>
  <c r="O70" i="78"/>
  <c r="P70" i="78"/>
  <c r="Q70" i="78"/>
  <c r="R70" i="78"/>
  <c r="O71" i="78"/>
  <c r="P71" i="78"/>
  <c r="Q71" i="78"/>
  <c r="R71" i="78"/>
  <c r="O72" i="78"/>
  <c r="P72" i="78"/>
  <c r="Q72" i="78"/>
  <c r="R72" i="78"/>
  <c r="O73" i="78"/>
  <c r="P73" i="78"/>
  <c r="Q73" i="78"/>
  <c r="R73" i="78"/>
  <c r="O74" i="78"/>
  <c r="P74" i="78"/>
  <c r="Q74" i="78"/>
  <c r="R74" i="78"/>
  <c r="P55" i="78"/>
  <c r="Q55" i="78"/>
  <c r="R55" i="78"/>
  <c r="O55" i="78"/>
  <c r="X51" i="75"/>
  <c r="W51" i="75"/>
  <c r="V51" i="75"/>
  <c r="U51" i="75"/>
  <c r="X39" i="75"/>
  <c r="W39" i="75"/>
  <c r="V39" i="75"/>
  <c r="U39" i="75"/>
  <c r="S39" i="75"/>
  <c r="R39" i="75"/>
  <c r="Q39" i="75"/>
  <c r="P39" i="75"/>
  <c r="N39" i="75"/>
  <c r="M39" i="75"/>
  <c r="L39" i="75"/>
  <c r="K39" i="75"/>
  <c r="I39" i="75"/>
  <c r="H39" i="75"/>
  <c r="G39" i="75"/>
  <c r="F39" i="75"/>
  <c r="U37" i="75"/>
  <c r="F37" i="75"/>
  <c r="R57" i="78"/>
  <c r="Q57" i="78"/>
  <c r="V31" i="75"/>
  <c r="U31" i="75"/>
  <c r="U54" i="75" s="1"/>
  <c r="I4" i="79"/>
  <c r="I9" i="82" s="1"/>
  <c r="B14" i="64"/>
  <c r="B15" i="64" s="1"/>
  <c r="B16" i="64" s="1"/>
  <c r="B17" i="64" s="1"/>
  <c r="B18" i="64" s="1"/>
  <c r="B19" i="64" s="1"/>
  <c r="B20" i="64" s="1"/>
  <c r="N11" i="94"/>
  <c r="N12" i="94"/>
  <c r="N13" i="94"/>
  <c r="N10" i="94"/>
  <c r="N6" i="73"/>
  <c r="C4" i="73" s="1"/>
  <c r="N28" i="68"/>
  <c r="N26" i="53"/>
  <c r="V54" i="75" l="1"/>
  <c r="W31" i="75"/>
  <c r="W54" i="75" s="1"/>
  <c r="X31" i="75"/>
  <c r="X54" i="75" s="1"/>
  <c r="O57" i="78"/>
  <c r="N14" i="94"/>
  <c r="E28" i="97" s="1"/>
  <c r="F28" i="97" s="1"/>
  <c r="E4" i="69"/>
  <c r="E13" i="97"/>
  <c r="F13" i="97" s="1"/>
  <c r="E21" i="97"/>
  <c r="F21" i="97" s="1"/>
  <c r="C6" i="94" l="1"/>
  <c r="B32" i="96"/>
  <c r="B33" i="96" s="1"/>
  <c r="B34" i="96" s="1"/>
  <c r="B35" i="96" s="1"/>
  <c r="N27" i="96"/>
  <c r="O27" i="96"/>
  <c r="M27" i="96"/>
  <c r="L27" i="96"/>
  <c r="K27" i="96"/>
  <c r="J27" i="96"/>
  <c r="I27" i="96"/>
  <c r="H27" i="96"/>
  <c r="D27" i="96"/>
  <c r="E27" i="96"/>
  <c r="B8" i="96"/>
  <c r="B9" i="96" s="1"/>
  <c r="B10" i="96" s="1"/>
  <c r="B11" i="96" s="1"/>
  <c r="B12" i="96" s="1"/>
  <c r="B13" i="96" s="1"/>
  <c r="B14" i="96" s="1"/>
  <c r="B15" i="96" s="1"/>
  <c r="B16" i="96" s="1"/>
  <c r="B17" i="96" s="1"/>
  <c r="B18" i="96" s="1"/>
  <c r="B19" i="96" s="1"/>
  <c r="B20" i="96" s="1"/>
  <c r="B21" i="96" s="1"/>
  <c r="B22" i="96" s="1"/>
  <c r="B23" i="96" s="1"/>
  <c r="B24" i="96" s="1"/>
  <c r="B25" i="96" s="1"/>
  <c r="B26" i="96" s="1"/>
  <c r="B7" i="73" l="1"/>
  <c r="B8" i="73" s="1"/>
  <c r="B12" i="73" s="1"/>
  <c r="B13" i="73" s="1"/>
  <c r="B14" i="73" s="1"/>
  <c r="B15" i="73" s="1"/>
  <c r="B16" i="73" s="1"/>
  <c r="B17" i="73" s="1"/>
  <c r="B18" i="73" s="1"/>
  <c r="B19" i="73" s="1"/>
  <c r="B20" i="73" s="1"/>
  <c r="B21" i="73" s="1"/>
  <c r="B23" i="73" s="1"/>
  <c r="B24" i="73" s="1"/>
  <c r="B25" i="73" s="1"/>
  <c r="B26" i="73" s="1"/>
  <c r="B27" i="73" s="1"/>
  <c r="B28" i="73" s="1"/>
  <c r="B29" i="73" s="1"/>
  <c r="B30" i="73" s="1"/>
  <c r="B31" i="73" s="1"/>
  <c r="B32" i="73" s="1"/>
  <c r="B33" i="73" s="1"/>
  <c r="B35" i="73" s="1"/>
  <c r="B36" i="73" s="1"/>
  <c r="B37" i="73" s="1"/>
  <c r="B38" i="73" s="1"/>
  <c r="B39" i="73" s="1"/>
  <c r="B40" i="73" s="1"/>
  <c r="B41" i="73" s="1"/>
  <c r="O26" i="74" l="1"/>
  <c r="D63" i="59"/>
  <c r="D62" i="59"/>
  <c r="D61" i="59"/>
  <c r="D60" i="59"/>
  <c r="D59" i="59"/>
  <c r="D58" i="59"/>
  <c r="C27" i="45" l="1"/>
  <c r="B27" i="45"/>
  <c r="C23" i="45"/>
  <c r="B23" i="45"/>
  <c r="A29" i="45"/>
  <c r="A28" i="45"/>
  <c r="A25" i="45"/>
  <c r="A24" i="45"/>
  <c r="O11" i="51" l="1"/>
  <c r="O8" i="51"/>
  <c r="N6" i="51"/>
  <c r="N7" i="51"/>
  <c r="N8" i="51"/>
  <c r="N9" i="51"/>
  <c r="N10" i="51"/>
  <c r="N11" i="51"/>
  <c r="N12" i="51"/>
  <c r="N13" i="51"/>
  <c r="N5" i="51"/>
  <c r="C11" i="52"/>
  <c r="C8" i="52"/>
  <c r="N14" i="51" l="1"/>
  <c r="C3" i="51" s="1"/>
  <c r="C13" i="96"/>
  <c r="L11" i="52"/>
  <c r="L8" i="52"/>
  <c r="C10" i="96"/>
  <c r="C12" i="52"/>
  <c r="E6" i="97" l="1"/>
  <c r="F6" i="97" s="1"/>
  <c r="C14" i="96"/>
  <c r="L12" i="52"/>
  <c r="D9" i="95" l="1"/>
  <c r="C48" i="79" l="1"/>
  <c r="D9" i="87"/>
  <c r="D10" i="87"/>
  <c r="D11" i="87"/>
  <c r="D12" i="87"/>
  <c r="D13" i="87"/>
  <c r="D14" i="87"/>
  <c r="D15" i="87"/>
  <c r="D16" i="87"/>
  <c r="D17" i="87"/>
  <c r="D18" i="87"/>
  <c r="D19" i="87"/>
  <c r="D20" i="87"/>
  <c r="D21" i="87"/>
  <c r="D22" i="87"/>
  <c r="D23" i="87"/>
  <c r="D24" i="87"/>
  <c r="D25" i="87"/>
  <c r="D26" i="87"/>
  <c r="D27" i="87"/>
  <c r="D8" i="87"/>
  <c r="F3" i="45"/>
  <c r="E12" i="45" s="1"/>
  <c r="F15" i="45" s="1"/>
  <c r="S51" i="75"/>
  <c r="R51" i="75"/>
  <c r="Q51" i="75"/>
  <c r="P51" i="75"/>
  <c r="N51" i="75"/>
  <c r="M51" i="75"/>
  <c r="L51" i="75"/>
  <c r="K51" i="75"/>
  <c r="I51" i="75"/>
  <c r="H51" i="75"/>
  <c r="G51" i="75"/>
  <c r="F51" i="75"/>
  <c r="S31" i="75"/>
  <c r="R31" i="75"/>
  <c r="Q31" i="75"/>
  <c r="P31" i="75"/>
  <c r="L31" i="75"/>
  <c r="M31" i="75"/>
  <c r="M54" i="75" s="1"/>
  <c r="N31" i="75"/>
  <c r="K31" i="75"/>
  <c r="K54" i="75" l="1"/>
  <c r="K67" i="78"/>
  <c r="L31" i="78"/>
  <c r="L43" i="78"/>
  <c r="L10" i="78"/>
  <c r="L14" i="78"/>
  <c r="L22" i="78"/>
  <c r="L57" i="78"/>
  <c r="L59" i="78"/>
  <c r="L61" i="78"/>
  <c r="L63" i="78"/>
  <c r="L65" i="78"/>
  <c r="L66" i="78"/>
  <c r="L69" i="78"/>
  <c r="L71" i="78"/>
  <c r="L73" i="78"/>
  <c r="L33" i="78"/>
  <c r="L37" i="78"/>
  <c r="L41" i="78"/>
  <c r="L45" i="78"/>
  <c r="L29" i="78"/>
  <c r="L8" i="78"/>
  <c r="L12" i="78"/>
  <c r="L16" i="78"/>
  <c r="L20" i="78"/>
  <c r="L4" i="78"/>
  <c r="N56" i="78"/>
  <c r="N57" i="78"/>
  <c r="N58" i="78"/>
  <c r="N59" i="78"/>
  <c r="N60" i="78"/>
  <c r="N61" i="78"/>
  <c r="N62" i="78"/>
  <c r="N63" i="78"/>
  <c r="N64" i="78"/>
  <c r="N65" i="78"/>
  <c r="N66" i="78"/>
  <c r="N67" i="78"/>
  <c r="N68" i="78"/>
  <c r="N69" i="78"/>
  <c r="N70" i="78"/>
  <c r="N71" i="78"/>
  <c r="N72" i="78"/>
  <c r="N73" i="78"/>
  <c r="N74" i="78"/>
  <c r="K55" i="78"/>
  <c r="B4" i="79"/>
  <c r="L30" i="78"/>
  <c r="L34" i="78"/>
  <c r="L38" i="78"/>
  <c r="L42" i="78"/>
  <c r="L46" i="78"/>
  <c r="L5" i="78"/>
  <c r="L9" i="78"/>
  <c r="L13" i="78"/>
  <c r="L17" i="78"/>
  <c r="L21" i="78"/>
  <c r="K56" i="78"/>
  <c r="K57" i="78"/>
  <c r="K58" i="78"/>
  <c r="K59" i="78"/>
  <c r="K60" i="78"/>
  <c r="K61" i="78"/>
  <c r="K62" i="78"/>
  <c r="K63" i="78"/>
  <c r="K64" i="78"/>
  <c r="K65" i="78"/>
  <c r="K66" i="78"/>
  <c r="K68" i="78"/>
  <c r="K69" i="78"/>
  <c r="K70" i="78"/>
  <c r="K71" i="78"/>
  <c r="K72" i="78"/>
  <c r="K73" i="78"/>
  <c r="K74" i="78"/>
  <c r="L55" i="78"/>
  <c r="L35" i="78"/>
  <c r="L39" i="78"/>
  <c r="L47" i="78"/>
  <c r="L6" i="78"/>
  <c r="L18" i="78"/>
  <c r="L56" i="78"/>
  <c r="L58" i="78"/>
  <c r="L60" i="78"/>
  <c r="L62" i="78"/>
  <c r="L64" i="78"/>
  <c r="L67" i="78"/>
  <c r="L68" i="78"/>
  <c r="L70" i="78"/>
  <c r="L72" i="78"/>
  <c r="L74" i="78"/>
  <c r="M55" i="78"/>
  <c r="L32" i="78"/>
  <c r="L36" i="78"/>
  <c r="L40" i="78"/>
  <c r="L48" i="78"/>
  <c r="L15" i="78"/>
  <c r="M57" i="78"/>
  <c r="M61" i="78"/>
  <c r="M65" i="78"/>
  <c r="M69" i="78"/>
  <c r="M73" i="78"/>
  <c r="L44" i="78"/>
  <c r="L19" i="78"/>
  <c r="M58" i="78"/>
  <c r="M62" i="78"/>
  <c r="M66" i="78"/>
  <c r="M70" i="78"/>
  <c r="M74" i="78"/>
  <c r="L7" i="78"/>
  <c r="L23" i="78"/>
  <c r="M59" i="78"/>
  <c r="M63" i="78"/>
  <c r="M67" i="78"/>
  <c r="M71" i="78"/>
  <c r="N55" i="78"/>
  <c r="L11" i="78"/>
  <c r="M56" i="78"/>
  <c r="M60" i="78"/>
  <c r="M64" i="78"/>
  <c r="M68" i="78"/>
  <c r="M72" i="78"/>
  <c r="S54" i="75"/>
  <c r="F13" i="45"/>
  <c r="F16" i="45"/>
  <c r="F14" i="45"/>
  <c r="M35" i="87" s="1"/>
  <c r="Q54" i="75"/>
  <c r="L54" i="75"/>
  <c r="R54" i="75"/>
  <c r="N54" i="75"/>
  <c r="P54" i="75"/>
  <c r="L14" i="69"/>
  <c r="L15" i="69"/>
  <c r="L16" i="69"/>
  <c r="L17" i="69"/>
  <c r="L18" i="69"/>
  <c r="L19" i="69"/>
  <c r="L20" i="69"/>
  <c r="L21" i="69"/>
  <c r="L22" i="69"/>
  <c r="L23" i="69"/>
  <c r="L24" i="69"/>
  <c r="I36" i="87" l="1"/>
  <c r="I8" i="94"/>
  <c r="D49" i="79"/>
  <c r="J9" i="81"/>
  <c r="D14" i="81"/>
  <c r="C29" i="79"/>
  <c r="C29" i="76" s="1"/>
  <c r="D29" i="79"/>
  <c r="D29" i="76" s="1"/>
  <c r="D49" i="78"/>
  <c r="E49" i="78"/>
  <c r="C49" i="78"/>
  <c r="K24" i="78"/>
  <c r="C39" i="79" s="1"/>
  <c r="H7" i="61"/>
  <c r="H8" i="61"/>
  <c r="H9" i="61"/>
  <c r="H6" i="61"/>
  <c r="C6" i="52"/>
  <c r="C8" i="96" s="1"/>
  <c r="C7" i="52"/>
  <c r="C9" i="96" s="1"/>
  <c r="C9" i="54"/>
  <c r="N9" i="54" s="1"/>
  <c r="C9" i="52"/>
  <c r="C10" i="52"/>
  <c r="B10" i="78"/>
  <c r="D10" i="78" s="1"/>
  <c r="C33" i="60"/>
  <c r="C13" i="52"/>
  <c r="C14" i="52"/>
  <c r="C15" i="52"/>
  <c r="C16" i="52"/>
  <c r="C17" i="52"/>
  <c r="C18" i="52"/>
  <c r="C19" i="52"/>
  <c r="C20" i="52"/>
  <c r="C21" i="52"/>
  <c r="C22" i="52"/>
  <c r="C23" i="52"/>
  <c r="C24" i="52"/>
  <c r="C5" i="52"/>
  <c r="C7" i="96" s="1"/>
  <c r="C49" i="60" l="1"/>
  <c r="C18" i="96"/>
  <c r="L16" i="52"/>
  <c r="C25" i="75"/>
  <c r="D25" i="75" s="1"/>
  <c r="C23" i="96"/>
  <c r="L21" i="52"/>
  <c r="C21" i="75"/>
  <c r="D21" i="75" s="1"/>
  <c r="C19" i="96"/>
  <c r="L17" i="52"/>
  <c r="C17" i="75"/>
  <c r="D17" i="75" s="1"/>
  <c r="C15" i="96"/>
  <c r="L13" i="52"/>
  <c r="C25" i="54"/>
  <c r="N25" i="54" s="1"/>
  <c r="C26" i="96"/>
  <c r="L24" i="52"/>
  <c r="C65" i="60"/>
  <c r="C22" i="96"/>
  <c r="L20" i="52"/>
  <c r="B22" i="78"/>
  <c r="C22" i="78" s="1"/>
  <c r="C25" i="96"/>
  <c r="L23" i="52"/>
  <c r="B18" i="78"/>
  <c r="C18" i="78" s="1"/>
  <c r="C21" i="96"/>
  <c r="L19" i="52"/>
  <c r="B14" i="78"/>
  <c r="C14" i="78" s="1"/>
  <c r="C17" i="96"/>
  <c r="L15" i="52"/>
  <c r="C25" i="87"/>
  <c r="C24" i="96"/>
  <c r="L22" i="52"/>
  <c r="C21" i="87"/>
  <c r="C20" i="96"/>
  <c r="L18" i="52"/>
  <c r="C17" i="87"/>
  <c r="C16" i="96"/>
  <c r="L14" i="52"/>
  <c r="L10" i="52"/>
  <c r="C12" i="96"/>
  <c r="E29" i="79"/>
  <c r="F29" i="76" s="1"/>
  <c r="H28" i="87" s="1"/>
  <c r="L9" i="52"/>
  <c r="C11" i="96"/>
  <c r="B5" i="78"/>
  <c r="D5" i="78" s="1"/>
  <c r="D9" i="91" s="1"/>
  <c r="L6" i="52"/>
  <c r="B4" i="78"/>
  <c r="D4" i="78" s="1"/>
  <c r="L5" i="52"/>
  <c r="C10" i="87"/>
  <c r="L7" i="52"/>
  <c r="C10" i="53"/>
  <c r="N10" i="53" s="1"/>
  <c r="C9" i="53"/>
  <c r="N9" i="53" s="1"/>
  <c r="C18" i="53"/>
  <c r="N18" i="53" s="1"/>
  <c r="D23" i="68"/>
  <c r="N23" i="68" s="1"/>
  <c r="D15" i="68"/>
  <c r="N15" i="68" s="1"/>
  <c r="C14" i="54"/>
  <c r="N14" i="54" s="1"/>
  <c r="C16" i="67"/>
  <c r="C17" i="53"/>
  <c r="N17" i="53" s="1"/>
  <c r="D22" i="68"/>
  <c r="N22" i="68" s="1"/>
  <c r="D14" i="68"/>
  <c r="N14" i="68" s="1"/>
  <c r="C41" i="60"/>
  <c r="C22" i="61"/>
  <c r="N22" i="61" s="1"/>
  <c r="C22" i="53"/>
  <c r="N22" i="53" s="1"/>
  <c r="C14" i="53"/>
  <c r="N14" i="53" s="1"/>
  <c r="D19" i="68"/>
  <c r="N19" i="68" s="1"/>
  <c r="C22" i="54"/>
  <c r="N22" i="54" s="1"/>
  <c r="C57" i="60"/>
  <c r="C24" i="67"/>
  <c r="C18" i="61"/>
  <c r="N18" i="61" s="1"/>
  <c r="C21" i="53"/>
  <c r="N21" i="53" s="1"/>
  <c r="C13" i="53"/>
  <c r="N13" i="53" s="1"/>
  <c r="D18" i="68"/>
  <c r="N18" i="68" s="1"/>
  <c r="C18" i="54"/>
  <c r="N18" i="54" s="1"/>
  <c r="C73" i="60"/>
  <c r="C20" i="67"/>
  <c r="C14" i="61"/>
  <c r="N14" i="61" s="1"/>
  <c r="D11" i="68"/>
  <c r="N11" i="68" s="1"/>
  <c r="D10" i="68"/>
  <c r="N10" i="68" s="1"/>
  <c r="C25" i="60"/>
  <c r="C12" i="67"/>
  <c r="C21" i="54"/>
  <c r="N21" i="54" s="1"/>
  <c r="C29" i="60"/>
  <c r="C77" i="60"/>
  <c r="C23" i="53"/>
  <c r="N23" i="53" s="1"/>
  <c r="C19" i="53"/>
  <c r="N19" i="53" s="1"/>
  <c r="C15" i="53"/>
  <c r="N15" i="53" s="1"/>
  <c r="C11" i="53"/>
  <c r="N11" i="53" s="1"/>
  <c r="D20" i="68"/>
  <c r="N20" i="68" s="1"/>
  <c r="D16" i="68"/>
  <c r="N16" i="68" s="1"/>
  <c r="D12" i="68"/>
  <c r="N12" i="68" s="1"/>
  <c r="C23" i="54"/>
  <c r="N23" i="54" s="1"/>
  <c r="C19" i="54"/>
  <c r="N19" i="54" s="1"/>
  <c r="C15" i="54"/>
  <c r="N15" i="54" s="1"/>
  <c r="C11" i="54"/>
  <c r="N11" i="54" s="1"/>
  <c r="C37" i="60"/>
  <c r="C53" i="60"/>
  <c r="C69" i="60"/>
  <c r="C22" i="67"/>
  <c r="C18" i="67"/>
  <c r="C14" i="67"/>
  <c r="C23" i="61"/>
  <c r="N23" i="61" s="1"/>
  <c r="C19" i="61"/>
  <c r="N19" i="61" s="1"/>
  <c r="C15" i="61"/>
  <c r="N15" i="61" s="1"/>
  <c r="C11" i="61"/>
  <c r="N11" i="61" s="1"/>
  <c r="D21" i="72"/>
  <c r="D17" i="72"/>
  <c r="D13" i="72"/>
  <c r="C24" i="62"/>
  <c r="P24" i="62" s="1"/>
  <c r="C20" i="62"/>
  <c r="P20" i="62" s="1"/>
  <c r="C16" i="62"/>
  <c r="P16" i="62" s="1"/>
  <c r="C12" i="62"/>
  <c r="P12" i="62" s="1"/>
  <c r="C21" i="74"/>
  <c r="O21" i="74" s="1"/>
  <c r="C17" i="74"/>
  <c r="O17" i="74" s="1"/>
  <c r="C13" i="74"/>
  <c r="O13" i="74" s="1"/>
  <c r="C24" i="63"/>
  <c r="C20" i="63"/>
  <c r="C16" i="63"/>
  <c r="C12" i="63"/>
  <c r="C24" i="75"/>
  <c r="D24" i="75" s="1"/>
  <c r="C20" i="75"/>
  <c r="D20" i="75" s="1"/>
  <c r="C16" i="75"/>
  <c r="D16" i="75" s="1"/>
  <c r="B21" i="78"/>
  <c r="B25" i="91" s="1"/>
  <c r="B17" i="78"/>
  <c r="E17" i="78" s="1"/>
  <c r="E21" i="91" s="1"/>
  <c r="B13" i="78"/>
  <c r="E13" i="78" s="1"/>
  <c r="B9" i="78"/>
  <c r="B8" i="77" s="1"/>
  <c r="C24" i="87"/>
  <c r="C20" i="87"/>
  <c r="C16" i="87"/>
  <c r="C25" i="67"/>
  <c r="C21" i="67"/>
  <c r="C17" i="67"/>
  <c r="C13" i="67"/>
  <c r="D24" i="72"/>
  <c r="D20" i="72"/>
  <c r="D16" i="72"/>
  <c r="D12" i="72"/>
  <c r="C23" i="62"/>
  <c r="P23" i="62" s="1"/>
  <c r="C19" i="62"/>
  <c r="P19" i="62" s="1"/>
  <c r="C15" i="62"/>
  <c r="P15" i="62" s="1"/>
  <c r="C24" i="74"/>
  <c r="O24" i="74" s="1"/>
  <c r="C20" i="74"/>
  <c r="O20" i="74" s="1"/>
  <c r="C16" i="74"/>
  <c r="O16" i="74" s="1"/>
  <c r="C12" i="74"/>
  <c r="O12" i="74" s="1"/>
  <c r="C23" i="63"/>
  <c r="C19" i="63"/>
  <c r="C15" i="63"/>
  <c r="C27" i="75"/>
  <c r="D27" i="75" s="1"/>
  <c r="C23" i="75"/>
  <c r="D23" i="75" s="1"/>
  <c r="C19" i="75"/>
  <c r="D19" i="75" s="1"/>
  <c r="C15" i="75"/>
  <c r="D15" i="75" s="1"/>
  <c r="B20" i="78"/>
  <c r="D20" i="78" s="1"/>
  <c r="B16" i="78"/>
  <c r="E16" i="78" s="1"/>
  <c r="B12" i="78"/>
  <c r="B16" i="91" s="1"/>
  <c r="C27" i="87"/>
  <c r="C23" i="87"/>
  <c r="C19" i="87"/>
  <c r="C15" i="87"/>
  <c r="C17" i="54"/>
  <c r="N17" i="54" s="1"/>
  <c r="C61" i="60"/>
  <c r="C21" i="61"/>
  <c r="N21" i="61" s="1"/>
  <c r="C17" i="61"/>
  <c r="N17" i="61" s="1"/>
  <c r="C13" i="61"/>
  <c r="N13" i="61" s="1"/>
  <c r="D23" i="72"/>
  <c r="D19" i="72"/>
  <c r="D15" i="72"/>
  <c r="D11" i="72"/>
  <c r="C22" i="62"/>
  <c r="P22" i="62" s="1"/>
  <c r="C18" i="62"/>
  <c r="P18" i="62" s="1"/>
  <c r="C14" i="62"/>
  <c r="P14" i="62" s="1"/>
  <c r="C23" i="74"/>
  <c r="O23" i="74" s="1"/>
  <c r="C19" i="74"/>
  <c r="O19" i="74" s="1"/>
  <c r="C15" i="74"/>
  <c r="O15" i="74" s="1"/>
  <c r="C11" i="74"/>
  <c r="O11" i="74" s="1"/>
  <c r="C22" i="63"/>
  <c r="C18" i="63"/>
  <c r="C14" i="63"/>
  <c r="C26" i="75"/>
  <c r="D26" i="75" s="1"/>
  <c r="C22" i="75"/>
  <c r="D22" i="75" s="1"/>
  <c r="C18" i="75"/>
  <c r="D18" i="75" s="1"/>
  <c r="C14" i="75"/>
  <c r="D14" i="75" s="1"/>
  <c r="B19" i="78"/>
  <c r="D19" i="78" s="1"/>
  <c r="D23" i="91" s="1"/>
  <c r="B15" i="78"/>
  <c r="C15" i="78" s="1"/>
  <c r="C40" i="78" s="1"/>
  <c r="B11" i="78"/>
  <c r="C11" i="78" s="1"/>
  <c r="C15" i="91" s="1"/>
  <c r="C26" i="87"/>
  <c r="C22" i="87"/>
  <c r="C18" i="87"/>
  <c r="C14" i="87"/>
  <c r="C13" i="54"/>
  <c r="N13" i="54" s="1"/>
  <c r="C45" i="60"/>
  <c r="C20" i="53"/>
  <c r="N20" i="53" s="1"/>
  <c r="C16" i="53"/>
  <c r="N16" i="53" s="1"/>
  <c r="C12" i="53"/>
  <c r="N12" i="53" s="1"/>
  <c r="D21" i="68"/>
  <c r="N21" i="68" s="1"/>
  <c r="D17" i="68"/>
  <c r="N17" i="68" s="1"/>
  <c r="D13" i="68"/>
  <c r="N13" i="68" s="1"/>
  <c r="C24" i="54"/>
  <c r="N24" i="54" s="1"/>
  <c r="C20" i="54"/>
  <c r="N20" i="54" s="1"/>
  <c r="C16" i="54"/>
  <c r="N16" i="54" s="1"/>
  <c r="C12" i="54"/>
  <c r="N12" i="54" s="1"/>
  <c r="C23" i="67"/>
  <c r="C19" i="67"/>
  <c r="C15" i="67"/>
  <c r="C24" i="61"/>
  <c r="N24" i="61" s="1"/>
  <c r="C20" i="61"/>
  <c r="N20" i="61" s="1"/>
  <c r="C16" i="61"/>
  <c r="N16" i="61" s="1"/>
  <c r="C12" i="61"/>
  <c r="N12" i="61" s="1"/>
  <c r="D22" i="72"/>
  <c r="D18" i="72"/>
  <c r="D14" i="72"/>
  <c r="C25" i="62"/>
  <c r="P25" i="62" s="1"/>
  <c r="C21" i="62"/>
  <c r="P21" i="62" s="1"/>
  <c r="C17" i="62"/>
  <c r="P17" i="62" s="1"/>
  <c r="C13" i="62"/>
  <c r="P13" i="62" s="1"/>
  <c r="C22" i="74"/>
  <c r="O22" i="74" s="1"/>
  <c r="C18" i="74"/>
  <c r="O18" i="74" s="1"/>
  <c r="C14" i="74"/>
  <c r="O14" i="74" s="1"/>
  <c r="C25" i="63"/>
  <c r="C21" i="63"/>
  <c r="C17" i="63"/>
  <c r="C13" i="63"/>
  <c r="C13" i="87"/>
  <c r="D10" i="72"/>
  <c r="C13" i="75"/>
  <c r="D13" i="75" s="1"/>
  <c r="C12" i="87"/>
  <c r="C10" i="61"/>
  <c r="N10" i="61" s="1"/>
  <c r="C11" i="63"/>
  <c r="C11" i="67"/>
  <c r="C10" i="74"/>
  <c r="O10" i="74" s="1"/>
  <c r="C10" i="54"/>
  <c r="N10" i="54" s="1"/>
  <c r="D9" i="68"/>
  <c r="N9" i="68" s="1"/>
  <c r="C21" i="60"/>
  <c r="C11" i="62"/>
  <c r="B8" i="78"/>
  <c r="C8" i="78" s="1"/>
  <c r="C9" i="60"/>
  <c r="C17" i="60"/>
  <c r="C11" i="87"/>
  <c r="C10" i="67"/>
  <c r="C9" i="61"/>
  <c r="N9" i="61" s="1"/>
  <c r="D9" i="72"/>
  <c r="C10" i="62"/>
  <c r="P10" i="62" s="1"/>
  <c r="C9" i="74"/>
  <c r="O9" i="74" s="1"/>
  <c r="C10" i="63"/>
  <c r="C12" i="75"/>
  <c r="D12" i="75" s="1"/>
  <c r="B7" i="78"/>
  <c r="B58" i="78" s="1"/>
  <c r="C8" i="53"/>
  <c r="N8" i="53" s="1"/>
  <c r="D8" i="68"/>
  <c r="C7" i="53"/>
  <c r="N7" i="53" s="1"/>
  <c r="C9" i="63"/>
  <c r="C9" i="67"/>
  <c r="C8" i="74"/>
  <c r="O8" i="74" s="1"/>
  <c r="C8" i="61"/>
  <c r="N8" i="61" s="1"/>
  <c r="D7" i="68"/>
  <c r="D8" i="72"/>
  <c r="C11" i="75"/>
  <c r="D11" i="75" s="1"/>
  <c r="C13" i="60"/>
  <c r="C8" i="54"/>
  <c r="N8" i="54" s="1"/>
  <c r="C9" i="62"/>
  <c r="P9" i="62" s="1"/>
  <c r="B6" i="78"/>
  <c r="D6" i="78" s="1"/>
  <c r="D10" i="91" s="1"/>
  <c r="D6" i="68"/>
  <c r="C8" i="67"/>
  <c r="D7" i="72"/>
  <c r="C7" i="74"/>
  <c r="O7" i="74" s="1"/>
  <c r="C10" i="75"/>
  <c r="D10" i="75" s="1"/>
  <c r="C9" i="87"/>
  <c r="C6" i="53"/>
  <c r="N6" i="53" s="1"/>
  <c r="C7" i="54"/>
  <c r="N7" i="54" s="1"/>
  <c r="C7" i="61"/>
  <c r="N7" i="61" s="1"/>
  <c r="C8" i="62"/>
  <c r="P8" i="62" s="1"/>
  <c r="C8" i="63"/>
  <c r="C5" i="53"/>
  <c r="N5" i="53" s="1"/>
  <c r="D6" i="72"/>
  <c r="C9" i="75"/>
  <c r="D9" i="75" s="1"/>
  <c r="C5" i="60"/>
  <c r="C6" i="61"/>
  <c r="N6" i="61" s="1"/>
  <c r="C7" i="63"/>
  <c r="C8" i="87"/>
  <c r="C6" i="54"/>
  <c r="N6" i="54" s="1"/>
  <c r="C7" i="67"/>
  <c r="C6" i="74"/>
  <c r="O6" i="74" s="1"/>
  <c r="D5" i="68"/>
  <c r="C7" i="62"/>
  <c r="P7" i="62" s="1"/>
  <c r="C25" i="61"/>
  <c r="N25" i="61" s="1"/>
  <c r="D25" i="72"/>
  <c r="C25" i="74"/>
  <c r="O25" i="74" s="1"/>
  <c r="C26" i="63"/>
  <c r="C28" i="75"/>
  <c r="D28" i="75" s="1"/>
  <c r="B23" i="78"/>
  <c r="C23" i="78" s="1"/>
  <c r="C27" i="91" s="1"/>
  <c r="C26" i="67"/>
  <c r="C26" i="62"/>
  <c r="P26" i="62" s="1"/>
  <c r="C21" i="78"/>
  <c r="C25" i="91" s="1"/>
  <c r="E20" i="78"/>
  <c r="E24" i="91" s="1"/>
  <c r="D13" i="78"/>
  <c r="E22" i="78"/>
  <c r="C20" i="78"/>
  <c r="C13" i="78"/>
  <c r="C38" i="78" s="1"/>
  <c r="E18" i="78"/>
  <c r="E22" i="91" s="1"/>
  <c r="E14" i="78"/>
  <c r="E39" i="78" s="1"/>
  <c r="E10" i="78"/>
  <c r="E14" i="91" s="1"/>
  <c r="D22" i="78"/>
  <c r="D18" i="78"/>
  <c r="D22" i="91" s="1"/>
  <c r="D14" i="78"/>
  <c r="C10" i="78"/>
  <c r="C14" i="91" s="1"/>
  <c r="C24" i="53"/>
  <c r="N24" i="53" s="1"/>
  <c r="C81" i="60"/>
  <c r="D24" i="68"/>
  <c r="N24" i="68" s="1"/>
  <c r="D2" i="93"/>
  <c r="C2" i="93"/>
  <c r="D7" i="64"/>
  <c r="D13" i="64" s="1"/>
  <c r="I26" i="62"/>
  <c r="F1" i="45"/>
  <c r="L13" i="69"/>
  <c r="B17" i="91"/>
  <c r="E28" i="78"/>
  <c r="E2" i="77"/>
  <c r="D2" i="77"/>
  <c r="C2" i="77"/>
  <c r="E26" i="68"/>
  <c r="I5" i="64" s="1"/>
  <c r="F25" i="68"/>
  <c r="G25" i="68" s="1"/>
  <c r="H25" i="68" s="1"/>
  <c r="D7" i="62"/>
  <c r="D8" i="62"/>
  <c r="D28" i="83"/>
  <c r="B89" i="79"/>
  <c r="B16" i="92" s="1"/>
  <c r="B90" i="79"/>
  <c r="B17" i="92" s="1"/>
  <c r="B91" i="79"/>
  <c r="B19" i="92" s="1"/>
  <c r="B88" i="79"/>
  <c r="B15" i="92" s="1"/>
  <c r="B83" i="79"/>
  <c r="B9" i="92" s="1"/>
  <c r="B84" i="79"/>
  <c r="B10" i="92" s="1"/>
  <c r="B85" i="79"/>
  <c r="B11" i="92" s="1"/>
  <c r="B86" i="79"/>
  <c r="B12" i="92" s="1"/>
  <c r="B87" i="79"/>
  <c r="B13" i="92" s="1"/>
  <c r="B82" i="79"/>
  <c r="B8" i="92" s="1"/>
  <c r="B14" i="91"/>
  <c r="B18" i="91"/>
  <c r="B19" i="91"/>
  <c r="B20" i="91"/>
  <c r="B22" i="91"/>
  <c r="B26" i="91"/>
  <c r="Q30" i="78"/>
  <c r="P9" i="91" s="1"/>
  <c r="Q31" i="78"/>
  <c r="P10" i="91" s="1"/>
  <c r="Q32" i="78"/>
  <c r="P11" i="91" s="1"/>
  <c r="Q33" i="78"/>
  <c r="P12" i="91" s="1"/>
  <c r="Q34" i="78"/>
  <c r="P13" i="91" s="1"/>
  <c r="Q35" i="78"/>
  <c r="P14" i="91" s="1"/>
  <c r="Q36" i="78"/>
  <c r="P15" i="91" s="1"/>
  <c r="Q37" i="78"/>
  <c r="P16" i="91" s="1"/>
  <c r="Q38" i="78"/>
  <c r="P17" i="91" s="1"/>
  <c r="Q39" i="78"/>
  <c r="P18" i="91" s="1"/>
  <c r="Q40" i="78"/>
  <c r="P19" i="91" s="1"/>
  <c r="Q41" i="78"/>
  <c r="P20" i="91" s="1"/>
  <c r="Q42" i="78"/>
  <c r="P21" i="91" s="1"/>
  <c r="Q43" i="78"/>
  <c r="P22" i="91" s="1"/>
  <c r="Q44" i="78"/>
  <c r="P23" i="91" s="1"/>
  <c r="Q45" i="78"/>
  <c r="P24" i="91" s="1"/>
  <c r="Q46" i="78"/>
  <c r="P25" i="91" s="1"/>
  <c r="Q47" i="78"/>
  <c r="P26" i="91" s="1"/>
  <c r="Q48" i="78"/>
  <c r="P27" i="91" s="1"/>
  <c r="Q29" i="78"/>
  <c r="P8" i="91" s="1"/>
  <c r="P30" i="78"/>
  <c r="O9" i="91" s="1"/>
  <c r="P31" i="78"/>
  <c r="O10" i="91" s="1"/>
  <c r="P32" i="78"/>
  <c r="O11" i="91" s="1"/>
  <c r="P33" i="78"/>
  <c r="O12" i="91" s="1"/>
  <c r="P34" i="78"/>
  <c r="O13" i="91" s="1"/>
  <c r="P35" i="78"/>
  <c r="O14" i="91" s="1"/>
  <c r="P36" i="78"/>
  <c r="O15" i="91" s="1"/>
  <c r="P37" i="78"/>
  <c r="O16" i="91" s="1"/>
  <c r="P38" i="78"/>
  <c r="O17" i="91" s="1"/>
  <c r="P39" i="78"/>
  <c r="O18" i="91" s="1"/>
  <c r="P40" i="78"/>
  <c r="O19" i="91" s="1"/>
  <c r="P41" i="78"/>
  <c r="O20" i="91" s="1"/>
  <c r="P42" i="78"/>
  <c r="O21" i="91" s="1"/>
  <c r="P43" i="78"/>
  <c r="O22" i="91" s="1"/>
  <c r="P44" i="78"/>
  <c r="O23" i="91" s="1"/>
  <c r="P45" i="78"/>
  <c r="O24" i="91" s="1"/>
  <c r="P46" i="78"/>
  <c r="O25" i="91" s="1"/>
  <c r="P47" i="78"/>
  <c r="O26" i="91" s="1"/>
  <c r="P48" i="78"/>
  <c r="O27" i="91" s="1"/>
  <c r="P29" i="78"/>
  <c r="O8" i="91" s="1"/>
  <c r="O30" i="78"/>
  <c r="N9" i="91" s="1"/>
  <c r="O31" i="78"/>
  <c r="N10" i="91" s="1"/>
  <c r="O32" i="78"/>
  <c r="N11" i="91" s="1"/>
  <c r="O33" i="78"/>
  <c r="N12" i="91" s="1"/>
  <c r="O34" i="78"/>
  <c r="N13" i="91" s="1"/>
  <c r="O35" i="78"/>
  <c r="N14" i="91" s="1"/>
  <c r="O36" i="78"/>
  <c r="N15" i="91" s="1"/>
  <c r="O37" i="78"/>
  <c r="N16" i="91" s="1"/>
  <c r="O38" i="78"/>
  <c r="N17" i="91" s="1"/>
  <c r="O39" i="78"/>
  <c r="N18" i="91" s="1"/>
  <c r="O40" i="78"/>
  <c r="N19" i="91" s="1"/>
  <c r="O41" i="78"/>
  <c r="N20" i="91" s="1"/>
  <c r="O42" i="78"/>
  <c r="N21" i="91" s="1"/>
  <c r="O43" i="78"/>
  <c r="N22" i="91" s="1"/>
  <c r="O44" i="78"/>
  <c r="N23" i="91" s="1"/>
  <c r="O45" i="78"/>
  <c r="N24" i="91" s="1"/>
  <c r="O46" i="78"/>
  <c r="N25" i="91" s="1"/>
  <c r="O47" i="78"/>
  <c r="N26" i="91" s="1"/>
  <c r="O48" i="78"/>
  <c r="N27" i="91" s="1"/>
  <c r="O29" i="78"/>
  <c r="N8" i="91" s="1"/>
  <c r="P9" i="87"/>
  <c r="Q9" i="87"/>
  <c r="P10" i="87"/>
  <c r="Q10" i="87"/>
  <c r="P11" i="87"/>
  <c r="Q11" i="87"/>
  <c r="P12" i="87"/>
  <c r="Q12" i="87"/>
  <c r="P13" i="87"/>
  <c r="Q13" i="87"/>
  <c r="P14" i="87"/>
  <c r="Q14" i="87"/>
  <c r="P15" i="87"/>
  <c r="Q15" i="87"/>
  <c r="P16" i="87"/>
  <c r="Q16" i="87"/>
  <c r="P17" i="87"/>
  <c r="Q17" i="87"/>
  <c r="P18" i="87"/>
  <c r="Q18" i="87"/>
  <c r="P19" i="87"/>
  <c r="Q19" i="87"/>
  <c r="P20" i="87"/>
  <c r="Q20" i="87"/>
  <c r="P21" i="87"/>
  <c r="Q21" i="87"/>
  <c r="P22" i="87"/>
  <c r="Q22" i="87"/>
  <c r="P23" i="87"/>
  <c r="Q23" i="87"/>
  <c r="P24" i="87"/>
  <c r="Q24" i="87"/>
  <c r="P25" i="87"/>
  <c r="Q25" i="87"/>
  <c r="P26" i="87"/>
  <c r="Q26" i="87"/>
  <c r="P27" i="87"/>
  <c r="Q27" i="87"/>
  <c r="Q8" i="87"/>
  <c r="P8" i="87"/>
  <c r="K9" i="87"/>
  <c r="L9" i="87"/>
  <c r="K10" i="87"/>
  <c r="L10" i="87"/>
  <c r="K11" i="87"/>
  <c r="L11" i="87"/>
  <c r="K12" i="87"/>
  <c r="L12" i="87"/>
  <c r="K13" i="87"/>
  <c r="L13" i="87"/>
  <c r="K14" i="87"/>
  <c r="L14" i="87"/>
  <c r="K15" i="87"/>
  <c r="L15" i="87"/>
  <c r="K16" i="87"/>
  <c r="L16" i="87"/>
  <c r="K17" i="87"/>
  <c r="L17" i="87"/>
  <c r="K18" i="87"/>
  <c r="L18" i="87"/>
  <c r="K19" i="87"/>
  <c r="L19" i="87"/>
  <c r="K20" i="87"/>
  <c r="L20" i="87"/>
  <c r="K21" i="87"/>
  <c r="L21" i="87"/>
  <c r="K22" i="87"/>
  <c r="L22" i="87"/>
  <c r="K23" i="87"/>
  <c r="L23" i="87"/>
  <c r="K24" i="87"/>
  <c r="L24" i="87"/>
  <c r="K25" i="87"/>
  <c r="L25" i="87"/>
  <c r="K26" i="87"/>
  <c r="L26" i="87"/>
  <c r="K27" i="87"/>
  <c r="L27" i="87"/>
  <c r="L8" i="87"/>
  <c r="K8" i="87"/>
  <c r="F9" i="87"/>
  <c r="G9" i="87"/>
  <c r="F10" i="87"/>
  <c r="G10" i="87"/>
  <c r="F11" i="87"/>
  <c r="G11" i="87"/>
  <c r="F12" i="87"/>
  <c r="G12" i="87"/>
  <c r="F13" i="87"/>
  <c r="G13" i="87"/>
  <c r="F14" i="87"/>
  <c r="G14" i="87"/>
  <c r="F15" i="87"/>
  <c r="G15" i="87"/>
  <c r="F16" i="87"/>
  <c r="G16" i="87"/>
  <c r="F17" i="87"/>
  <c r="G17" i="87"/>
  <c r="F18" i="87"/>
  <c r="G18" i="87"/>
  <c r="F19" i="87"/>
  <c r="G19" i="87"/>
  <c r="F20" i="87"/>
  <c r="G20" i="87"/>
  <c r="F21" i="87"/>
  <c r="G21" i="87"/>
  <c r="F22" i="87"/>
  <c r="G22" i="87"/>
  <c r="F23" i="87"/>
  <c r="G23" i="87"/>
  <c r="F24" i="87"/>
  <c r="G24" i="87"/>
  <c r="F25" i="87"/>
  <c r="G25" i="87"/>
  <c r="F26" i="87"/>
  <c r="G26" i="87"/>
  <c r="F27" i="87"/>
  <c r="G27" i="87"/>
  <c r="F28" i="87"/>
  <c r="G28" i="87"/>
  <c r="G8" i="87"/>
  <c r="F8" i="87"/>
  <c r="G56" i="78"/>
  <c r="H56" i="78"/>
  <c r="I56" i="78"/>
  <c r="J56" i="78"/>
  <c r="G57" i="78"/>
  <c r="H57" i="78"/>
  <c r="I57" i="78"/>
  <c r="J57" i="78"/>
  <c r="G58" i="78"/>
  <c r="H58" i="78"/>
  <c r="I58" i="78"/>
  <c r="J58" i="78"/>
  <c r="G59" i="78"/>
  <c r="H59" i="78"/>
  <c r="I59" i="78"/>
  <c r="J59" i="78"/>
  <c r="G60" i="78"/>
  <c r="H60" i="78"/>
  <c r="I60" i="78"/>
  <c r="J60" i="78"/>
  <c r="G61" i="78"/>
  <c r="H61" i="78"/>
  <c r="I61" i="78"/>
  <c r="J61" i="78"/>
  <c r="G62" i="78"/>
  <c r="H62" i="78"/>
  <c r="I62" i="78"/>
  <c r="J62" i="78"/>
  <c r="G63" i="78"/>
  <c r="H63" i="78"/>
  <c r="I63" i="78"/>
  <c r="J63" i="78"/>
  <c r="G64" i="78"/>
  <c r="H64" i="78"/>
  <c r="I64" i="78"/>
  <c r="J64" i="78"/>
  <c r="G65" i="78"/>
  <c r="H65" i="78"/>
  <c r="I65" i="78"/>
  <c r="J65" i="78"/>
  <c r="G66" i="78"/>
  <c r="H66" i="78"/>
  <c r="I66" i="78"/>
  <c r="J66" i="78"/>
  <c r="G67" i="78"/>
  <c r="H67" i="78"/>
  <c r="I67" i="78"/>
  <c r="J67" i="78"/>
  <c r="G68" i="78"/>
  <c r="H68" i="78"/>
  <c r="I68" i="78"/>
  <c r="J68" i="78"/>
  <c r="G69" i="78"/>
  <c r="H69" i="78"/>
  <c r="I69" i="78"/>
  <c r="J69" i="78"/>
  <c r="G70" i="78"/>
  <c r="H70" i="78"/>
  <c r="I70" i="78"/>
  <c r="J70" i="78"/>
  <c r="G71" i="78"/>
  <c r="H71" i="78"/>
  <c r="I71" i="78"/>
  <c r="J71" i="78"/>
  <c r="G72" i="78"/>
  <c r="H72" i="78"/>
  <c r="I72" i="78"/>
  <c r="J72" i="78"/>
  <c r="G73" i="78"/>
  <c r="H73" i="78"/>
  <c r="I73" i="78"/>
  <c r="J73" i="78"/>
  <c r="G74" i="78"/>
  <c r="H74" i="78"/>
  <c r="I74" i="78"/>
  <c r="J74" i="78"/>
  <c r="H55" i="78"/>
  <c r="I55" i="78"/>
  <c r="J55" i="78"/>
  <c r="G55" i="78"/>
  <c r="C56" i="78"/>
  <c r="D56" i="78"/>
  <c r="E56" i="78"/>
  <c r="F56" i="78"/>
  <c r="C57" i="78"/>
  <c r="D57" i="78"/>
  <c r="E57" i="78"/>
  <c r="F57" i="78"/>
  <c r="C58" i="78"/>
  <c r="D58" i="78"/>
  <c r="E58" i="78"/>
  <c r="F58" i="78"/>
  <c r="C59" i="78"/>
  <c r="D59" i="78"/>
  <c r="E59" i="78"/>
  <c r="F59" i="78"/>
  <c r="C60" i="78"/>
  <c r="D60" i="78"/>
  <c r="E60" i="78"/>
  <c r="F60" i="78"/>
  <c r="C61" i="78"/>
  <c r="D61" i="78"/>
  <c r="E61" i="78"/>
  <c r="F61" i="78"/>
  <c r="C62" i="78"/>
  <c r="D62" i="78"/>
  <c r="E62" i="78"/>
  <c r="F62" i="78"/>
  <c r="C63" i="78"/>
  <c r="D63" i="78"/>
  <c r="E63" i="78"/>
  <c r="F63" i="78"/>
  <c r="C64" i="78"/>
  <c r="D64" i="78"/>
  <c r="E64" i="78"/>
  <c r="F64" i="78"/>
  <c r="C65" i="78"/>
  <c r="D65" i="78"/>
  <c r="E65" i="78"/>
  <c r="F65" i="78"/>
  <c r="C66" i="78"/>
  <c r="D66" i="78"/>
  <c r="E66" i="78"/>
  <c r="F66" i="78"/>
  <c r="C67" i="78"/>
  <c r="D67" i="78"/>
  <c r="E67" i="78"/>
  <c r="F67" i="78"/>
  <c r="C68" i="78"/>
  <c r="D68" i="78"/>
  <c r="E68" i="78"/>
  <c r="F68" i="78"/>
  <c r="C69" i="78"/>
  <c r="D69" i="78"/>
  <c r="E69" i="78"/>
  <c r="F69" i="78"/>
  <c r="C70" i="78"/>
  <c r="D70" i="78"/>
  <c r="E70" i="78"/>
  <c r="F70" i="78"/>
  <c r="C71" i="78"/>
  <c r="D71" i="78"/>
  <c r="E71" i="78"/>
  <c r="F71" i="78"/>
  <c r="C72" i="78"/>
  <c r="D72" i="78"/>
  <c r="E72" i="78"/>
  <c r="F72" i="78"/>
  <c r="C73" i="78"/>
  <c r="D73" i="78"/>
  <c r="E73" i="78"/>
  <c r="F73" i="78"/>
  <c r="C74" i="78"/>
  <c r="D74" i="78"/>
  <c r="E74" i="78"/>
  <c r="F74" i="78"/>
  <c r="B54" i="78"/>
  <c r="D55" i="78"/>
  <c r="E55" i="78"/>
  <c r="F55" i="78"/>
  <c r="C55" i="78"/>
  <c r="E17" i="91"/>
  <c r="E26" i="91"/>
  <c r="J9" i="62"/>
  <c r="S31" i="78" s="1"/>
  <c r="R10" i="91" s="1"/>
  <c r="J10" i="62"/>
  <c r="S32" i="78" s="1"/>
  <c r="R11" i="91" s="1"/>
  <c r="J11" i="62"/>
  <c r="S33" i="78" s="1"/>
  <c r="R12" i="91" s="1"/>
  <c r="J12" i="62"/>
  <c r="S34" i="78" s="1"/>
  <c r="R13" i="91" s="1"/>
  <c r="J13" i="62"/>
  <c r="S35" i="78" s="1"/>
  <c r="R14" i="91" s="1"/>
  <c r="J14" i="62"/>
  <c r="S36" i="78" s="1"/>
  <c r="R15" i="91" s="1"/>
  <c r="J15" i="62"/>
  <c r="S37" i="78" s="1"/>
  <c r="R16" i="91" s="1"/>
  <c r="J16" i="62"/>
  <c r="S38" i="78" s="1"/>
  <c r="R17" i="91" s="1"/>
  <c r="J17" i="62"/>
  <c r="J18" i="62"/>
  <c r="S40" i="78" s="1"/>
  <c r="R19" i="91" s="1"/>
  <c r="J19" i="62"/>
  <c r="S41" i="78" s="1"/>
  <c r="R20" i="91" s="1"/>
  <c r="J20" i="62"/>
  <c r="S42" i="78" s="1"/>
  <c r="R21" i="91" s="1"/>
  <c r="J21" i="62"/>
  <c r="S43" i="78" s="1"/>
  <c r="R22" i="91" s="1"/>
  <c r="J22" i="62"/>
  <c r="S44" i="78" s="1"/>
  <c r="R23" i="91" s="1"/>
  <c r="J23" i="62"/>
  <c r="S45" i="78" s="1"/>
  <c r="R24" i="91" s="1"/>
  <c r="J24" i="62"/>
  <c r="S46" i="78" s="1"/>
  <c r="R25" i="91" s="1"/>
  <c r="J25" i="62"/>
  <c r="S47" i="78" s="1"/>
  <c r="R26" i="91" s="1"/>
  <c r="J26" i="62"/>
  <c r="S48" i="78" s="1"/>
  <c r="J8" i="62"/>
  <c r="S30" i="78" s="1"/>
  <c r="R9" i="91" s="1"/>
  <c r="J7" i="62"/>
  <c r="S29" i="78" s="1"/>
  <c r="S39" i="78"/>
  <c r="R18" i="91" s="1"/>
  <c r="I31" i="75"/>
  <c r="I54" i="75" s="1"/>
  <c r="H31" i="75"/>
  <c r="H54" i="75" s="1"/>
  <c r="G31" i="75"/>
  <c r="G54" i="75" s="1"/>
  <c r="F31" i="75"/>
  <c r="F54" i="75" s="1"/>
  <c r="E14" i="80"/>
  <c r="K9" i="91"/>
  <c r="M30" i="78"/>
  <c r="I9" i="91" s="1"/>
  <c r="N30" i="78"/>
  <c r="M9" i="91" s="1"/>
  <c r="K10" i="91"/>
  <c r="M31" i="78"/>
  <c r="I10" i="91" s="1"/>
  <c r="N31" i="78"/>
  <c r="M10" i="91" s="1"/>
  <c r="S11" i="87"/>
  <c r="K11" i="91"/>
  <c r="M32" i="78"/>
  <c r="N11" i="87" s="1"/>
  <c r="N32" i="78"/>
  <c r="M11" i="91" s="1"/>
  <c r="K12" i="91"/>
  <c r="M33" i="78"/>
  <c r="N12" i="87" s="1"/>
  <c r="N33" i="78"/>
  <c r="M12" i="91" s="1"/>
  <c r="S13" i="87"/>
  <c r="M34" i="78"/>
  <c r="I13" i="91" s="1"/>
  <c r="N34" i="78"/>
  <c r="M13" i="91" s="1"/>
  <c r="S14" i="87"/>
  <c r="M35" i="78"/>
  <c r="N14" i="87" s="1"/>
  <c r="N35" i="78"/>
  <c r="M14" i="91" s="1"/>
  <c r="S15" i="87"/>
  <c r="M36" i="78"/>
  <c r="N15" i="87" s="1"/>
  <c r="N36" i="78"/>
  <c r="M15" i="91" s="1"/>
  <c r="S16" i="87"/>
  <c r="M37" i="78"/>
  <c r="N16" i="87" s="1"/>
  <c r="N37" i="78"/>
  <c r="M16" i="91" s="1"/>
  <c r="S17" i="87"/>
  <c r="M38" i="78"/>
  <c r="I17" i="91" s="1"/>
  <c r="N38" i="78"/>
  <c r="M17" i="91" s="1"/>
  <c r="S18" i="87"/>
  <c r="M39" i="78"/>
  <c r="N18" i="87" s="1"/>
  <c r="N39" i="78"/>
  <c r="M18" i="91" s="1"/>
  <c r="S19" i="87"/>
  <c r="M40" i="78"/>
  <c r="N19" i="87" s="1"/>
  <c r="N40" i="78"/>
  <c r="M19" i="91" s="1"/>
  <c r="S20" i="87"/>
  <c r="M41" i="78"/>
  <c r="N20" i="87" s="1"/>
  <c r="N41" i="78"/>
  <c r="M20" i="91" s="1"/>
  <c r="K21" i="91"/>
  <c r="S21" i="87"/>
  <c r="M42" i="78"/>
  <c r="I21" i="91" s="1"/>
  <c r="N42" i="78"/>
  <c r="M21" i="91" s="1"/>
  <c r="S22" i="87"/>
  <c r="M43" i="78"/>
  <c r="N22" i="87" s="1"/>
  <c r="N43" i="78"/>
  <c r="M22" i="91" s="1"/>
  <c r="S23" i="87"/>
  <c r="M44" i="78"/>
  <c r="N23" i="87" s="1"/>
  <c r="N44" i="78"/>
  <c r="M23" i="91" s="1"/>
  <c r="S24" i="87"/>
  <c r="M45" i="78"/>
  <c r="N24" i="87" s="1"/>
  <c r="N45" i="78"/>
  <c r="M24" i="91" s="1"/>
  <c r="K25" i="91"/>
  <c r="M46" i="78"/>
  <c r="I25" i="91" s="1"/>
  <c r="N46" i="78"/>
  <c r="M25" i="91" s="1"/>
  <c r="K26" i="91"/>
  <c r="M47" i="78"/>
  <c r="I26" i="91" s="1"/>
  <c r="N47" i="78"/>
  <c r="M26" i="91" s="1"/>
  <c r="K27" i="91"/>
  <c r="M48" i="78"/>
  <c r="I27" i="91" s="1"/>
  <c r="N48" i="78"/>
  <c r="M27" i="91" s="1"/>
  <c r="N29" i="78"/>
  <c r="M8" i="91" s="1"/>
  <c r="M29" i="78"/>
  <c r="I8" i="91" s="1"/>
  <c r="C28" i="78"/>
  <c r="D28" i="78"/>
  <c r="B28" i="78"/>
  <c r="F5" i="78"/>
  <c r="G5" i="78"/>
  <c r="H5" i="78"/>
  <c r="I5" i="78"/>
  <c r="J5" i="78"/>
  <c r="R9" i="87"/>
  <c r="M5" i="78"/>
  <c r="M9" i="87" s="1"/>
  <c r="N5" i="78"/>
  <c r="F6" i="78"/>
  <c r="G6" i="78"/>
  <c r="H6" i="78"/>
  <c r="I6" i="78"/>
  <c r="J6" i="78"/>
  <c r="R10" i="87"/>
  <c r="M6" i="78"/>
  <c r="H10" i="91" s="1"/>
  <c r="N6" i="78"/>
  <c r="F7" i="78"/>
  <c r="G7" i="78"/>
  <c r="H7" i="78"/>
  <c r="I7" i="78"/>
  <c r="J7" i="78"/>
  <c r="R11" i="87"/>
  <c r="M7" i="78"/>
  <c r="M11" i="87" s="1"/>
  <c r="N7" i="78"/>
  <c r="F8" i="78"/>
  <c r="G8" i="78"/>
  <c r="H8" i="78"/>
  <c r="I8" i="78"/>
  <c r="J8" i="78"/>
  <c r="R12" i="87"/>
  <c r="M8" i="78"/>
  <c r="H12" i="91" s="1"/>
  <c r="N8" i="78"/>
  <c r="F9" i="78"/>
  <c r="G9" i="78"/>
  <c r="H9" i="78"/>
  <c r="I9" i="78"/>
  <c r="J9" i="78"/>
  <c r="R13" i="87"/>
  <c r="M9" i="78"/>
  <c r="M13" i="87" s="1"/>
  <c r="N9" i="78"/>
  <c r="L13" i="91" s="1"/>
  <c r="B9" i="77"/>
  <c r="D14" i="91"/>
  <c r="F10" i="78"/>
  <c r="G10" i="78"/>
  <c r="H10" i="78"/>
  <c r="I10" i="78"/>
  <c r="J10" i="78"/>
  <c r="R14" i="87"/>
  <c r="M10" i="78"/>
  <c r="H14" i="91" s="1"/>
  <c r="N10" i="78"/>
  <c r="F11" i="78"/>
  <c r="G11" i="78"/>
  <c r="H11" i="78"/>
  <c r="I11" i="78"/>
  <c r="J11" i="78"/>
  <c r="R15" i="87"/>
  <c r="M11" i="78"/>
  <c r="M15" i="87" s="1"/>
  <c r="N11" i="78"/>
  <c r="L15" i="91" s="1"/>
  <c r="F12" i="78"/>
  <c r="G12" i="78"/>
  <c r="H12" i="78"/>
  <c r="I12" i="78"/>
  <c r="J12" i="78"/>
  <c r="R16" i="87"/>
  <c r="M12" i="78"/>
  <c r="M16" i="87" s="1"/>
  <c r="N12" i="78"/>
  <c r="B12" i="77"/>
  <c r="F13" i="78"/>
  <c r="G13" i="78"/>
  <c r="H13" i="78"/>
  <c r="I13" i="78"/>
  <c r="J13" i="78"/>
  <c r="M13" i="78"/>
  <c r="H17" i="91" s="1"/>
  <c r="N13" i="78"/>
  <c r="L17" i="91" s="1"/>
  <c r="B13" i="77"/>
  <c r="C18" i="91"/>
  <c r="F14" i="78"/>
  <c r="G14" i="78"/>
  <c r="H14" i="78"/>
  <c r="I14" i="78"/>
  <c r="J14" i="78"/>
  <c r="M14" i="78"/>
  <c r="H18" i="91" s="1"/>
  <c r="N14" i="78"/>
  <c r="L18" i="91" s="1"/>
  <c r="F15" i="78"/>
  <c r="G15" i="78"/>
  <c r="H15" i="78"/>
  <c r="I15" i="78"/>
  <c r="J15" i="78"/>
  <c r="R19" i="87"/>
  <c r="M15" i="78"/>
  <c r="M19" i="87" s="1"/>
  <c r="N15" i="78"/>
  <c r="L19" i="91" s="1"/>
  <c r="B15" i="77"/>
  <c r="F16" i="78"/>
  <c r="G16" i="78"/>
  <c r="H16" i="78"/>
  <c r="I16" i="78"/>
  <c r="J16" i="78"/>
  <c r="R20" i="87"/>
  <c r="M16" i="78"/>
  <c r="H20" i="91" s="1"/>
  <c r="N16" i="78"/>
  <c r="F17" i="78"/>
  <c r="G17" i="78"/>
  <c r="H17" i="78"/>
  <c r="I17" i="78"/>
  <c r="J17" i="78"/>
  <c r="R21" i="87"/>
  <c r="M17" i="78"/>
  <c r="M21" i="87" s="1"/>
  <c r="N17" i="78"/>
  <c r="B17" i="77"/>
  <c r="D43" i="78"/>
  <c r="F18" i="78"/>
  <c r="G18" i="78"/>
  <c r="H18" i="78"/>
  <c r="I18" i="78"/>
  <c r="J18" i="78"/>
  <c r="R22" i="87"/>
  <c r="M18" i="78"/>
  <c r="H22" i="91" s="1"/>
  <c r="N18" i="78"/>
  <c r="L22" i="91" s="1"/>
  <c r="F19" i="78"/>
  <c r="G19" i="78"/>
  <c r="H19" i="78"/>
  <c r="I19" i="78"/>
  <c r="J19" i="78"/>
  <c r="J23" i="91"/>
  <c r="M19" i="78"/>
  <c r="N19" i="78"/>
  <c r="L23" i="91" s="1"/>
  <c r="C24" i="91"/>
  <c r="D24" i="91"/>
  <c r="F20" i="78"/>
  <c r="G20" i="78"/>
  <c r="H20" i="78"/>
  <c r="I20" i="78"/>
  <c r="J20" i="78"/>
  <c r="R24" i="87"/>
  <c r="M20" i="78"/>
  <c r="M24" i="87" s="1"/>
  <c r="N20" i="78"/>
  <c r="L24" i="91" s="1"/>
  <c r="F21" i="78"/>
  <c r="G21" i="78"/>
  <c r="H21" i="78"/>
  <c r="I21" i="78"/>
  <c r="J21" i="78"/>
  <c r="M21" i="78"/>
  <c r="H25" i="91" s="1"/>
  <c r="N21" i="78"/>
  <c r="L25" i="91" s="1"/>
  <c r="B21" i="77"/>
  <c r="C26" i="91"/>
  <c r="F22" i="78"/>
  <c r="G22" i="78"/>
  <c r="H22" i="78"/>
  <c r="I22" i="78"/>
  <c r="J22" i="78"/>
  <c r="J26" i="91"/>
  <c r="M22" i="78"/>
  <c r="N22" i="78"/>
  <c r="L26" i="91" s="1"/>
  <c r="B22" i="77"/>
  <c r="F23" i="78"/>
  <c r="G23" i="78"/>
  <c r="H23" i="78"/>
  <c r="I23" i="78"/>
  <c r="J23" i="78"/>
  <c r="J27" i="91"/>
  <c r="M23" i="78"/>
  <c r="H27" i="91" s="1"/>
  <c r="N23" i="78"/>
  <c r="L27" i="91" s="1"/>
  <c r="N4" i="78"/>
  <c r="M4" i="78"/>
  <c r="H8" i="91" s="1"/>
  <c r="J8" i="91"/>
  <c r="N3" i="78"/>
  <c r="N28" i="78" s="1"/>
  <c r="M3" i="78"/>
  <c r="M28" i="78" s="1"/>
  <c r="L3" i="78"/>
  <c r="L28" i="78" s="1"/>
  <c r="G4" i="78"/>
  <c r="H4" i="78"/>
  <c r="I4" i="78"/>
  <c r="J4" i="78"/>
  <c r="F4" i="78"/>
  <c r="D8" i="91"/>
  <c r="K3" i="78"/>
  <c r="K28" i="78" s="1"/>
  <c r="I27" i="63"/>
  <c r="J27" i="63"/>
  <c r="H27" i="63"/>
  <c r="F27" i="63"/>
  <c r="E27" i="63"/>
  <c r="D27" i="63"/>
  <c r="H27" i="62"/>
  <c r="G27" i="62"/>
  <c r="F27" i="62"/>
  <c r="D21" i="62"/>
  <c r="I21" i="62"/>
  <c r="R43" i="78" s="1"/>
  <c r="Q22" i="91" s="1"/>
  <c r="D22" i="62"/>
  <c r="I22" i="62"/>
  <c r="R44" i="78" s="1"/>
  <c r="Q23" i="91" s="1"/>
  <c r="D23" i="62"/>
  <c r="I23" i="62"/>
  <c r="R45" i="78" s="1"/>
  <c r="Q24" i="91" s="1"/>
  <c r="D24" i="62"/>
  <c r="I24" i="62"/>
  <c r="R46" i="78" s="1"/>
  <c r="Q25" i="91" s="1"/>
  <c r="D25" i="62"/>
  <c r="I25" i="62"/>
  <c r="R47" i="78" s="1"/>
  <c r="Q26" i="91" s="1"/>
  <c r="D26" i="62"/>
  <c r="R48" i="78"/>
  <c r="Q27" i="91" s="1"/>
  <c r="D11" i="62"/>
  <c r="I11" i="62"/>
  <c r="R33" i="78" s="1"/>
  <c r="Q12" i="91" s="1"/>
  <c r="D12" i="62"/>
  <c r="I12" i="62"/>
  <c r="R34" i="78" s="1"/>
  <c r="Q13" i="91" s="1"/>
  <c r="D13" i="62"/>
  <c r="I13" i="62"/>
  <c r="R35" i="78" s="1"/>
  <c r="Q14" i="91" s="1"/>
  <c r="D14" i="62"/>
  <c r="I14" i="62"/>
  <c r="R36" i="78" s="1"/>
  <c r="Q15" i="91" s="1"/>
  <c r="D15" i="62"/>
  <c r="I15" i="62"/>
  <c r="R37" i="78" s="1"/>
  <c r="Q16" i="91" s="1"/>
  <c r="D16" i="62"/>
  <c r="I16" i="62"/>
  <c r="R38" i="78" s="1"/>
  <c r="Q17" i="91" s="1"/>
  <c r="D17" i="62"/>
  <c r="I17" i="62"/>
  <c r="R39" i="78" s="1"/>
  <c r="Q18" i="91" s="1"/>
  <c r="D18" i="62"/>
  <c r="I18" i="62"/>
  <c r="R40" i="78" s="1"/>
  <c r="Q19" i="91" s="1"/>
  <c r="D19" i="62"/>
  <c r="I19" i="62"/>
  <c r="R41" i="78" s="1"/>
  <c r="Q20" i="91" s="1"/>
  <c r="D20" i="62"/>
  <c r="I20" i="62"/>
  <c r="R42" i="78" s="1"/>
  <c r="Q21" i="91" s="1"/>
  <c r="D9" i="62"/>
  <c r="I9" i="62"/>
  <c r="R31" i="78" s="1"/>
  <c r="D10" i="62"/>
  <c r="I10" i="62"/>
  <c r="R32" i="78" s="1"/>
  <c r="Q11" i="91" s="1"/>
  <c r="I8" i="62"/>
  <c r="R30" i="78" s="1"/>
  <c r="Q9" i="91" s="1"/>
  <c r="I7" i="62"/>
  <c r="R29" i="78" s="1"/>
  <c r="Q8" i="91" s="1"/>
  <c r="F26" i="72"/>
  <c r="G26" i="72"/>
  <c r="H8" i="72"/>
  <c r="N8" i="72" s="1"/>
  <c r="H9" i="72"/>
  <c r="N9" i="72" s="1"/>
  <c r="H10" i="72"/>
  <c r="N10" i="72" s="1"/>
  <c r="H11" i="72"/>
  <c r="N11" i="72" s="1"/>
  <c r="H12" i="72"/>
  <c r="N12" i="72" s="1"/>
  <c r="H13" i="72"/>
  <c r="N13" i="72" s="1"/>
  <c r="H14" i="72"/>
  <c r="N14" i="72" s="1"/>
  <c r="H15" i="72"/>
  <c r="N15" i="72" s="1"/>
  <c r="H16" i="72"/>
  <c r="N16" i="72" s="1"/>
  <c r="H17" i="72"/>
  <c r="N17" i="72" s="1"/>
  <c r="H18" i="72"/>
  <c r="N18" i="72" s="1"/>
  <c r="H19" i="72"/>
  <c r="N19" i="72" s="1"/>
  <c r="H20" i="72"/>
  <c r="N20" i="72" s="1"/>
  <c r="H21" i="72"/>
  <c r="N21" i="72" s="1"/>
  <c r="H22" i="72"/>
  <c r="N22" i="72" s="1"/>
  <c r="H23" i="72"/>
  <c r="N23" i="72" s="1"/>
  <c r="H24" i="72"/>
  <c r="N24" i="72" s="1"/>
  <c r="H25" i="72"/>
  <c r="N25" i="72" s="1"/>
  <c r="H7" i="72"/>
  <c r="N7" i="72" s="1"/>
  <c r="G26" i="61"/>
  <c r="E26" i="61"/>
  <c r="C4" i="79" s="1"/>
  <c r="D26" i="61"/>
  <c r="I91" i="60"/>
  <c r="I87" i="60"/>
  <c r="C28" i="62" s="1"/>
  <c r="I84" i="60"/>
  <c r="I83" i="60"/>
  <c r="I82" i="60"/>
  <c r="H81" i="60"/>
  <c r="J48" i="78" s="1"/>
  <c r="G81" i="60"/>
  <c r="I48" i="78" s="1"/>
  <c r="F81" i="60"/>
  <c r="H48" i="78" s="1"/>
  <c r="E81" i="60"/>
  <c r="G48" i="78" s="1"/>
  <c r="D81" i="60"/>
  <c r="F48" i="78" s="1"/>
  <c r="I80" i="60"/>
  <c r="I79" i="60"/>
  <c r="I78" i="60"/>
  <c r="H77" i="60"/>
  <c r="J47" i="78" s="1"/>
  <c r="G77" i="60"/>
  <c r="I47" i="78" s="1"/>
  <c r="F77" i="60"/>
  <c r="H47" i="78" s="1"/>
  <c r="E77" i="60"/>
  <c r="G47" i="78" s="1"/>
  <c r="D77" i="60"/>
  <c r="F47" i="78" s="1"/>
  <c r="I76" i="60"/>
  <c r="I75" i="60"/>
  <c r="I74" i="60"/>
  <c r="H73" i="60"/>
  <c r="J46" i="78" s="1"/>
  <c r="G73" i="60"/>
  <c r="I46" i="78" s="1"/>
  <c r="F73" i="60"/>
  <c r="H46" i="78" s="1"/>
  <c r="E73" i="60"/>
  <c r="G46" i="78" s="1"/>
  <c r="D73" i="60"/>
  <c r="F46" i="78" s="1"/>
  <c r="I72" i="60"/>
  <c r="I71" i="60"/>
  <c r="I70" i="60"/>
  <c r="H69" i="60"/>
  <c r="J45" i="78" s="1"/>
  <c r="G69" i="60"/>
  <c r="I45" i="78" s="1"/>
  <c r="F69" i="60"/>
  <c r="H45" i="78" s="1"/>
  <c r="E69" i="60"/>
  <c r="G45" i="78" s="1"/>
  <c r="D69" i="60"/>
  <c r="F45" i="78" s="1"/>
  <c r="I68" i="60"/>
  <c r="I67" i="60"/>
  <c r="I66" i="60"/>
  <c r="H65" i="60"/>
  <c r="J44" i="78" s="1"/>
  <c r="G65" i="60"/>
  <c r="I44" i="78" s="1"/>
  <c r="F65" i="60"/>
  <c r="H44" i="78" s="1"/>
  <c r="E65" i="60"/>
  <c r="G44" i="78" s="1"/>
  <c r="D65" i="60"/>
  <c r="F44" i="78" s="1"/>
  <c r="I64" i="60"/>
  <c r="I63" i="60"/>
  <c r="I62" i="60"/>
  <c r="H61" i="60"/>
  <c r="J43" i="78" s="1"/>
  <c r="G61" i="60"/>
  <c r="I43" i="78" s="1"/>
  <c r="F61" i="60"/>
  <c r="H43" i="78" s="1"/>
  <c r="E61" i="60"/>
  <c r="G43" i="78" s="1"/>
  <c r="D61" i="60"/>
  <c r="F43" i="78" s="1"/>
  <c r="I60" i="60"/>
  <c r="I59" i="60"/>
  <c r="I58" i="60"/>
  <c r="H57" i="60"/>
  <c r="J42" i="78" s="1"/>
  <c r="G57" i="60"/>
  <c r="I42" i="78" s="1"/>
  <c r="F57" i="60"/>
  <c r="E57" i="60"/>
  <c r="G42" i="78" s="1"/>
  <c r="D57" i="60"/>
  <c r="F42" i="78" s="1"/>
  <c r="I56" i="60"/>
  <c r="I55" i="60"/>
  <c r="I54" i="60"/>
  <c r="H53" i="60"/>
  <c r="J41" i="78" s="1"/>
  <c r="G53" i="60"/>
  <c r="F53" i="60"/>
  <c r="H41" i="78" s="1"/>
  <c r="E53" i="60"/>
  <c r="G41" i="78" s="1"/>
  <c r="D53" i="60"/>
  <c r="F41" i="78" s="1"/>
  <c r="I52" i="60"/>
  <c r="I51" i="60"/>
  <c r="I50" i="60"/>
  <c r="H49" i="60"/>
  <c r="J40" i="78" s="1"/>
  <c r="G49" i="60"/>
  <c r="I40" i="78" s="1"/>
  <c r="F49" i="60"/>
  <c r="H40" i="78" s="1"/>
  <c r="E49" i="60"/>
  <c r="G40" i="78" s="1"/>
  <c r="D49" i="60"/>
  <c r="F40" i="78" s="1"/>
  <c r="I48" i="60"/>
  <c r="I47" i="60"/>
  <c r="I46" i="60"/>
  <c r="H45" i="60"/>
  <c r="J39" i="78" s="1"/>
  <c r="G45" i="60"/>
  <c r="I39" i="78" s="1"/>
  <c r="F45" i="60"/>
  <c r="H39" i="78" s="1"/>
  <c r="E45" i="60"/>
  <c r="G39" i="78" s="1"/>
  <c r="D45" i="60"/>
  <c r="I44" i="60"/>
  <c r="I43" i="60"/>
  <c r="I42" i="60"/>
  <c r="H41" i="60"/>
  <c r="J38" i="78" s="1"/>
  <c r="G41" i="60"/>
  <c r="I38" i="78" s="1"/>
  <c r="F41" i="60"/>
  <c r="H38" i="78" s="1"/>
  <c r="E41" i="60"/>
  <c r="G38" i="78" s="1"/>
  <c r="D41" i="60"/>
  <c r="F38" i="78" s="1"/>
  <c r="I40" i="60"/>
  <c r="I39" i="60"/>
  <c r="I38" i="60"/>
  <c r="H37" i="60"/>
  <c r="J37" i="78" s="1"/>
  <c r="G37" i="60"/>
  <c r="I37" i="78" s="1"/>
  <c r="F37" i="60"/>
  <c r="H37" i="78" s="1"/>
  <c r="E37" i="60"/>
  <c r="G37" i="78" s="1"/>
  <c r="D37" i="60"/>
  <c r="F37" i="78" s="1"/>
  <c r="I36" i="60"/>
  <c r="I35" i="60"/>
  <c r="I34" i="60"/>
  <c r="H33" i="60"/>
  <c r="G33" i="60"/>
  <c r="I36" i="78" s="1"/>
  <c r="F33" i="60"/>
  <c r="H36" i="78" s="1"/>
  <c r="E33" i="60"/>
  <c r="G36" i="78" s="1"/>
  <c r="D33" i="60"/>
  <c r="F36" i="78" s="1"/>
  <c r="I32" i="60"/>
  <c r="I31" i="60"/>
  <c r="I30" i="60"/>
  <c r="H29" i="60"/>
  <c r="J35" i="78" s="1"/>
  <c r="G29" i="60"/>
  <c r="I35" i="78" s="1"/>
  <c r="F29" i="60"/>
  <c r="H35" i="78" s="1"/>
  <c r="E29" i="60"/>
  <c r="G35" i="78" s="1"/>
  <c r="D29" i="60"/>
  <c r="F35" i="78" s="1"/>
  <c r="I28" i="60"/>
  <c r="I27" i="60"/>
  <c r="I26" i="60"/>
  <c r="H25" i="60"/>
  <c r="J34" i="78" s="1"/>
  <c r="G25" i="60"/>
  <c r="I34" i="78" s="1"/>
  <c r="F25" i="60"/>
  <c r="H34" i="78" s="1"/>
  <c r="E25" i="60"/>
  <c r="G34" i="78" s="1"/>
  <c r="D25" i="60"/>
  <c r="F34" i="78" s="1"/>
  <c r="I24" i="60"/>
  <c r="I23" i="60"/>
  <c r="I22" i="60"/>
  <c r="H21" i="60"/>
  <c r="J33" i="78" s="1"/>
  <c r="G21" i="60"/>
  <c r="I33" i="78" s="1"/>
  <c r="F21" i="60"/>
  <c r="H33" i="78" s="1"/>
  <c r="E21" i="60"/>
  <c r="G33" i="78" s="1"/>
  <c r="D21" i="60"/>
  <c r="F33" i="78" s="1"/>
  <c r="I20" i="60"/>
  <c r="I19" i="60"/>
  <c r="I18" i="60"/>
  <c r="H17" i="60"/>
  <c r="J32" i="78" s="1"/>
  <c r="G17" i="60"/>
  <c r="I32" i="78" s="1"/>
  <c r="F17" i="60"/>
  <c r="H32" i="78" s="1"/>
  <c r="E17" i="60"/>
  <c r="G32" i="78" s="1"/>
  <c r="D17" i="60"/>
  <c r="F32" i="78" s="1"/>
  <c r="I16" i="60"/>
  <c r="I15" i="60"/>
  <c r="I14" i="60"/>
  <c r="H13" i="60"/>
  <c r="J31" i="78" s="1"/>
  <c r="G13" i="60"/>
  <c r="I31" i="78" s="1"/>
  <c r="F13" i="60"/>
  <c r="H31" i="78" s="1"/>
  <c r="E13" i="60"/>
  <c r="G31" i="78" s="1"/>
  <c r="D13" i="60"/>
  <c r="F31" i="78" s="1"/>
  <c r="B9" i="60"/>
  <c r="B13" i="60" s="1"/>
  <c r="I12" i="60"/>
  <c r="I11" i="60"/>
  <c r="I10" i="60"/>
  <c r="H9" i="60"/>
  <c r="J30" i="78" s="1"/>
  <c r="G9" i="60"/>
  <c r="I30" i="78" s="1"/>
  <c r="F9" i="60"/>
  <c r="H30" i="78" s="1"/>
  <c r="E9" i="60"/>
  <c r="G30" i="78" s="1"/>
  <c r="D9" i="60"/>
  <c r="F30" i="78" s="1"/>
  <c r="H5" i="60"/>
  <c r="J29" i="78" s="1"/>
  <c r="G5" i="60"/>
  <c r="I29" i="78" s="1"/>
  <c r="F5" i="60"/>
  <c r="H29" i="78" s="1"/>
  <c r="E5" i="60"/>
  <c r="G29" i="78" s="1"/>
  <c r="D5" i="60"/>
  <c r="F29" i="78" s="1"/>
  <c r="I8" i="60"/>
  <c r="I7" i="60"/>
  <c r="I6" i="60"/>
  <c r="H4" i="60"/>
  <c r="H87" i="60" s="1"/>
  <c r="G4" i="60"/>
  <c r="G87" i="60" s="1"/>
  <c r="F4" i="60"/>
  <c r="F87" i="60" s="1"/>
  <c r="E4" i="60"/>
  <c r="E87" i="60" s="1"/>
  <c r="D4" i="60"/>
  <c r="D87" i="60" s="1"/>
  <c r="G6" i="55"/>
  <c r="E6" i="55"/>
  <c r="L8" i="69"/>
  <c r="L9" i="69"/>
  <c r="L10" i="69"/>
  <c r="L11" i="69"/>
  <c r="L12" i="69"/>
  <c r="G26" i="54"/>
  <c r="E26" i="54"/>
  <c r="G48" i="79" s="1"/>
  <c r="D26" i="54"/>
  <c r="H26" i="53"/>
  <c r="I6" i="53"/>
  <c r="I7" i="53"/>
  <c r="I8" i="53"/>
  <c r="I9" i="53"/>
  <c r="F9" i="68" s="1"/>
  <c r="G9" i="68" s="1"/>
  <c r="H9" i="68" s="1"/>
  <c r="I10" i="53"/>
  <c r="F10" i="68" s="1"/>
  <c r="G10" i="68" s="1"/>
  <c r="I11" i="53"/>
  <c r="F11" i="68" s="1"/>
  <c r="G11" i="68" s="1"/>
  <c r="H11" i="68" s="1"/>
  <c r="I12" i="53"/>
  <c r="F12" i="68" s="1"/>
  <c r="G12" i="68" s="1"/>
  <c r="H12" i="68" s="1"/>
  <c r="I13" i="53"/>
  <c r="F13" i="68" s="1"/>
  <c r="G13" i="68" s="1"/>
  <c r="H13" i="68" s="1"/>
  <c r="I14" i="53"/>
  <c r="F14" i="68" s="1"/>
  <c r="G14" i="68" s="1"/>
  <c r="H14" i="68" s="1"/>
  <c r="I15" i="53"/>
  <c r="F15" i="68" s="1"/>
  <c r="G15" i="68" s="1"/>
  <c r="H15" i="68" s="1"/>
  <c r="I16" i="53"/>
  <c r="F16" i="68" s="1"/>
  <c r="G16" i="68" s="1"/>
  <c r="H16" i="68" s="1"/>
  <c r="I17" i="53"/>
  <c r="F17" i="68" s="1"/>
  <c r="G17" i="68" s="1"/>
  <c r="H17" i="68" s="1"/>
  <c r="I18" i="53"/>
  <c r="F18" i="68" s="1"/>
  <c r="G18" i="68" s="1"/>
  <c r="H18" i="68" s="1"/>
  <c r="I19" i="53"/>
  <c r="F19" i="68" s="1"/>
  <c r="G19" i="68" s="1"/>
  <c r="H19" i="68" s="1"/>
  <c r="I20" i="53"/>
  <c r="F20" i="68" s="1"/>
  <c r="G20" i="68" s="1"/>
  <c r="H20" i="68" s="1"/>
  <c r="I21" i="53"/>
  <c r="F21" i="68" s="1"/>
  <c r="G21" i="68" s="1"/>
  <c r="H21" i="68" s="1"/>
  <c r="I22" i="53"/>
  <c r="F22" i="68" s="1"/>
  <c r="G22" i="68" s="1"/>
  <c r="H22" i="68" s="1"/>
  <c r="I23" i="53"/>
  <c r="F23" i="68" s="1"/>
  <c r="G23" i="68" s="1"/>
  <c r="H23" i="68" s="1"/>
  <c r="I24" i="53"/>
  <c r="F24" i="68" s="1"/>
  <c r="G24" i="68" s="1"/>
  <c r="H24" i="68" s="1"/>
  <c r="I5" i="53"/>
  <c r="E25" i="53"/>
  <c r="F25" i="53"/>
  <c r="G25" i="53"/>
  <c r="H25" i="53"/>
  <c r="D25" i="53"/>
  <c r="H4" i="53"/>
  <c r="J3" i="78" s="1"/>
  <c r="B38" i="79" s="1"/>
  <c r="B13" i="80" s="1"/>
  <c r="G4" i="53"/>
  <c r="I3" i="78" s="1"/>
  <c r="I28" i="78" s="1"/>
  <c r="F4" i="53"/>
  <c r="H3" i="78" s="1"/>
  <c r="B36" i="79" s="1"/>
  <c r="B11" i="80" s="1"/>
  <c r="E4" i="53"/>
  <c r="G3" i="78" s="1"/>
  <c r="D4" i="53"/>
  <c r="F3" i="78" s="1"/>
  <c r="F28" i="78" s="1"/>
  <c r="F2" i="45"/>
  <c r="B36" i="78"/>
  <c r="B6" i="86"/>
  <c r="B55" i="78"/>
  <c r="B73" i="78"/>
  <c r="B71" i="78"/>
  <c r="B69" i="78"/>
  <c r="B67" i="78"/>
  <c r="B65" i="78"/>
  <c r="B63" i="78"/>
  <c r="B61" i="78"/>
  <c r="B74" i="78"/>
  <c r="B70" i="78"/>
  <c r="B66" i="78"/>
  <c r="B64" i="78"/>
  <c r="B62" i="78"/>
  <c r="B60" i="78"/>
  <c r="B29" i="78"/>
  <c r="B38" i="78"/>
  <c r="B34" i="78"/>
  <c r="B40" i="78"/>
  <c r="B48" i="78"/>
  <c r="B47" i="78"/>
  <c r="B45" i="78"/>
  <c r="B43" i="78"/>
  <c r="B41" i="78"/>
  <c r="B39" i="78"/>
  <c r="B37" i="78"/>
  <c r="B35" i="78"/>
  <c r="B35" i="79"/>
  <c r="B10" i="80" s="1"/>
  <c r="G28" i="78"/>
  <c r="L25" i="78"/>
  <c r="B3" i="77"/>
  <c r="D29" i="78"/>
  <c r="R27" i="91"/>
  <c r="S10" i="87"/>
  <c r="S8" i="87"/>
  <c r="K8" i="91"/>
  <c r="L16" i="91"/>
  <c r="L14" i="91"/>
  <c r="L12" i="91"/>
  <c r="L11" i="91"/>
  <c r="L10" i="91"/>
  <c r="L9" i="91"/>
  <c r="R8" i="87"/>
  <c r="I12" i="86"/>
  <c r="H19" i="91"/>
  <c r="H13" i="91"/>
  <c r="J22" i="91"/>
  <c r="J21" i="91"/>
  <c r="J20" i="91"/>
  <c r="J19" i="91"/>
  <c r="J16" i="91"/>
  <c r="J15" i="91"/>
  <c r="J14" i="91"/>
  <c r="J13" i="91"/>
  <c r="J12" i="91"/>
  <c r="J11" i="91"/>
  <c r="J10" i="91"/>
  <c r="J9" i="91"/>
  <c r="M18" i="87"/>
  <c r="M12" i="87"/>
  <c r="D35" i="78"/>
  <c r="E38" i="78"/>
  <c r="C19" i="91"/>
  <c r="H24" i="91"/>
  <c r="J24" i="91"/>
  <c r="N13" i="87"/>
  <c r="H88" i="60" l="1" a="1"/>
  <c r="H88" i="60" s="1"/>
  <c r="H9" i="91"/>
  <c r="F8" i="68"/>
  <c r="G8" i="68" s="1"/>
  <c r="H8" i="68" s="1"/>
  <c r="N8" i="68" s="1"/>
  <c r="F6" i="68"/>
  <c r="G6" i="68" s="1"/>
  <c r="H6" i="68" s="1"/>
  <c r="N6" i="68" s="1"/>
  <c r="F7" i="68"/>
  <c r="G7" i="68" s="1"/>
  <c r="H7" i="68" s="1"/>
  <c r="N7" i="68" s="1"/>
  <c r="F5" i="68"/>
  <c r="G5" i="68" s="1"/>
  <c r="H5" i="68" s="1"/>
  <c r="N5" i="68" s="1"/>
  <c r="G88" i="60" a="1"/>
  <c r="G88" i="60" s="1"/>
  <c r="M10" i="87"/>
  <c r="F12" i="86"/>
  <c r="M8" i="87"/>
  <c r="D23" i="78"/>
  <c r="D27" i="91" s="1"/>
  <c r="K16" i="78"/>
  <c r="F20" i="91" s="1"/>
  <c r="B21" i="91"/>
  <c r="K13" i="78"/>
  <c r="H17" i="87" s="1"/>
  <c r="K9" i="78"/>
  <c r="H13" i="87" s="1"/>
  <c r="K18" i="78"/>
  <c r="F22" i="91" s="1"/>
  <c r="K48" i="78"/>
  <c r="I27" i="87" s="1"/>
  <c r="E42" i="78"/>
  <c r="K22" i="78"/>
  <c r="F26" i="91" s="1"/>
  <c r="K20" i="78"/>
  <c r="F24" i="91" s="1"/>
  <c r="K12" i="78"/>
  <c r="F16" i="91" s="1"/>
  <c r="K14" i="78"/>
  <c r="H18" i="87" s="1"/>
  <c r="E20" i="91"/>
  <c r="E41" i="78"/>
  <c r="K11" i="78"/>
  <c r="H15" i="87" s="1"/>
  <c r="K10" i="78"/>
  <c r="F14" i="91" s="1"/>
  <c r="I65" i="60"/>
  <c r="K8" i="78"/>
  <c r="H12" i="87" s="1"/>
  <c r="E35" i="78"/>
  <c r="F17" i="91"/>
  <c r="E45" i="78"/>
  <c r="B42" i="78"/>
  <c r="B68" i="78"/>
  <c r="I37" i="60"/>
  <c r="M20" i="87"/>
  <c r="H21" i="91"/>
  <c r="H25" i="78"/>
  <c r="C36" i="79" s="1"/>
  <c r="E11" i="80" s="1"/>
  <c r="K5" i="78"/>
  <c r="F9" i="91" s="1"/>
  <c r="Q50" i="78"/>
  <c r="N9" i="87"/>
  <c r="K7" i="78"/>
  <c r="H11" i="87" s="1"/>
  <c r="K6" i="78"/>
  <c r="H10" i="87" s="1"/>
  <c r="K4" i="78"/>
  <c r="F8" i="91" s="1"/>
  <c r="F12" i="91"/>
  <c r="E18" i="91"/>
  <c r="H48" i="79"/>
  <c r="M14" i="81" s="1"/>
  <c r="P50" i="78"/>
  <c r="O50" i="78"/>
  <c r="B37" i="79"/>
  <c r="B12" i="80" s="1"/>
  <c r="B46" i="78"/>
  <c r="I77" i="60"/>
  <c r="B72" i="78"/>
  <c r="B20" i="77"/>
  <c r="N25" i="78"/>
  <c r="J33" i="63"/>
  <c r="E4" i="79" s="1"/>
  <c r="E9" i="82" s="1"/>
  <c r="D31" i="78"/>
  <c r="M14" i="87"/>
  <c r="H15" i="91"/>
  <c r="B31" i="78"/>
  <c r="B57" i="78"/>
  <c r="E23" i="78"/>
  <c r="E48" i="78" s="1"/>
  <c r="C12" i="86"/>
  <c r="I49" i="60"/>
  <c r="I25" i="60"/>
  <c r="I69" i="60"/>
  <c r="H90" i="60" a="1"/>
  <c r="H90" i="60" s="1"/>
  <c r="K49" i="78"/>
  <c r="I57" i="60"/>
  <c r="B44" i="78"/>
  <c r="B11" i="77"/>
  <c r="E43" i="78"/>
  <c r="B23" i="91"/>
  <c r="H22" i="87"/>
  <c r="I33" i="60"/>
  <c r="K30" i="78"/>
  <c r="G9" i="91" s="1"/>
  <c r="E88" i="60" a="1"/>
  <c r="E88" i="60" s="1"/>
  <c r="J25" i="78"/>
  <c r="C38" i="79" s="1"/>
  <c r="E13" i="80" s="1"/>
  <c r="B34" i="79"/>
  <c r="B9" i="80" s="1"/>
  <c r="H89" i="60" a="1"/>
  <c r="H89" i="60" s="1"/>
  <c r="G89" i="60" a="1"/>
  <c r="G89" i="60" s="1"/>
  <c r="G90" i="60" a="1"/>
  <c r="G90" i="60" s="1"/>
  <c r="D15" i="78"/>
  <c r="E19" i="78"/>
  <c r="C5" i="78"/>
  <c r="C30" i="78" s="1"/>
  <c r="B10" i="86"/>
  <c r="D6" i="80"/>
  <c r="G15" i="64"/>
  <c r="H5" i="63"/>
  <c r="H29" i="63" s="1"/>
  <c r="D5" i="63"/>
  <c r="D29" i="63" s="1"/>
  <c r="E7" i="78"/>
  <c r="E11" i="91" s="1"/>
  <c r="L12" i="86"/>
  <c r="P11" i="62"/>
  <c r="P27" i="62" s="1"/>
  <c r="C3" i="62" s="1"/>
  <c r="O27" i="74"/>
  <c r="E23" i="97" s="1"/>
  <c r="F23" i="97" s="1"/>
  <c r="N27" i="53"/>
  <c r="C3" i="53" s="1"/>
  <c r="L10" i="86"/>
  <c r="J14" i="81"/>
  <c r="L27" i="69"/>
  <c r="F6" i="55" s="1"/>
  <c r="G9" i="95" s="1"/>
  <c r="N26" i="54"/>
  <c r="E11" i="97" s="1"/>
  <c r="F11" i="97" s="1"/>
  <c r="N26" i="61"/>
  <c r="L25" i="52"/>
  <c r="D27" i="62"/>
  <c r="L50" i="78"/>
  <c r="S9" i="87"/>
  <c r="N17" i="87"/>
  <c r="B30" i="78"/>
  <c r="E5" i="78"/>
  <c r="E30" i="78" s="1"/>
  <c r="E32" i="78"/>
  <c r="B4" i="77"/>
  <c r="B56" i="78"/>
  <c r="G11" i="86" s="1"/>
  <c r="B9" i="91"/>
  <c r="E4" i="78"/>
  <c r="E29" i="78" s="1"/>
  <c r="B8" i="91"/>
  <c r="C4" i="78"/>
  <c r="C8" i="91" s="1"/>
  <c r="M25" i="78"/>
  <c r="F89" i="60" a="1"/>
  <c r="F89" i="60" s="1"/>
  <c r="I41" i="60"/>
  <c r="E89" i="60" a="1"/>
  <c r="E89" i="60" s="1"/>
  <c r="I53" i="60"/>
  <c r="J36" i="78"/>
  <c r="J50" i="78" s="1"/>
  <c r="D38" i="79" s="1"/>
  <c r="F13" i="80" s="1"/>
  <c r="I45" i="60"/>
  <c r="I41" i="78"/>
  <c r="I50" i="78" s="1"/>
  <c r="D37" i="79" s="1"/>
  <c r="F12" i="80" s="1"/>
  <c r="M9" i="95" s="1"/>
  <c r="H42" i="78"/>
  <c r="K42" i="78" s="1"/>
  <c r="F90" i="60" a="1"/>
  <c r="F90" i="60" s="1"/>
  <c r="I61" i="60"/>
  <c r="I29" i="60"/>
  <c r="E90" i="60" a="1"/>
  <c r="E90" i="60" s="1"/>
  <c r="K43" i="78"/>
  <c r="I22" i="87" s="1"/>
  <c r="I9" i="60"/>
  <c r="I21" i="60"/>
  <c r="I81" i="60"/>
  <c r="I73" i="60"/>
  <c r="G27" i="91"/>
  <c r="H11" i="91"/>
  <c r="K14" i="81"/>
  <c r="C35" i="78"/>
  <c r="B7" i="77"/>
  <c r="D30" i="78"/>
  <c r="B11" i="91"/>
  <c r="C36" i="78"/>
  <c r="B33" i="78"/>
  <c r="B19" i="77"/>
  <c r="B16" i="77"/>
  <c r="B14" i="77"/>
  <c r="C17" i="91"/>
  <c r="E15" i="78"/>
  <c r="C7" i="78"/>
  <c r="D9" i="78"/>
  <c r="D13" i="91" s="1"/>
  <c r="D44" i="78"/>
  <c r="B32" i="78"/>
  <c r="G12" i="86" s="1"/>
  <c r="B59" i="78"/>
  <c r="B18" i="77"/>
  <c r="B6" i="77"/>
  <c r="B10" i="91"/>
  <c r="B24" i="91"/>
  <c r="B13" i="91"/>
  <c r="C19" i="78"/>
  <c r="C17" i="78"/>
  <c r="C42" i="78" s="1"/>
  <c r="D17" i="78"/>
  <c r="D21" i="91" s="1"/>
  <c r="D7" i="78"/>
  <c r="B10" i="77"/>
  <c r="D11" i="78"/>
  <c r="B15" i="91"/>
  <c r="E11" i="78"/>
  <c r="C33" i="78"/>
  <c r="C12" i="91"/>
  <c r="B12" i="91"/>
  <c r="K45" i="78"/>
  <c r="K41" i="78"/>
  <c r="D89" i="60" a="1"/>
  <c r="D89" i="60" s="1"/>
  <c r="D88" i="60" a="1"/>
  <c r="D88" i="60" s="1"/>
  <c r="D12" i="64"/>
  <c r="D15" i="64" s="1"/>
  <c r="D6" i="63"/>
  <c r="C9" i="95"/>
  <c r="B5" i="77"/>
  <c r="C6" i="78"/>
  <c r="D16" i="78"/>
  <c r="D41" i="78" s="1"/>
  <c r="C16" i="78"/>
  <c r="C20" i="91" s="1"/>
  <c r="E21" i="78"/>
  <c r="D21" i="78"/>
  <c r="D12" i="78"/>
  <c r="E12" i="78"/>
  <c r="C12" i="78"/>
  <c r="E9" i="78"/>
  <c r="C9" i="78"/>
  <c r="D8" i="78"/>
  <c r="E8" i="78"/>
  <c r="D11" i="86"/>
  <c r="D6" i="55"/>
  <c r="F9" i="95" s="1"/>
  <c r="H28" i="78"/>
  <c r="B39" i="79"/>
  <c r="B14" i="80" s="1"/>
  <c r="B24" i="78"/>
  <c r="G37" i="87"/>
  <c r="B48" i="79"/>
  <c r="F30" i="87"/>
  <c r="K30" i="87"/>
  <c r="P30" i="87"/>
  <c r="L30" i="87"/>
  <c r="Q30" i="87"/>
  <c r="G30" i="87"/>
  <c r="I10" i="86"/>
  <c r="F5" i="45"/>
  <c r="F8" i="45"/>
  <c r="F7" i="51"/>
  <c r="E6" i="78"/>
  <c r="I11" i="86"/>
  <c r="G10" i="86"/>
  <c r="B12" i="86"/>
  <c r="B4" i="83"/>
  <c r="F6" i="87"/>
  <c r="B4" i="82"/>
  <c r="B4" i="92"/>
  <c r="F6" i="76"/>
  <c r="B11" i="86"/>
  <c r="B4" i="91"/>
  <c r="F9" i="45"/>
  <c r="I20" i="91"/>
  <c r="I16" i="91"/>
  <c r="N27" i="87"/>
  <c r="N25" i="87"/>
  <c r="I24" i="91"/>
  <c r="N10" i="87"/>
  <c r="S26" i="87"/>
  <c r="I23" i="91"/>
  <c r="I18" i="91"/>
  <c r="B27" i="91"/>
  <c r="I25" i="78"/>
  <c r="C37" i="79" s="1"/>
  <c r="E12" i="80" s="1"/>
  <c r="I22" i="91"/>
  <c r="K13" i="91"/>
  <c r="K17" i="78"/>
  <c r="K15" i="78"/>
  <c r="H16" i="87"/>
  <c r="H20" i="87"/>
  <c r="K35" i="78"/>
  <c r="K37" i="78"/>
  <c r="K47" i="78"/>
  <c r="M27" i="87"/>
  <c r="M25" i="87"/>
  <c r="M17" i="87"/>
  <c r="N21" i="87"/>
  <c r="K23" i="78"/>
  <c r="F27" i="91" s="1"/>
  <c r="K22" i="91"/>
  <c r="I19" i="91"/>
  <c r="I15" i="91"/>
  <c r="I14" i="91"/>
  <c r="I11" i="91"/>
  <c r="Q10" i="91"/>
  <c r="R50" i="78"/>
  <c r="R8" i="91"/>
  <c r="S50" i="78"/>
  <c r="N50" i="78"/>
  <c r="M50" i="78"/>
  <c r="N8" i="87"/>
  <c r="I12" i="91"/>
  <c r="K32" i="78"/>
  <c r="I17" i="60"/>
  <c r="I13" i="60"/>
  <c r="I5" i="60"/>
  <c r="K34" i="78"/>
  <c r="K31" i="78"/>
  <c r="D90" i="60" a="1"/>
  <c r="D90" i="60" s="1"/>
  <c r="K29" i="78"/>
  <c r="G8" i="91" s="1"/>
  <c r="I25" i="53"/>
  <c r="I27" i="53" s="1"/>
  <c r="G25" i="78"/>
  <c r="C35" i="79" s="1"/>
  <c r="E10" i="80" s="1"/>
  <c r="F25" i="78"/>
  <c r="C34" i="79" s="1"/>
  <c r="E9" i="80" s="1"/>
  <c r="F13" i="91"/>
  <c r="C45" i="78"/>
  <c r="E47" i="78"/>
  <c r="C47" i="78"/>
  <c r="J10" i="86"/>
  <c r="F10" i="86"/>
  <c r="H10" i="68"/>
  <c r="J28" i="78"/>
  <c r="B17" i="60"/>
  <c r="K33" i="78"/>
  <c r="K44" i="78"/>
  <c r="K46" i="78"/>
  <c r="G50" i="78"/>
  <c r="D35" i="79" s="1"/>
  <c r="F10" i="80" s="1"/>
  <c r="K36" i="78"/>
  <c r="K38" i="78"/>
  <c r="K40" i="78"/>
  <c r="F39" i="78"/>
  <c r="K39" i="78" s="1"/>
  <c r="C48" i="78"/>
  <c r="L21" i="91"/>
  <c r="R27" i="87"/>
  <c r="M26" i="87"/>
  <c r="H26" i="91"/>
  <c r="D26" i="91"/>
  <c r="D47" i="78"/>
  <c r="J25" i="91"/>
  <c r="R25" i="87"/>
  <c r="K19" i="78"/>
  <c r="D39" i="78"/>
  <c r="D18" i="91"/>
  <c r="R17" i="87"/>
  <c r="J17" i="91"/>
  <c r="F6" i="45"/>
  <c r="D25" i="68"/>
  <c r="N25" i="68" s="1"/>
  <c r="B28" i="83"/>
  <c r="Q28" i="83" s="1"/>
  <c r="F88" i="60" a="1"/>
  <c r="F88" i="60" s="1"/>
  <c r="D48" i="78"/>
  <c r="R26" i="87"/>
  <c r="K21" i="78"/>
  <c r="C43" i="78"/>
  <c r="C22" i="91"/>
  <c r="L20" i="91"/>
  <c r="G28" i="62"/>
  <c r="J27" i="62" s="1"/>
  <c r="H4" i="79" s="1"/>
  <c r="H9" i="82" s="1"/>
  <c r="E28" i="83"/>
  <c r="L8" i="91"/>
  <c r="M23" i="87"/>
  <c r="H23" i="91"/>
  <c r="R18" i="87"/>
  <c r="J18" i="91"/>
  <c r="D38" i="78"/>
  <c r="D17" i="91"/>
  <c r="H16" i="91"/>
  <c r="S27" i="87"/>
  <c r="N26" i="87"/>
  <c r="S25" i="87"/>
  <c r="K24" i="91"/>
  <c r="K23" i="91"/>
  <c r="K20" i="91"/>
  <c r="K19" i="91"/>
  <c r="K18" i="91"/>
  <c r="K17" i="91"/>
  <c r="K16" i="91"/>
  <c r="K15" i="91"/>
  <c r="K14" i="91"/>
  <c r="D45" i="78"/>
  <c r="R23" i="87"/>
  <c r="M22" i="87"/>
  <c r="C39" i="78"/>
  <c r="S12" i="87"/>
  <c r="C46" i="78"/>
  <c r="F26" i="68" l="1"/>
  <c r="H12" i="86"/>
  <c r="J12" i="86"/>
  <c r="K12" i="86" s="1"/>
  <c r="C9" i="91"/>
  <c r="C10" i="86"/>
  <c r="F15" i="91"/>
  <c r="C11" i="86"/>
  <c r="E11" i="86" s="1"/>
  <c r="M10" i="86"/>
  <c r="N10" i="86" s="1"/>
  <c r="H26" i="87"/>
  <c r="E27" i="91"/>
  <c r="F18" i="91"/>
  <c r="H24" i="87"/>
  <c r="H14" i="87"/>
  <c r="D10" i="86"/>
  <c r="M12" i="86"/>
  <c r="N12" i="86" s="1"/>
  <c r="F11" i="86"/>
  <c r="H11" i="86" s="1"/>
  <c r="J11" i="86"/>
  <c r="K11" i="86" s="1"/>
  <c r="L11" i="86"/>
  <c r="H50" i="78"/>
  <c r="D36" i="79" s="1"/>
  <c r="F11" i="80" s="1"/>
  <c r="M11" i="86"/>
  <c r="F11" i="91"/>
  <c r="H9" i="87"/>
  <c r="F10" i="91"/>
  <c r="K25" i="78"/>
  <c r="H8" i="87"/>
  <c r="I9" i="87"/>
  <c r="E91" i="60"/>
  <c r="G91" i="60"/>
  <c r="C41" i="78"/>
  <c r="D42" i="78"/>
  <c r="L14" i="81"/>
  <c r="E9" i="97"/>
  <c r="F9" i="97" s="1"/>
  <c r="C3" i="74"/>
  <c r="H91" i="60"/>
  <c r="H27" i="87"/>
  <c r="N14" i="81"/>
  <c r="E20" i="97"/>
  <c r="F20" i="97" s="1"/>
  <c r="E23" i="91"/>
  <c r="E44" i="78"/>
  <c r="D40" i="78"/>
  <c r="D19" i="91"/>
  <c r="F29" i="79"/>
  <c r="G29" i="76" s="1"/>
  <c r="D39" i="79"/>
  <c r="F14" i="80" s="1"/>
  <c r="H6" i="63"/>
  <c r="D30" i="63"/>
  <c r="G38" i="87"/>
  <c r="E8" i="91"/>
  <c r="C3" i="54"/>
  <c r="K7" i="75"/>
  <c r="F38" i="75"/>
  <c r="J4" i="79"/>
  <c r="J9" i="82" s="1"/>
  <c r="C3" i="61"/>
  <c r="E18" i="97"/>
  <c r="F18" i="97" s="1"/>
  <c r="D3" i="52"/>
  <c r="E7" i="97"/>
  <c r="E48" i="79"/>
  <c r="E14" i="81" s="1"/>
  <c r="F14" i="81" s="1"/>
  <c r="E9" i="91"/>
  <c r="C29" i="78"/>
  <c r="A5" i="77"/>
  <c r="A8" i="77"/>
  <c r="A12" i="77"/>
  <c r="J89" i="60"/>
  <c r="G22" i="91"/>
  <c r="I21" i="87"/>
  <c r="G21" i="91"/>
  <c r="A4" i="77"/>
  <c r="A6" i="77"/>
  <c r="A7" i="77"/>
  <c r="A3" i="77"/>
  <c r="D20" i="91"/>
  <c r="C21" i="91"/>
  <c r="D34" i="78"/>
  <c r="A19" i="77"/>
  <c r="E19" i="91"/>
  <c r="E40" i="78"/>
  <c r="A17" i="77"/>
  <c r="C11" i="91"/>
  <c r="C32" i="78"/>
  <c r="A10" i="77"/>
  <c r="C23" i="91"/>
  <c r="C44" i="78"/>
  <c r="D11" i="91"/>
  <c r="D32" i="78"/>
  <c r="A13" i="77"/>
  <c r="A11" i="77"/>
  <c r="A9" i="77"/>
  <c r="A22" i="77"/>
  <c r="A15" i="77"/>
  <c r="A21" i="77"/>
  <c r="E36" i="78"/>
  <c r="E15" i="91"/>
  <c r="D15" i="91"/>
  <c r="D36" i="78"/>
  <c r="D91" i="60"/>
  <c r="G24" i="91"/>
  <c r="I24" i="87"/>
  <c r="G20" i="91"/>
  <c r="I20" i="87"/>
  <c r="K50" i="78"/>
  <c r="A16" i="77"/>
  <c r="A20" i="77"/>
  <c r="A14" i="77"/>
  <c r="A18" i="77"/>
  <c r="C10" i="91"/>
  <c r="C31" i="78"/>
  <c r="C37" i="78"/>
  <c r="C16" i="91"/>
  <c r="E25" i="91"/>
  <c r="E46" i="78"/>
  <c r="E16" i="91"/>
  <c r="E37" i="78"/>
  <c r="C13" i="91"/>
  <c r="C34" i="78"/>
  <c r="D16" i="91"/>
  <c r="D37" i="78"/>
  <c r="E13" i="91"/>
  <c r="E34" i="78"/>
  <c r="D25" i="91"/>
  <c r="D46" i="78"/>
  <c r="E12" i="91"/>
  <c r="E33" i="78"/>
  <c r="D12" i="91"/>
  <c r="D33" i="78"/>
  <c r="P5" i="87"/>
  <c r="D5" i="61"/>
  <c r="K5" i="87"/>
  <c r="E5" i="72"/>
  <c r="E5" i="61"/>
  <c r="B29" i="79"/>
  <c r="B29" i="76" s="1"/>
  <c r="L29" i="76" s="1"/>
  <c r="B49" i="78"/>
  <c r="R30" i="87"/>
  <c r="S30" i="87"/>
  <c r="M30" i="87"/>
  <c r="N30" i="87"/>
  <c r="K6" i="75"/>
  <c r="K37" i="75" s="1"/>
  <c r="E5" i="54"/>
  <c r="D5" i="54"/>
  <c r="P6" i="75"/>
  <c r="P37" i="75" s="1"/>
  <c r="K10" i="86"/>
  <c r="H10" i="86"/>
  <c r="E6" i="63"/>
  <c r="I33" i="63"/>
  <c r="E10" i="91"/>
  <c r="E31" i="78"/>
  <c r="H6" i="87"/>
  <c r="M6" i="87" s="1"/>
  <c r="R6" i="87" s="1"/>
  <c r="K6" i="87"/>
  <c r="P6" i="87" s="1"/>
  <c r="C5" i="64"/>
  <c r="B47" i="79"/>
  <c r="B14" i="81"/>
  <c r="E15" i="80"/>
  <c r="D14" i="80" s="1"/>
  <c r="F21" i="91"/>
  <c r="H21" i="87"/>
  <c r="G26" i="91"/>
  <c r="I26" i="87"/>
  <c r="I16" i="87"/>
  <c r="G16" i="91"/>
  <c r="F19" i="91"/>
  <c r="H19" i="87"/>
  <c r="I14" i="87"/>
  <c r="G14" i="91"/>
  <c r="H6" i="91"/>
  <c r="I7" i="64"/>
  <c r="D16" i="64" s="1"/>
  <c r="L6" i="62"/>
  <c r="F8" i="86"/>
  <c r="J6" i="91"/>
  <c r="I8" i="86"/>
  <c r="E5" i="64"/>
  <c r="G6" i="83"/>
  <c r="D6" i="62"/>
  <c r="F6" i="92"/>
  <c r="D25" i="92" s="1"/>
  <c r="I27" i="62"/>
  <c r="I11" i="87"/>
  <c r="G11" i="91"/>
  <c r="D12" i="86"/>
  <c r="E12" i="86" s="1"/>
  <c r="I8" i="87"/>
  <c r="G13" i="91"/>
  <c r="I13" i="87"/>
  <c r="I10" i="87"/>
  <c r="G10" i="91"/>
  <c r="J90" i="60"/>
  <c r="G26" i="68"/>
  <c r="H26" i="68" s="1"/>
  <c r="N26" i="68" s="1"/>
  <c r="N29" i="68" s="1"/>
  <c r="M29" i="83"/>
  <c r="L21" i="92"/>
  <c r="G17" i="91"/>
  <c r="I17" i="87"/>
  <c r="G12" i="91"/>
  <c r="I12" i="87"/>
  <c r="I15" i="87"/>
  <c r="G15" i="91"/>
  <c r="B21" i="60"/>
  <c r="F91" i="60"/>
  <c r="J88" i="60"/>
  <c r="H23" i="87"/>
  <c r="F23" i="91"/>
  <c r="I18" i="87"/>
  <c r="G18" i="91"/>
  <c r="G25" i="91"/>
  <c r="I25" i="87"/>
  <c r="F50" i="78"/>
  <c r="D34" i="79" s="1"/>
  <c r="F9" i="80" s="1"/>
  <c r="I9" i="95" s="1"/>
  <c r="F25" i="91"/>
  <c r="H25" i="87"/>
  <c r="I19" i="87"/>
  <c r="G19" i="91"/>
  <c r="G23" i="91"/>
  <c r="I23" i="87"/>
  <c r="E10" i="86" l="1"/>
  <c r="N11" i="86"/>
  <c r="G4" i="79"/>
  <c r="G9" i="82" s="1"/>
  <c r="I8" i="64"/>
  <c r="D18" i="64" s="1"/>
  <c r="G39" i="87"/>
  <c r="I28" i="87"/>
  <c r="I30" i="87" s="1"/>
  <c r="I29" i="76"/>
  <c r="E10" i="97"/>
  <c r="F10" i="97" s="1"/>
  <c r="D3" i="68"/>
  <c r="F7" i="97"/>
  <c r="M7" i="75"/>
  <c r="H38" i="75"/>
  <c r="P7" i="75"/>
  <c r="K38" i="75"/>
  <c r="G13" i="64"/>
  <c r="G14" i="64"/>
  <c r="D17" i="64"/>
  <c r="L4" i="79" s="1"/>
  <c r="L9" i="82" s="1"/>
  <c r="F15" i="64"/>
  <c r="F13" i="64"/>
  <c r="K4" i="79" s="1"/>
  <c r="K9" i="82" s="1"/>
  <c r="F14" i="64"/>
  <c r="C18" i="77"/>
  <c r="D18" i="77" s="1"/>
  <c r="C4" i="77"/>
  <c r="D4" i="77" s="1"/>
  <c r="F4" i="77" s="1"/>
  <c r="C21" i="77"/>
  <c r="E21" i="77" s="1"/>
  <c r="C8" i="77"/>
  <c r="D8" i="77" s="1"/>
  <c r="F8" i="77" s="1"/>
  <c r="C17" i="77"/>
  <c r="E17" i="77" s="1"/>
  <c r="C11" i="77"/>
  <c r="E11" i="77" s="1"/>
  <c r="C20" i="77"/>
  <c r="E20" i="77" s="1"/>
  <c r="C6" i="77"/>
  <c r="E6" i="77" s="1"/>
  <c r="C14" i="77"/>
  <c r="E14" i="77" s="1"/>
  <c r="C22" i="77"/>
  <c r="C16" i="77"/>
  <c r="D16" i="77" s="1"/>
  <c r="C3" i="77"/>
  <c r="E3" i="77" s="1"/>
  <c r="C13" i="77"/>
  <c r="E13" i="77" s="1"/>
  <c r="C7" i="77"/>
  <c r="D7" i="77" s="1"/>
  <c r="F7" i="77" s="1"/>
  <c r="C10" i="77"/>
  <c r="D10" i="77" s="1"/>
  <c r="F10" i="77" s="1"/>
  <c r="C19" i="77"/>
  <c r="E19" i="77" s="1"/>
  <c r="C9" i="77"/>
  <c r="D9" i="77" s="1"/>
  <c r="F9" i="77" s="1"/>
  <c r="C5" i="77"/>
  <c r="D5" i="77" s="1"/>
  <c r="F5" i="77" s="1"/>
  <c r="C15" i="77"/>
  <c r="E15" i="77" s="1"/>
  <c r="C12" i="77"/>
  <c r="E12" i="77" s="1"/>
  <c r="I6" i="63"/>
  <c r="I30" i="63" s="1"/>
  <c r="E30" i="63"/>
  <c r="E7" i="64"/>
  <c r="E6" i="64"/>
  <c r="F6" i="63"/>
  <c r="C47" i="79"/>
  <c r="D13" i="81" s="1"/>
  <c r="D47" i="79"/>
  <c r="J13" i="81" s="1"/>
  <c r="H47" i="79"/>
  <c r="M13" i="81" s="1"/>
  <c r="G47" i="79"/>
  <c r="K13" i="81" s="1"/>
  <c r="F47" i="79"/>
  <c r="G13" i="81" s="1"/>
  <c r="E47" i="79"/>
  <c r="E13" i="81" s="1"/>
  <c r="E9" i="94"/>
  <c r="H30" i="87"/>
  <c r="C9" i="82"/>
  <c r="F10" i="51"/>
  <c r="D14" i="77"/>
  <c r="F14" i="77" s="1"/>
  <c r="B13" i="81"/>
  <c r="B46" i="79"/>
  <c r="B8" i="82"/>
  <c r="B9" i="82"/>
  <c r="D10" i="80"/>
  <c r="D15" i="80"/>
  <c r="D13" i="80"/>
  <c r="D9" i="80"/>
  <c r="D11" i="80"/>
  <c r="D12" i="80"/>
  <c r="D6" i="77"/>
  <c r="F6" i="77" s="1"/>
  <c r="F5" i="72"/>
  <c r="H5" i="72"/>
  <c r="G5" i="72"/>
  <c r="N7" i="91"/>
  <c r="F6" i="62"/>
  <c r="C8" i="82"/>
  <c r="J91" i="60"/>
  <c r="F15" i="80"/>
  <c r="B25" i="60"/>
  <c r="E18" i="77" l="1"/>
  <c r="D19" i="77"/>
  <c r="E8" i="77"/>
  <c r="D3" i="77"/>
  <c r="F3" i="77" s="1"/>
  <c r="D19" i="64"/>
  <c r="D20" i="64" s="1"/>
  <c r="D21" i="64" s="1"/>
  <c r="F4" i="79" s="1"/>
  <c r="F9" i="82" s="1"/>
  <c r="H13" i="81"/>
  <c r="G40" i="87"/>
  <c r="U7" i="75"/>
  <c r="U38" i="75" s="1"/>
  <c r="P38" i="75"/>
  <c r="R7" i="75"/>
  <c r="M38" i="75"/>
  <c r="E4" i="77"/>
  <c r="D21" i="77"/>
  <c r="F21" i="77" s="1"/>
  <c r="F13" i="81"/>
  <c r="D17" i="77"/>
  <c r="F17" i="77" s="1"/>
  <c r="E9" i="77"/>
  <c r="D13" i="77"/>
  <c r="F13" i="77" s="1"/>
  <c r="E7" i="77"/>
  <c r="D11" i="77"/>
  <c r="F11" i="77" s="1"/>
  <c r="E5" i="77"/>
  <c r="D12" i="77"/>
  <c r="F12" i="77" s="1"/>
  <c r="E16" i="77"/>
  <c r="F16" i="77" s="1"/>
  <c r="G9" i="80"/>
  <c r="H9" i="95"/>
  <c r="E5" i="71"/>
  <c r="E7" i="71" s="1"/>
  <c r="L6" i="71" s="1"/>
  <c r="L11" i="71" s="1"/>
  <c r="F48" i="79"/>
  <c r="G14" i="81" s="1"/>
  <c r="H14" i="81" s="1"/>
  <c r="D4" i="79"/>
  <c r="D9" i="82" s="1"/>
  <c r="D20" i="77"/>
  <c r="F20" i="77" s="1"/>
  <c r="D15" i="77"/>
  <c r="F15" i="77" s="1"/>
  <c r="E10" i="77"/>
  <c r="D22" i="77"/>
  <c r="E22" i="77"/>
  <c r="J6" i="63"/>
  <c r="J30" i="63" s="1"/>
  <c r="F30" i="63"/>
  <c r="N13" i="81"/>
  <c r="C46" i="79"/>
  <c r="D12" i="81" s="1"/>
  <c r="H46" i="79"/>
  <c r="M12" i="81" s="1"/>
  <c r="G46" i="79"/>
  <c r="K12" i="81" s="1"/>
  <c r="F46" i="79"/>
  <c r="G12" i="81" s="1"/>
  <c r="E46" i="79"/>
  <c r="E12" i="81" s="1"/>
  <c r="D46" i="79"/>
  <c r="J12" i="81" s="1"/>
  <c r="L13" i="81"/>
  <c r="B45" i="79"/>
  <c r="B12" i="81"/>
  <c r="C13" i="64"/>
  <c r="C15" i="64"/>
  <c r="H7" i="64"/>
  <c r="C16" i="64" s="1"/>
  <c r="K19" i="62"/>
  <c r="L19" i="62" s="1"/>
  <c r="T41" i="78" s="1"/>
  <c r="S20" i="91" s="1"/>
  <c r="K23" i="62"/>
  <c r="L23" i="62" s="1"/>
  <c r="T45" i="78" s="1"/>
  <c r="S24" i="91" s="1"/>
  <c r="K17" i="62"/>
  <c r="L17" i="62" s="1"/>
  <c r="T39" i="78" s="1"/>
  <c r="S18" i="91" s="1"/>
  <c r="K27" i="62"/>
  <c r="L27" i="62" s="1"/>
  <c r="K22" i="62"/>
  <c r="L22" i="62" s="1"/>
  <c r="T44" i="78" s="1"/>
  <c r="S23" i="91" s="1"/>
  <c r="K9" i="62"/>
  <c r="L9" i="62" s="1"/>
  <c r="T31" i="78" s="1"/>
  <c r="S10" i="91" s="1"/>
  <c r="K24" i="62"/>
  <c r="L24" i="62" s="1"/>
  <c r="T46" i="78" s="1"/>
  <c r="S25" i="91" s="1"/>
  <c r="K25" i="62"/>
  <c r="L25" i="62" s="1"/>
  <c r="T47" i="78" s="1"/>
  <c r="S26" i="91" s="1"/>
  <c r="K13" i="62"/>
  <c r="L13" i="62" s="1"/>
  <c r="T35" i="78" s="1"/>
  <c r="S14" i="91" s="1"/>
  <c r="K14" i="62"/>
  <c r="L14" i="62" s="1"/>
  <c r="T36" i="78" s="1"/>
  <c r="S15" i="91" s="1"/>
  <c r="K21" i="62"/>
  <c r="L21" i="62" s="1"/>
  <c r="T43" i="78" s="1"/>
  <c r="S22" i="91" s="1"/>
  <c r="K7" i="62"/>
  <c r="L7" i="62" s="1"/>
  <c r="T29" i="78" s="1"/>
  <c r="K12" i="62"/>
  <c r="L12" i="62" s="1"/>
  <c r="T34" i="78" s="1"/>
  <c r="S13" i="91" s="1"/>
  <c r="K18" i="62"/>
  <c r="L18" i="62" s="1"/>
  <c r="T40" i="78" s="1"/>
  <c r="S19" i="91" s="1"/>
  <c r="K15" i="62"/>
  <c r="L15" i="62" s="1"/>
  <c r="T37" i="78" s="1"/>
  <c r="S16" i="91" s="1"/>
  <c r="K20" i="62"/>
  <c r="L20" i="62" s="1"/>
  <c r="T42" i="78" s="1"/>
  <c r="S21" i="91" s="1"/>
  <c r="K26" i="62"/>
  <c r="L26" i="62" s="1"/>
  <c r="T48" i="78" s="1"/>
  <c r="S27" i="91" s="1"/>
  <c r="K16" i="62"/>
  <c r="L16" i="62" s="1"/>
  <c r="T38" i="78" s="1"/>
  <c r="S17" i="91" s="1"/>
  <c r="K8" i="62"/>
  <c r="L8" i="62" s="1"/>
  <c r="T30" i="78" s="1"/>
  <c r="S9" i="91" s="1"/>
  <c r="K10" i="62"/>
  <c r="L10" i="62" s="1"/>
  <c r="T32" i="78" s="1"/>
  <c r="S11" i="91" s="1"/>
  <c r="K11" i="62"/>
  <c r="L11" i="62" s="1"/>
  <c r="T33" i="78" s="1"/>
  <c r="S12" i="91" s="1"/>
  <c r="I6" i="64"/>
  <c r="F19" i="77"/>
  <c r="F18" i="77"/>
  <c r="B29" i="60"/>
  <c r="G14" i="80"/>
  <c r="G13" i="80"/>
  <c r="G15" i="80"/>
  <c r="G11" i="80"/>
  <c r="G12" i="80"/>
  <c r="G10" i="80"/>
  <c r="F12" i="81" l="1"/>
  <c r="K9" i="95"/>
  <c r="L9" i="95" s="1"/>
  <c r="N9" i="95"/>
  <c r="J9" i="95"/>
  <c r="D4" i="71"/>
  <c r="E17" i="97"/>
  <c r="F17" i="97" s="1"/>
  <c r="W7" i="75"/>
  <c r="W38" i="75" s="1"/>
  <c r="R38" i="75"/>
  <c r="F22" i="77"/>
  <c r="H21" i="77" s="1"/>
  <c r="L12" i="81"/>
  <c r="H12" i="81"/>
  <c r="C45" i="79"/>
  <c r="D11" i="81" s="1"/>
  <c r="E45" i="79"/>
  <c r="E11" i="81" s="1"/>
  <c r="D45" i="79"/>
  <c r="J11" i="81" s="1"/>
  <c r="H45" i="79"/>
  <c r="M11" i="81" s="1"/>
  <c r="G45" i="79"/>
  <c r="K11" i="81" s="1"/>
  <c r="F45" i="79"/>
  <c r="G11" i="81" s="1"/>
  <c r="N12" i="81"/>
  <c r="B44" i="79"/>
  <c r="B11" i="81"/>
  <c r="S8" i="91"/>
  <c r="T50" i="78"/>
  <c r="M9" i="81"/>
  <c r="K9" i="81"/>
  <c r="B33" i="60"/>
  <c r="K40" i="87" l="1"/>
  <c r="M37" i="87"/>
  <c r="N37" i="87"/>
  <c r="H37" i="87"/>
  <c r="L37" i="87"/>
  <c r="I37" i="87"/>
  <c r="K37" i="87"/>
  <c r="N38" i="87"/>
  <c r="I38" i="87"/>
  <c r="L38" i="87"/>
  <c r="H38" i="87"/>
  <c r="M38" i="87"/>
  <c r="K38" i="87"/>
  <c r="L39" i="87"/>
  <c r="I39" i="87"/>
  <c r="K39" i="87"/>
  <c r="N39" i="87"/>
  <c r="H39" i="87"/>
  <c r="M39" i="87"/>
  <c r="H40" i="87"/>
  <c r="L40" i="87"/>
  <c r="I40" i="87"/>
  <c r="N40" i="87"/>
  <c r="M40" i="87"/>
  <c r="H13" i="77"/>
  <c r="H16" i="77"/>
  <c r="H20" i="77"/>
  <c r="H9" i="77"/>
  <c r="H15" i="77"/>
  <c r="H7" i="77"/>
  <c r="H19" i="77"/>
  <c r="H22" i="77"/>
  <c r="H12" i="77"/>
  <c r="H6" i="77"/>
  <c r="H11" i="77"/>
  <c r="H18" i="77"/>
  <c r="H3" i="77"/>
  <c r="H10" i="77"/>
  <c r="H4" i="77"/>
  <c r="H8" i="77"/>
  <c r="H5" i="77"/>
  <c r="H14" i="77"/>
  <c r="H17" i="77"/>
  <c r="H11" i="81"/>
  <c r="F11" i="81"/>
  <c r="H44" i="79"/>
  <c r="M10" i="81" s="1"/>
  <c r="G44" i="79"/>
  <c r="K10" i="81" s="1"/>
  <c r="F44" i="79"/>
  <c r="G10" i="81" s="1"/>
  <c r="E44" i="79"/>
  <c r="E10" i="81" s="1"/>
  <c r="C44" i="79"/>
  <c r="D10" i="81" s="1"/>
  <c r="D44" i="79"/>
  <c r="J10" i="81" s="1"/>
  <c r="N11" i="81"/>
  <c r="L11" i="81"/>
  <c r="B10" i="81"/>
  <c r="B37" i="60"/>
  <c r="J4" i="77" l="1"/>
  <c r="B10" i="79" s="1"/>
  <c r="J5" i="77"/>
  <c r="B11" i="79" s="1"/>
  <c r="J16" i="77"/>
  <c r="B22" i="79" s="1"/>
  <c r="F22" i="79" s="1"/>
  <c r="G22" i="76" s="1"/>
  <c r="J15" i="77"/>
  <c r="B70" i="79" s="1"/>
  <c r="D70" i="79" s="1"/>
  <c r="D20" i="83" s="1"/>
  <c r="J19" i="77"/>
  <c r="B74" i="79" s="1"/>
  <c r="J7" i="77"/>
  <c r="B62" i="79" s="1"/>
  <c r="D62" i="79" s="1"/>
  <c r="D12" i="83" s="1"/>
  <c r="J3" i="77"/>
  <c r="B58" i="79" s="1"/>
  <c r="F58" i="79" s="1"/>
  <c r="G8" i="83" s="1"/>
  <c r="J18" i="77"/>
  <c r="B73" i="79" s="1"/>
  <c r="G73" i="79" s="1"/>
  <c r="H23" i="83" s="1"/>
  <c r="J14" i="77"/>
  <c r="B20" i="79" s="1"/>
  <c r="D20" i="79" s="1"/>
  <c r="D20" i="76" s="1"/>
  <c r="J12" i="77"/>
  <c r="B18" i="79" s="1"/>
  <c r="F18" i="79" s="1"/>
  <c r="G18" i="76" s="1"/>
  <c r="J6" i="77"/>
  <c r="B61" i="79" s="1"/>
  <c r="H61" i="79" s="1"/>
  <c r="J11" i="83" s="1"/>
  <c r="J11" i="77"/>
  <c r="B17" i="79" s="1"/>
  <c r="J20" i="77"/>
  <c r="B75" i="79" s="1"/>
  <c r="J13" i="77"/>
  <c r="B19" i="79" s="1"/>
  <c r="F19" i="79" s="1"/>
  <c r="G19" i="76" s="1"/>
  <c r="J22" i="77"/>
  <c r="B28" i="79" s="1"/>
  <c r="F28" i="79" s="1"/>
  <c r="G28" i="76" s="1"/>
  <c r="J17" i="77"/>
  <c r="B23" i="79" s="1"/>
  <c r="E23" i="79" s="1"/>
  <c r="F23" i="76" s="1"/>
  <c r="J9" i="77"/>
  <c r="B64" i="79" s="1"/>
  <c r="J10" i="77"/>
  <c r="B16" i="79" s="1"/>
  <c r="J8" i="77"/>
  <c r="B14" i="79" s="1"/>
  <c r="B14" i="76" s="1"/>
  <c r="L14" i="76" s="1"/>
  <c r="J21" i="77"/>
  <c r="B76" i="79" s="1"/>
  <c r="E76" i="79" s="1"/>
  <c r="E26" i="83" s="1"/>
  <c r="L10" i="81"/>
  <c r="N10" i="81"/>
  <c r="H10" i="81"/>
  <c r="F10" i="81"/>
  <c r="B41" i="60"/>
  <c r="E20" i="79" l="1"/>
  <c r="F20" i="76" s="1"/>
  <c r="B59" i="79"/>
  <c r="K59" i="79" s="1"/>
  <c r="C22" i="79"/>
  <c r="C22" i="76" s="1"/>
  <c r="B20" i="76"/>
  <c r="L20" i="76" s="1"/>
  <c r="F70" i="79"/>
  <c r="G20" i="83" s="1"/>
  <c r="B15" i="79"/>
  <c r="D15" i="79" s="1"/>
  <c r="D15" i="76" s="1"/>
  <c r="B69" i="79"/>
  <c r="F69" i="79" s="1"/>
  <c r="G19" i="83" s="1"/>
  <c r="D22" i="79"/>
  <c r="D22" i="76" s="1"/>
  <c r="B22" i="76"/>
  <c r="L22" i="76" s="1"/>
  <c r="E22" i="79"/>
  <c r="F22" i="76" s="1"/>
  <c r="I22" i="76" s="1"/>
  <c r="E70" i="79"/>
  <c r="E20" i="83" s="1"/>
  <c r="F20" i="83" s="1"/>
  <c r="B60" i="79"/>
  <c r="B10" i="83" s="1"/>
  <c r="Q10" i="83" s="1"/>
  <c r="B26" i="79"/>
  <c r="C26" i="79" s="1"/>
  <c r="C26" i="76" s="1"/>
  <c r="B25" i="79"/>
  <c r="E25" i="79" s="1"/>
  <c r="F25" i="76" s="1"/>
  <c r="H73" i="79"/>
  <c r="J23" i="83" s="1"/>
  <c r="C73" i="79"/>
  <c r="C23" i="83" s="1"/>
  <c r="F20" i="79"/>
  <c r="G20" i="76" s="1"/>
  <c r="C20" i="79"/>
  <c r="C20" i="76" s="1"/>
  <c r="J70" i="79"/>
  <c r="M20" i="83" s="1"/>
  <c r="D61" i="79"/>
  <c r="D11" i="83" s="1"/>
  <c r="G70" i="79"/>
  <c r="H20" i="83" s="1"/>
  <c r="B20" i="83"/>
  <c r="Q20" i="83" s="1"/>
  <c r="K70" i="79"/>
  <c r="I61" i="79"/>
  <c r="K11" i="83" s="1"/>
  <c r="L11" i="83" s="1"/>
  <c r="I62" i="79"/>
  <c r="K12" i="83" s="1"/>
  <c r="K62" i="79"/>
  <c r="B9" i="79"/>
  <c r="D9" i="79" s="1"/>
  <c r="D9" i="76" s="1"/>
  <c r="E61" i="79"/>
  <c r="E11" i="83" s="1"/>
  <c r="C58" i="79"/>
  <c r="C8" i="83" s="1"/>
  <c r="B65" i="79"/>
  <c r="E65" i="79" s="1"/>
  <c r="G62" i="79"/>
  <c r="H12" i="83" s="1"/>
  <c r="D18" i="79"/>
  <c r="D18" i="76" s="1"/>
  <c r="C61" i="79"/>
  <c r="C11" i="83" s="1"/>
  <c r="B23" i="76"/>
  <c r="L23" i="76" s="1"/>
  <c r="H62" i="79"/>
  <c r="J12" i="83" s="1"/>
  <c r="F62" i="79"/>
  <c r="G12" i="83" s="1"/>
  <c r="B12" i="83"/>
  <c r="Q12" i="83" s="1"/>
  <c r="B28" i="76"/>
  <c r="G61" i="79"/>
  <c r="H11" i="83" s="1"/>
  <c r="F23" i="79"/>
  <c r="G23" i="76" s="1"/>
  <c r="I23" i="76" s="1"/>
  <c r="B66" i="79"/>
  <c r="E66" i="79" s="1"/>
  <c r="F61" i="79"/>
  <c r="G11" i="83" s="1"/>
  <c r="J61" i="79"/>
  <c r="M11" i="83" s="1"/>
  <c r="L61" i="79"/>
  <c r="E14" i="79"/>
  <c r="F14" i="76" s="1"/>
  <c r="H58" i="79"/>
  <c r="J8" i="83" s="1"/>
  <c r="I70" i="79"/>
  <c r="K20" i="83" s="1"/>
  <c r="K61" i="79"/>
  <c r="B11" i="83"/>
  <c r="Q11" i="83" s="1"/>
  <c r="B71" i="79"/>
  <c r="C71" i="79" s="1"/>
  <c r="C21" i="83" s="1"/>
  <c r="I58" i="79"/>
  <c r="K8" i="83" s="1"/>
  <c r="G58" i="79"/>
  <c r="H8" i="83" s="1"/>
  <c r="I8" i="83" s="1"/>
  <c r="B63" i="79"/>
  <c r="H63" i="79" s="1"/>
  <c r="J13" i="83" s="1"/>
  <c r="B77" i="79"/>
  <c r="B27" i="83" s="1"/>
  <c r="Q27" i="83" s="1"/>
  <c r="J58" i="79"/>
  <c r="M8" i="83" s="1"/>
  <c r="C28" i="79"/>
  <c r="C28" i="76" s="1"/>
  <c r="C14" i="79"/>
  <c r="C14" i="76" s="1"/>
  <c r="B8" i="83"/>
  <c r="Q8" i="83" s="1"/>
  <c r="D58" i="79"/>
  <c r="D8" i="83" s="1"/>
  <c r="K58" i="79"/>
  <c r="F73" i="79"/>
  <c r="G23" i="83" s="1"/>
  <c r="I23" i="83" s="1"/>
  <c r="C19" i="79"/>
  <c r="C19" i="76" s="1"/>
  <c r="M76" i="79"/>
  <c r="K76" i="79"/>
  <c r="H70" i="79"/>
  <c r="J20" i="83" s="1"/>
  <c r="B21" i="79"/>
  <c r="D21" i="79" s="1"/>
  <c r="D21" i="76" s="1"/>
  <c r="L70" i="79"/>
  <c r="B24" i="79"/>
  <c r="B24" i="76" s="1"/>
  <c r="L24" i="76" s="1"/>
  <c r="L76" i="79"/>
  <c r="B67" i="79"/>
  <c r="B17" i="83" s="1"/>
  <c r="Q17" i="83" s="1"/>
  <c r="B13" i="79"/>
  <c r="B13" i="76" s="1"/>
  <c r="L13" i="76" s="1"/>
  <c r="L62" i="79"/>
  <c r="C62" i="79"/>
  <c r="C12" i="83" s="1"/>
  <c r="C70" i="79"/>
  <c r="C20" i="83" s="1"/>
  <c r="D73" i="79"/>
  <c r="D23" i="83" s="1"/>
  <c r="B23" i="83"/>
  <c r="Q23" i="83" s="1"/>
  <c r="C23" i="79"/>
  <c r="C23" i="76" s="1"/>
  <c r="G76" i="79"/>
  <c r="H26" i="83" s="1"/>
  <c r="I73" i="79"/>
  <c r="K23" i="83" s="1"/>
  <c r="E73" i="79"/>
  <c r="M73" i="79" s="1"/>
  <c r="E18" i="79"/>
  <c r="F18" i="76" s="1"/>
  <c r="I18" i="76" s="1"/>
  <c r="H76" i="79"/>
  <c r="J26" i="83" s="1"/>
  <c r="C76" i="79"/>
  <c r="C26" i="83" s="1"/>
  <c r="J76" i="79"/>
  <c r="M26" i="83" s="1"/>
  <c r="K73" i="79"/>
  <c r="D14" i="79"/>
  <c r="D14" i="76" s="1"/>
  <c r="F14" i="79"/>
  <c r="G14" i="76" s="1"/>
  <c r="B12" i="79"/>
  <c r="B12" i="76" s="1"/>
  <c r="L12" i="76" s="1"/>
  <c r="E58" i="79"/>
  <c r="M58" i="79" s="1"/>
  <c r="L58" i="79"/>
  <c r="E28" i="79"/>
  <c r="F28" i="76" s="1"/>
  <c r="I28" i="76" s="1"/>
  <c r="D28" i="79"/>
  <c r="D28" i="76" s="1"/>
  <c r="F76" i="79"/>
  <c r="G26" i="83" s="1"/>
  <c r="I76" i="79"/>
  <c r="K26" i="83" s="1"/>
  <c r="B26" i="83"/>
  <c r="Q26" i="83" s="1"/>
  <c r="D23" i="79"/>
  <c r="D23" i="76" s="1"/>
  <c r="B27" i="79"/>
  <c r="D27" i="79" s="1"/>
  <c r="D27" i="76" s="1"/>
  <c r="L73" i="79"/>
  <c r="E62" i="79"/>
  <c r="E12" i="83" s="1"/>
  <c r="F12" i="83" s="1"/>
  <c r="B68" i="79"/>
  <c r="E68" i="79" s="1"/>
  <c r="E18" i="83" s="1"/>
  <c r="J73" i="79"/>
  <c r="M23" i="83" s="1"/>
  <c r="B19" i="76"/>
  <c r="L19" i="76" s="1"/>
  <c r="J62" i="79"/>
  <c r="M12" i="83" s="1"/>
  <c r="D76" i="79"/>
  <c r="D26" i="83" s="1"/>
  <c r="F26" i="83" s="1"/>
  <c r="D19" i="79"/>
  <c r="D19" i="76" s="1"/>
  <c r="C18" i="79"/>
  <c r="C18" i="76" s="1"/>
  <c r="B72" i="79"/>
  <c r="E72" i="79" s="1"/>
  <c r="E22" i="83" s="1"/>
  <c r="E19" i="79"/>
  <c r="F19" i="76" s="1"/>
  <c r="I19" i="76" s="1"/>
  <c r="B18" i="76"/>
  <c r="L18" i="76" s="1"/>
  <c r="E11" i="79"/>
  <c r="F11" i="76" s="1"/>
  <c r="D11" i="79"/>
  <c r="D11" i="76" s="1"/>
  <c r="F11" i="79"/>
  <c r="G11" i="76" s="1"/>
  <c r="B11" i="76"/>
  <c r="L11" i="76" s="1"/>
  <c r="C11" i="79"/>
  <c r="C11" i="76" s="1"/>
  <c r="C17" i="79"/>
  <c r="C17" i="76" s="1"/>
  <c r="D17" i="79"/>
  <c r="D17" i="76" s="1"/>
  <c r="E17" i="79"/>
  <c r="F17" i="76" s="1"/>
  <c r="F17" i="79"/>
  <c r="G17" i="76" s="1"/>
  <c r="B17" i="76"/>
  <c r="L17" i="76" s="1"/>
  <c r="B16" i="76"/>
  <c r="L16" i="76" s="1"/>
  <c r="D16" i="79"/>
  <c r="D16" i="76" s="1"/>
  <c r="C16" i="79"/>
  <c r="C16" i="76" s="1"/>
  <c r="F16" i="79"/>
  <c r="G16" i="76" s="1"/>
  <c r="E16" i="79"/>
  <c r="F16" i="76" s="1"/>
  <c r="D75" i="79"/>
  <c r="D25" i="83" s="1"/>
  <c r="H75" i="79"/>
  <c r="J25" i="83" s="1"/>
  <c r="G75" i="79"/>
  <c r="H25" i="83" s="1"/>
  <c r="L75" i="79"/>
  <c r="F75" i="79"/>
  <c r="G25" i="83" s="1"/>
  <c r="J75" i="79"/>
  <c r="M25" i="83" s="1"/>
  <c r="C75" i="79"/>
  <c r="C25" i="83" s="1"/>
  <c r="E75" i="79"/>
  <c r="K75" i="79"/>
  <c r="B25" i="83"/>
  <c r="Q25" i="83" s="1"/>
  <c r="I75" i="79"/>
  <c r="K25" i="83" s="1"/>
  <c r="D64" i="79"/>
  <c r="D14" i="83" s="1"/>
  <c r="J64" i="79"/>
  <c r="M14" i="83" s="1"/>
  <c r="H64" i="79"/>
  <c r="J14" i="83" s="1"/>
  <c r="L64" i="79"/>
  <c r="B14" i="83"/>
  <c r="Q14" i="83" s="1"/>
  <c r="I64" i="79"/>
  <c r="K14" i="83" s="1"/>
  <c r="E64" i="79"/>
  <c r="F64" i="79"/>
  <c r="G14" i="83" s="1"/>
  <c r="G64" i="79"/>
  <c r="H14" i="83" s="1"/>
  <c r="C64" i="79"/>
  <c r="C14" i="83" s="1"/>
  <c r="K64" i="79"/>
  <c r="F10" i="79"/>
  <c r="G10" i="76" s="1"/>
  <c r="B10" i="76"/>
  <c r="L10" i="76" s="1"/>
  <c r="E10" i="79"/>
  <c r="F10" i="76" s="1"/>
  <c r="D10" i="79"/>
  <c r="D10" i="76" s="1"/>
  <c r="C10" i="79"/>
  <c r="C10" i="76" s="1"/>
  <c r="L74" i="79"/>
  <c r="B24" i="83"/>
  <c r="Q24" i="83" s="1"/>
  <c r="G74" i="79"/>
  <c r="H24" i="83" s="1"/>
  <c r="E74" i="79"/>
  <c r="I74" i="79"/>
  <c r="K24" i="83" s="1"/>
  <c r="F74" i="79"/>
  <c r="G24" i="83" s="1"/>
  <c r="H74" i="79"/>
  <c r="J24" i="83" s="1"/>
  <c r="D74" i="79"/>
  <c r="D24" i="83" s="1"/>
  <c r="C74" i="79"/>
  <c r="C24" i="83" s="1"/>
  <c r="J74" i="79"/>
  <c r="M24" i="83" s="1"/>
  <c r="K74" i="79"/>
  <c r="B45" i="60"/>
  <c r="D69" i="79" l="1"/>
  <c r="D19" i="83" s="1"/>
  <c r="G77" i="79"/>
  <c r="H27" i="83" s="1"/>
  <c r="L23" i="83"/>
  <c r="I20" i="83"/>
  <c r="I20" i="76"/>
  <c r="F11" i="83"/>
  <c r="L26" i="83"/>
  <c r="G66" i="79"/>
  <c r="H16" i="83" s="1"/>
  <c r="E15" i="79"/>
  <c r="F15" i="76" s="1"/>
  <c r="B26" i="76"/>
  <c r="L26" i="76" s="1"/>
  <c r="D26" i="79"/>
  <c r="D26" i="76" s="1"/>
  <c r="J66" i="79"/>
  <c r="M16" i="83" s="1"/>
  <c r="E26" i="79"/>
  <c r="F26" i="76" s="1"/>
  <c r="F26" i="79"/>
  <c r="G26" i="76" s="1"/>
  <c r="K66" i="79"/>
  <c r="H66" i="79"/>
  <c r="J16" i="83" s="1"/>
  <c r="B16" i="83"/>
  <c r="Q16" i="83" s="1"/>
  <c r="D66" i="79"/>
  <c r="D16" i="83" s="1"/>
  <c r="C66" i="79"/>
  <c r="C16" i="83" s="1"/>
  <c r="F66" i="79"/>
  <c r="G16" i="83" s="1"/>
  <c r="L66" i="79"/>
  <c r="I66" i="79"/>
  <c r="K16" i="83" s="1"/>
  <c r="G69" i="79"/>
  <c r="H19" i="83" s="1"/>
  <c r="I19" i="83" s="1"/>
  <c r="L28" i="76"/>
  <c r="L59" i="79"/>
  <c r="C25" i="79"/>
  <c r="C25" i="76" s="1"/>
  <c r="E59" i="79"/>
  <c r="E9" i="83" s="1"/>
  <c r="H59" i="79"/>
  <c r="J9" i="83" s="1"/>
  <c r="J59" i="79"/>
  <c r="M9" i="83" s="1"/>
  <c r="I59" i="79"/>
  <c r="K9" i="83" s="1"/>
  <c r="K60" i="79"/>
  <c r="G60" i="79"/>
  <c r="H10" i="83" s="1"/>
  <c r="J65" i="79"/>
  <c r="M15" i="83" s="1"/>
  <c r="I71" i="79"/>
  <c r="K21" i="83" s="1"/>
  <c r="H69" i="79"/>
  <c r="J19" i="83" s="1"/>
  <c r="C65" i="79"/>
  <c r="C15" i="83" s="1"/>
  <c r="G59" i="79"/>
  <c r="H9" i="83" s="1"/>
  <c r="F59" i="79"/>
  <c r="G9" i="83" s="1"/>
  <c r="D59" i="79"/>
  <c r="D9" i="83" s="1"/>
  <c r="B9" i="83"/>
  <c r="Q9" i="83" s="1"/>
  <c r="C59" i="79"/>
  <c r="C9" i="83" s="1"/>
  <c r="D71" i="79"/>
  <c r="D21" i="83" s="1"/>
  <c r="H60" i="79"/>
  <c r="J10" i="83" s="1"/>
  <c r="J60" i="79"/>
  <c r="M10" i="83" s="1"/>
  <c r="D60" i="79"/>
  <c r="D10" i="83" s="1"/>
  <c r="F60" i="79"/>
  <c r="G10" i="83" s="1"/>
  <c r="E60" i="79"/>
  <c r="E10" i="83" s="1"/>
  <c r="L60" i="79"/>
  <c r="I60" i="79"/>
  <c r="K10" i="83" s="1"/>
  <c r="C60" i="79"/>
  <c r="C10" i="83" s="1"/>
  <c r="F65" i="79"/>
  <c r="G15" i="83" s="1"/>
  <c r="J71" i="79"/>
  <c r="M21" i="83" s="1"/>
  <c r="E67" i="79"/>
  <c r="M67" i="79" s="1"/>
  <c r="C63" i="79"/>
  <c r="C13" i="83" s="1"/>
  <c r="L63" i="79"/>
  <c r="B15" i="83"/>
  <c r="Q15" i="83" s="1"/>
  <c r="G65" i="79"/>
  <c r="H15" i="83" s="1"/>
  <c r="F25" i="79"/>
  <c r="G25" i="76" s="1"/>
  <c r="I25" i="76" s="1"/>
  <c r="B25" i="76"/>
  <c r="L25" i="76" s="1"/>
  <c r="F15" i="79"/>
  <c r="G15" i="76" s="1"/>
  <c r="C15" i="79"/>
  <c r="C15" i="76" s="1"/>
  <c r="K71" i="79"/>
  <c r="F71" i="79"/>
  <c r="G21" i="83" s="1"/>
  <c r="J77" i="79"/>
  <c r="L20" i="92" s="1"/>
  <c r="D65" i="79"/>
  <c r="D15" i="83" s="1"/>
  <c r="L65" i="79"/>
  <c r="K65" i="79"/>
  <c r="D25" i="79"/>
  <c r="D25" i="76" s="1"/>
  <c r="B15" i="76"/>
  <c r="L15" i="76" s="1"/>
  <c r="C21" i="79"/>
  <c r="C21" i="76" s="1"/>
  <c r="B21" i="83"/>
  <c r="Q21" i="83" s="1"/>
  <c r="L71" i="79"/>
  <c r="G71" i="79"/>
  <c r="H21" i="83" s="1"/>
  <c r="L77" i="79"/>
  <c r="I65" i="79"/>
  <c r="K15" i="83" s="1"/>
  <c r="H65" i="79"/>
  <c r="J15" i="83" s="1"/>
  <c r="E21" i="79"/>
  <c r="F21" i="76" s="1"/>
  <c r="E71" i="79"/>
  <c r="M71" i="79" s="1"/>
  <c r="H71" i="79"/>
  <c r="J21" i="83" s="1"/>
  <c r="E77" i="79"/>
  <c r="E27" i="83" s="1"/>
  <c r="I69" i="79"/>
  <c r="K19" i="83" s="1"/>
  <c r="B19" i="83"/>
  <c r="Q19" i="83" s="1"/>
  <c r="E69" i="79"/>
  <c r="E19" i="83" s="1"/>
  <c r="K69" i="79"/>
  <c r="J69" i="79"/>
  <c r="M19" i="83" s="1"/>
  <c r="L69" i="79"/>
  <c r="C69" i="79"/>
  <c r="C19" i="83" s="1"/>
  <c r="B21" i="76"/>
  <c r="L21" i="76" s="1"/>
  <c r="I77" i="79"/>
  <c r="J20" i="92" s="1"/>
  <c r="H77" i="79"/>
  <c r="I20" i="92" s="1"/>
  <c r="F21" i="79"/>
  <c r="G21" i="76" s="1"/>
  <c r="C77" i="79"/>
  <c r="C27" i="83" s="1"/>
  <c r="K77" i="79"/>
  <c r="D63" i="79"/>
  <c r="D13" i="83" s="1"/>
  <c r="F63" i="79"/>
  <c r="G13" i="83" s="1"/>
  <c r="E63" i="79"/>
  <c r="M63" i="79" s="1"/>
  <c r="M70" i="79"/>
  <c r="K63" i="79"/>
  <c r="J63" i="79"/>
  <c r="M13" i="83" s="1"/>
  <c r="I63" i="79"/>
  <c r="K13" i="83" s="1"/>
  <c r="L13" i="83" s="1"/>
  <c r="C9" i="79"/>
  <c r="C9" i="76" s="1"/>
  <c r="J67" i="79"/>
  <c r="M17" i="83" s="1"/>
  <c r="I67" i="79"/>
  <c r="K17" i="83" s="1"/>
  <c r="I11" i="83"/>
  <c r="D24" i="79"/>
  <c r="D24" i="76" s="1"/>
  <c r="F67" i="79"/>
  <c r="G17" i="83" s="1"/>
  <c r="F77" i="79"/>
  <c r="F20" i="92" s="1"/>
  <c r="D77" i="79"/>
  <c r="D27" i="83" s="1"/>
  <c r="C67" i="79"/>
  <c r="C17" i="83" s="1"/>
  <c r="H67" i="79"/>
  <c r="J17" i="83" s="1"/>
  <c r="K67" i="79"/>
  <c r="E9" i="79"/>
  <c r="F9" i="76" s="1"/>
  <c r="C13" i="79"/>
  <c r="C13" i="76" s="1"/>
  <c r="G63" i="79"/>
  <c r="H13" i="83" s="1"/>
  <c r="B13" i="83"/>
  <c r="Q13" i="83" s="1"/>
  <c r="I12" i="83"/>
  <c r="E13" i="79"/>
  <c r="F13" i="76" s="1"/>
  <c r="I26" i="83"/>
  <c r="G67" i="79"/>
  <c r="H17" i="83" s="1"/>
  <c r="L67" i="79"/>
  <c r="D67" i="79"/>
  <c r="D17" i="83" s="1"/>
  <c r="J68" i="79"/>
  <c r="M18" i="83" s="1"/>
  <c r="L20" i="83"/>
  <c r="C24" i="79"/>
  <c r="C24" i="76" s="1"/>
  <c r="M61" i="79"/>
  <c r="B9" i="76"/>
  <c r="L9" i="76" s="1"/>
  <c r="F9" i="79"/>
  <c r="G9" i="76" s="1"/>
  <c r="D12" i="79"/>
  <c r="D12" i="76" s="1"/>
  <c r="F13" i="79"/>
  <c r="G13" i="76" s="1"/>
  <c r="C12" i="79"/>
  <c r="C12" i="76" s="1"/>
  <c r="E12" i="79"/>
  <c r="F12" i="76" s="1"/>
  <c r="F12" i="79"/>
  <c r="G12" i="76" s="1"/>
  <c r="L12" i="83"/>
  <c r="C68" i="79"/>
  <c r="C18" i="83" s="1"/>
  <c r="F68" i="79"/>
  <c r="G18" i="83" s="1"/>
  <c r="M68" i="79"/>
  <c r="D13" i="79"/>
  <c r="D13" i="76" s="1"/>
  <c r="E23" i="83"/>
  <c r="F23" i="83" s="1"/>
  <c r="G68" i="79"/>
  <c r="H18" i="83" s="1"/>
  <c r="D68" i="79"/>
  <c r="D18" i="83" s="1"/>
  <c r="F18" i="83" s="1"/>
  <c r="L8" i="83"/>
  <c r="I68" i="79"/>
  <c r="K18" i="83" s="1"/>
  <c r="B27" i="76"/>
  <c r="L27" i="76" s="1"/>
  <c r="H68" i="79"/>
  <c r="J18" i="83" s="1"/>
  <c r="B18" i="83"/>
  <c r="Q18" i="83" s="1"/>
  <c r="I14" i="76"/>
  <c r="C27" i="79"/>
  <c r="C27" i="76" s="1"/>
  <c r="E8" i="83"/>
  <c r="F8" i="83" s="1"/>
  <c r="K68" i="79"/>
  <c r="L68" i="79"/>
  <c r="E27" i="79"/>
  <c r="F27" i="76" s="1"/>
  <c r="F27" i="79"/>
  <c r="G27" i="76" s="1"/>
  <c r="E24" i="79"/>
  <c r="F24" i="76" s="1"/>
  <c r="F24" i="79"/>
  <c r="G24" i="76" s="1"/>
  <c r="C72" i="79"/>
  <c r="C22" i="83" s="1"/>
  <c r="F72" i="79"/>
  <c r="G22" i="83" s="1"/>
  <c r="D72" i="79"/>
  <c r="D22" i="83" s="1"/>
  <c r="F22" i="83" s="1"/>
  <c r="M62" i="79"/>
  <c r="K72" i="79"/>
  <c r="J72" i="79"/>
  <c r="M22" i="83" s="1"/>
  <c r="B22" i="83"/>
  <c r="Q22" i="83" s="1"/>
  <c r="L72" i="79"/>
  <c r="I72" i="79"/>
  <c r="K22" i="83" s="1"/>
  <c r="G72" i="79"/>
  <c r="H22" i="83" s="1"/>
  <c r="H72" i="79"/>
  <c r="J22" i="83" s="1"/>
  <c r="M72" i="79"/>
  <c r="L14" i="83"/>
  <c r="I14" i="83"/>
  <c r="I11" i="76"/>
  <c r="L24" i="83"/>
  <c r="M74" i="79"/>
  <c r="E24" i="83"/>
  <c r="F24" i="83" s="1"/>
  <c r="I10" i="76"/>
  <c r="M66" i="79"/>
  <c r="E16" i="83"/>
  <c r="L25" i="83"/>
  <c r="I25" i="83"/>
  <c r="I16" i="76"/>
  <c r="I24" i="83"/>
  <c r="M64" i="79"/>
  <c r="E14" i="83"/>
  <c r="F14" i="83" s="1"/>
  <c r="I17" i="76"/>
  <c r="E25" i="83"/>
  <c r="F25" i="83" s="1"/>
  <c r="M75" i="79"/>
  <c r="E15" i="83"/>
  <c r="M65" i="79"/>
  <c r="B49" i="60"/>
  <c r="G20" i="92" l="1"/>
  <c r="H20" i="92" s="1"/>
  <c r="F19" i="83"/>
  <c r="F16" i="83"/>
  <c r="I16" i="83"/>
  <c r="I15" i="76"/>
  <c r="I26" i="76"/>
  <c r="L16" i="83"/>
  <c r="Q29" i="83"/>
  <c r="L30" i="76"/>
  <c r="L9" i="83"/>
  <c r="M59" i="79"/>
  <c r="I10" i="83"/>
  <c r="I9" i="83"/>
  <c r="L21" i="83"/>
  <c r="L19" i="83"/>
  <c r="F10" i="83"/>
  <c r="L10" i="83"/>
  <c r="M60" i="79"/>
  <c r="I13" i="76"/>
  <c r="I21" i="83"/>
  <c r="I15" i="83"/>
  <c r="E17" i="83"/>
  <c r="F17" i="83" s="1"/>
  <c r="K27" i="83"/>
  <c r="K29" i="83" s="1"/>
  <c r="L15" i="83"/>
  <c r="M27" i="83"/>
  <c r="M77" i="79"/>
  <c r="D20" i="92"/>
  <c r="I21" i="76"/>
  <c r="F15" i="83"/>
  <c r="E21" i="83"/>
  <c r="F21" i="83" s="1"/>
  <c r="M69" i="79"/>
  <c r="J27" i="83"/>
  <c r="E13" i="83"/>
  <c r="F13" i="83" s="1"/>
  <c r="C20" i="92"/>
  <c r="I18" i="83"/>
  <c r="I13" i="83"/>
  <c r="L17" i="83"/>
  <c r="G27" i="83"/>
  <c r="I27" i="83" s="1"/>
  <c r="I22" i="83"/>
  <c r="I17" i="83"/>
  <c r="G90" i="79"/>
  <c r="G17" i="92" s="1"/>
  <c r="I9" i="76"/>
  <c r="E82" i="79"/>
  <c r="D8" i="92" s="1"/>
  <c r="I12" i="76"/>
  <c r="G84" i="79"/>
  <c r="G10" i="92" s="1"/>
  <c r="F91" i="79"/>
  <c r="F19" i="92" s="1"/>
  <c r="K87" i="79"/>
  <c r="I91" i="79"/>
  <c r="J19" i="92" s="1"/>
  <c r="I86" i="79"/>
  <c r="J12" i="92" s="1"/>
  <c r="E86" i="79"/>
  <c r="D12" i="92" s="1"/>
  <c r="E84" i="79"/>
  <c r="D10" i="92" s="1"/>
  <c r="F88" i="79"/>
  <c r="F15" i="92" s="1"/>
  <c r="I83" i="79"/>
  <c r="J9" i="92" s="1"/>
  <c r="D88" i="79"/>
  <c r="C15" i="92" s="1"/>
  <c r="J89" i="79"/>
  <c r="F86" i="79"/>
  <c r="F12" i="92" s="1"/>
  <c r="D87" i="79"/>
  <c r="C13" i="92" s="1"/>
  <c r="F83" i="79"/>
  <c r="F9" i="92" s="1"/>
  <c r="H83" i="79"/>
  <c r="I9" i="92" s="1"/>
  <c r="K85" i="79"/>
  <c r="G85" i="79"/>
  <c r="G11" i="92" s="1"/>
  <c r="J82" i="79"/>
  <c r="K88" i="79"/>
  <c r="I88" i="79"/>
  <c r="J15" i="92" s="1"/>
  <c r="H82" i="79"/>
  <c r="I8" i="92" s="1"/>
  <c r="G30" i="76"/>
  <c r="L18" i="83"/>
  <c r="J91" i="79"/>
  <c r="D82" i="79"/>
  <c r="C8" i="92" s="1"/>
  <c r="D91" i="79"/>
  <c r="C19" i="92" s="1"/>
  <c r="J87" i="79"/>
  <c r="E91" i="79"/>
  <c r="D19" i="92" s="1"/>
  <c r="H87" i="79"/>
  <c r="I13" i="92" s="1"/>
  <c r="H89" i="79"/>
  <c r="I16" i="92" s="1"/>
  <c r="J84" i="79"/>
  <c r="H90" i="79"/>
  <c r="I17" i="92" s="1"/>
  <c r="F84" i="79"/>
  <c r="F10" i="92" s="1"/>
  <c r="E90" i="79"/>
  <c r="D17" i="92" s="1"/>
  <c r="I87" i="79"/>
  <c r="J13" i="92" s="1"/>
  <c r="K91" i="79"/>
  <c r="G82" i="79"/>
  <c r="G8" i="92" s="1"/>
  <c r="F85" i="79"/>
  <c r="F11" i="92" s="1"/>
  <c r="H84" i="79"/>
  <c r="I10" i="92" s="1"/>
  <c r="H86" i="79"/>
  <c r="I12" i="92" s="1"/>
  <c r="K86" i="79"/>
  <c r="I85" i="79"/>
  <c r="J11" i="92" s="1"/>
  <c r="D90" i="79"/>
  <c r="C17" i="92" s="1"/>
  <c r="H85" i="79"/>
  <c r="I11" i="92" s="1"/>
  <c r="E89" i="79"/>
  <c r="D16" i="92" s="1"/>
  <c r="J85" i="79"/>
  <c r="J90" i="79"/>
  <c r="D86" i="79"/>
  <c r="C12" i="92" s="1"/>
  <c r="G86" i="79"/>
  <c r="G12" i="92" s="1"/>
  <c r="D84" i="79"/>
  <c r="C10" i="92" s="1"/>
  <c r="K84" i="79"/>
  <c r="F90" i="79"/>
  <c r="F17" i="92" s="1"/>
  <c r="E83" i="79"/>
  <c r="D9" i="92" s="1"/>
  <c r="J88" i="79"/>
  <c r="G88" i="79"/>
  <c r="G15" i="92" s="1"/>
  <c r="H88" i="79"/>
  <c r="I15" i="92" s="1"/>
  <c r="K89" i="79"/>
  <c r="G89" i="79"/>
  <c r="G16" i="92" s="1"/>
  <c r="H91" i="79"/>
  <c r="I19" i="92" s="1"/>
  <c r="D85" i="79"/>
  <c r="C11" i="92" s="1"/>
  <c r="F82" i="79"/>
  <c r="F8" i="92" s="1"/>
  <c r="G91" i="79"/>
  <c r="G19" i="92" s="1"/>
  <c r="G87" i="79"/>
  <c r="G13" i="92" s="1"/>
  <c r="J86" i="79"/>
  <c r="E85" i="79"/>
  <c r="D11" i="92" s="1"/>
  <c r="I90" i="79"/>
  <c r="J17" i="92" s="1"/>
  <c r="K82" i="79"/>
  <c r="F89" i="79"/>
  <c r="F16" i="92" s="1"/>
  <c r="I89" i="79"/>
  <c r="J16" i="92" s="1"/>
  <c r="J83" i="79"/>
  <c r="D29" i="83"/>
  <c r="D83" i="79"/>
  <c r="C9" i="92" s="1"/>
  <c r="K83" i="79"/>
  <c r="E88" i="79"/>
  <c r="D15" i="92" s="1"/>
  <c r="E87" i="79"/>
  <c r="D13" i="92" s="1"/>
  <c r="F30" i="76"/>
  <c r="K90" i="79"/>
  <c r="I84" i="79"/>
  <c r="J10" i="92" s="1"/>
  <c r="D89" i="79"/>
  <c r="C16" i="92" s="1"/>
  <c r="I82" i="79"/>
  <c r="J8" i="92" s="1"/>
  <c r="F87" i="79"/>
  <c r="F13" i="92" s="1"/>
  <c r="G83" i="79"/>
  <c r="G9" i="92" s="1"/>
  <c r="I27" i="76"/>
  <c r="I24" i="76"/>
  <c r="H29" i="83"/>
  <c r="L22" i="83"/>
  <c r="E9" i="95"/>
  <c r="K20" i="92"/>
  <c r="F27" i="83"/>
  <c r="F9" i="83"/>
  <c r="B53" i="60"/>
  <c r="E15" i="92" l="1"/>
  <c r="H19" i="92"/>
  <c r="K15" i="92"/>
  <c r="H17" i="92"/>
  <c r="L84" i="79"/>
  <c r="L91" i="79"/>
  <c r="B30" i="83"/>
  <c r="I11" i="97"/>
  <c r="J11" i="97" s="1"/>
  <c r="B33" i="76"/>
  <c r="I7" i="97"/>
  <c r="N63" i="79"/>
  <c r="H10" i="92"/>
  <c r="N68" i="79"/>
  <c r="G29" i="83"/>
  <c r="I29" i="83" s="1"/>
  <c r="N71" i="79"/>
  <c r="N75" i="79"/>
  <c r="N58" i="79"/>
  <c r="E20" i="92"/>
  <c r="N61" i="79"/>
  <c r="N72" i="79"/>
  <c r="N76" i="79"/>
  <c r="N59" i="79"/>
  <c r="N64" i="79"/>
  <c r="N67" i="79"/>
  <c r="N73" i="79"/>
  <c r="N62" i="79"/>
  <c r="N69" i="79"/>
  <c r="N74" i="79"/>
  <c r="N65" i="79"/>
  <c r="N66" i="79"/>
  <c r="N70" i="79"/>
  <c r="N60" i="79"/>
  <c r="N77" i="79"/>
  <c r="I30" i="76"/>
  <c r="K9" i="92"/>
  <c r="H11" i="92"/>
  <c r="M82" i="79"/>
  <c r="L8" i="92" s="1"/>
  <c r="E29" i="83"/>
  <c r="F29" i="83" s="1"/>
  <c r="L27" i="83"/>
  <c r="L87" i="79"/>
  <c r="J29" i="83"/>
  <c r="L29" i="83" s="1"/>
  <c r="M87" i="79"/>
  <c r="L13" i="92" s="1"/>
  <c r="M91" i="79"/>
  <c r="L19" i="92" s="1"/>
  <c r="E19" i="92"/>
  <c r="K19" i="92"/>
  <c r="H15" i="92"/>
  <c r="E17" i="92"/>
  <c r="M84" i="79"/>
  <c r="L10" i="92" s="1"/>
  <c r="M89" i="79"/>
  <c r="L16" i="92" s="1"/>
  <c r="K8" i="92"/>
  <c r="E13" i="92"/>
  <c r="L82" i="79"/>
  <c r="K13" i="92"/>
  <c r="M88" i="79"/>
  <c r="L15" i="92" s="1"/>
  <c r="E12" i="92"/>
  <c r="H12" i="92"/>
  <c r="E16" i="92"/>
  <c r="L85" i="79"/>
  <c r="K11" i="92"/>
  <c r="K12" i="92"/>
  <c r="C86" i="79"/>
  <c r="K17" i="92"/>
  <c r="L88" i="79"/>
  <c r="E10" i="92"/>
  <c r="M85" i="79"/>
  <c r="L11" i="92" s="1"/>
  <c r="L89" i="79"/>
  <c r="I21" i="92"/>
  <c r="L90" i="79"/>
  <c r="K16" i="92"/>
  <c r="H16" i="92"/>
  <c r="M83" i="79"/>
  <c r="L9" i="92" s="1"/>
  <c r="M90" i="79"/>
  <c r="L17" i="92" s="1"/>
  <c r="E9" i="92"/>
  <c r="L86" i="79"/>
  <c r="C85" i="79"/>
  <c r="D21" i="92"/>
  <c r="M86" i="79"/>
  <c r="L12" i="92" s="1"/>
  <c r="C89" i="79"/>
  <c r="L83" i="79"/>
  <c r="F21" i="92"/>
  <c r="C88" i="79"/>
  <c r="C87" i="79"/>
  <c r="E11" i="92"/>
  <c r="H13" i="92"/>
  <c r="C90" i="79"/>
  <c r="C91" i="79"/>
  <c r="H8" i="92"/>
  <c r="G21" i="92"/>
  <c r="J21" i="92"/>
  <c r="C82" i="79"/>
  <c r="C83" i="79"/>
  <c r="C84" i="79"/>
  <c r="K10" i="92"/>
  <c r="H9" i="92"/>
  <c r="E8" i="92"/>
  <c r="C21" i="92"/>
  <c r="B57" i="60"/>
  <c r="J7" i="97" l="1"/>
  <c r="O75" i="79"/>
  <c r="B124" i="79" s="1"/>
  <c r="E124" i="79" s="1"/>
  <c r="O63" i="79"/>
  <c r="B112" i="79" s="1"/>
  <c r="F112" i="79" s="1"/>
  <c r="O66" i="79"/>
  <c r="B115" i="79" s="1"/>
  <c r="F115" i="79" s="1"/>
  <c r="O62" i="79"/>
  <c r="B111" i="79" s="1"/>
  <c r="D111" i="79" s="1"/>
  <c r="O70" i="79"/>
  <c r="B119" i="79" s="1"/>
  <c r="D119" i="79" s="1"/>
  <c r="O58" i="79"/>
  <c r="B107" i="79" s="1"/>
  <c r="D107" i="79" s="1"/>
  <c r="O68" i="79"/>
  <c r="B117" i="79" s="1"/>
  <c r="F117" i="79" s="1"/>
  <c r="O72" i="79"/>
  <c r="B121" i="79" s="1"/>
  <c r="F121" i="79" s="1"/>
  <c r="O60" i="79"/>
  <c r="B109" i="79" s="1"/>
  <c r="E109" i="79" s="1"/>
  <c r="O73" i="79"/>
  <c r="B122" i="79" s="1"/>
  <c r="F122" i="79" s="1"/>
  <c r="O61" i="79"/>
  <c r="B110" i="79" s="1"/>
  <c r="G110" i="79" s="1"/>
  <c r="O67" i="79"/>
  <c r="B116" i="79" s="1"/>
  <c r="F116" i="79" s="1"/>
  <c r="O76" i="79"/>
  <c r="B125" i="79" s="1"/>
  <c r="F125" i="79" s="1"/>
  <c r="O65" i="79"/>
  <c r="B114" i="79" s="1"/>
  <c r="E114" i="79" s="1"/>
  <c r="O71" i="79"/>
  <c r="B120" i="79" s="1"/>
  <c r="F120" i="79" s="1"/>
  <c r="O74" i="79"/>
  <c r="B123" i="79" s="1"/>
  <c r="F123" i="79" s="1"/>
  <c r="O69" i="79"/>
  <c r="B118" i="79" s="1"/>
  <c r="E118" i="79" s="1"/>
  <c r="O64" i="79"/>
  <c r="B113" i="79" s="1"/>
  <c r="F113" i="79" s="1"/>
  <c r="O59" i="79"/>
  <c r="B108" i="79" s="1"/>
  <c r="G108" i="79" s="1"/>
  <c r="O77" i="79"/>
  <c r="B126" i="79" s="1"/>
  <c r="G126" i="79" s="1"/>
  <c r="H21" i="92"/>
  <c r="K21" i="92"/>
  <c r="O88" i="79"/>
  <c r="B100" i="79" s="1"/>
  <c r="F100" i="79" s="1"/>
  <c r="I100" i="79" s="1"/>
  <c r="O85" i="79"/>
  <c r="B97" i="79" s="1"/>
  <c r="E97" i="79" s="1"/>
  <c r="E21" i="92"/>
  <c r="O91" i="79"/>
  <c r="B103" i="79" s="1"/>
  <c r="D103" i="79" s="1"/>
  <c r="O82" i="79"/>
  <c r="B94" i="79" s="1"/>
  <c r="D94" i="79" s="1"/>
  <c r="O89" i="79"/>
  <c r="B101" i="79" s="1"/>
  <c r="E101" i="79" s="1"/>
  <c r="O90" i="79"/>
  <c r="B102" i="79" s="1"/>
  <c r="D102" i="79" s="1"/>
  <c r="O83" i="79"/>
  <c r="B95" i="79" s="1"/>
  <c r="E95" i="79" s="1"/>
  <c r="O84" i="79"/>
  <c r="B96" i="79" s="1"/>
  <c r="D96" i="79" s="1"/>
  <c r="O87" i="79"/>
  <c r="B99" i="79" s="1"/>
  <c r="G99" i="79" s="1"/>
  <c r="O86" i="79"/>
  <c r="B98" i="79" s="1"/>
  <c r="E98" i="79" s="1"/>
  <c r="B61" i="60"/>
  <c r="D122" i="79" l="1"/>
  <c r="D114" i="79"/>
  <c r="D112" i="79"/>
  <c r="F107" i="79"/>
  <c r="G114" i="79"/>
  <c r="E122" i="79"/>
  <c r="E112" i="79"/>
  <c r="F119" i="79"/>
  <c r="E125" i="79"/>
  <c r="D109" i="79"/>
  <c r="D124" i="79"/>
  <c r="G124" i="79"/>
  <c r="E115" i="79"/>
  <c r="G113" i="79"/>
  <c r="G122" i="79"/>
  <c r="G107" i="79"/>
  <c r="F114" i="79"/>
  <c r="G112" i="79"/>
  <c r="G121" i="79"/>
  <c r="E111" i="79"/>
  <c r="G125" i="79"/>
  <c r="F124" i="79"/>
  <c r="G119" i="79"/>
  <c r="D118" i="79"/>
  <c r="D125" i="79"/>
  <c r="E119" i="79"/>
  <c r="G109" i="79"/>
  <c r="E107" i="79"/>
  <c r="F109" i="79"/>
  <c r="E113" i="79"/>
  <c r="G115" i="79"/>
  <c r="F118" i="79"/>
  <c r="F110" i="79"/>
  <c r="D120" i="79"/>
  <c r="F108" i="79"/>
  <c r="D110" i="79"/>
  <c r="G120" i="79"/>
  <c r="D117" i="79"/>
  <c r="E117" i="79"/>
  <c r="E108" i="79"/>
  <c r="G118" i="79"/>
  <c r="D115" i="79"/>
  <c r="E110" i="79"/>
  <c r="D108" i="79"/>
  <c r="E116" i="79"/>
  <c r="E121" i="79"/>
  <c r="G111" i="79"/>
  <c r="E126" i="79"/>
  <c r="F111" i="79"/>
  <c r="G117" i="79"/>
  <c r="D123" i="79"/>
  <c r="D121" i="79"/>
  <c r="E120" i="79"/>
  <c r="E123" i="79"/>
  <c r="G123" i="79"/>
  <c r="D126" i="79"/>
  <c r="F126" i="79"/>
  <c r="G116" i="79"/>
  <c r="D116" i="79"/>
  <c r="D113" i="79"/>
  <c r="E103" i="79"/>
  <c r="F103" i="79"/>
  <c r="I103" i="79" s="1"/>
  <c r="G94" i="79"/>
  <c r="F102" i="79"/>
  <c r="I102" i="79" s="1"/>
  <c r="G98" i="79"/>
  <c r="F101" i="79"/>
  <c r="I101" i="79" s="1"/>
  <c r="D100" i="79"/>
  <c r="E94" i="79"/>
  <c r="E100" i="79"/>
  <c r="F96" i="79"/>
  <c r="I96" i="79" s="1"/>
  <c r="F94" i="79"/>
  <c r="I94" i="79" s="1"/>
  <c r="G100" i="79"/>
  <c r="G96" i="79"/>
  <c r="E96" i="79"/>
  <c r="D99" i="79"/>
  <c r="G101" i="79"/>
  <c r="F97" i="79"/>
  <c r="I97" i="79" s="1"/>
  <c r="E99" i="79"/>
  <c r="D97" i="79"/>
  <c r="D101" i="79"/>
  <c r="G97" i="79"/>
  <c r="F99" i="79"/>
  <c r="I99" i="79" s="1"/>
  <c r="G103" i="79"/>
  <c r="F95" i="79"/>
  <c r="I95" i="79" s="1"/>
  <c r="D98" i="79"/>
  <c r="F98" i="79"/>
  <c r="I98" i="79" s="1"/>
  <c r="G102" i="79"/>
  <c r="E102" i="79"/>
  <c r="D95" i="79"/>
  <c r="G95" i="79"/>
  <c r="B65" i="60"/>
  <c r="B69" i="60" l="1"/>
  <c r="B73" i="60" l="1"/>
  <c r="B77" i="60" l="1"/>
  <c r="B81" i="60" l="1"/>
  <c r="E26" i="72"/>
  <c r="H6" i="72"/>
  <c r="N6" i="72" s="1"/>
  <c r="E19" i="97" l="1"/>
  <c r="D3" i="72"/>
  <c r="H26" i="72"/>
  <c r="F19" i="97" l="1"/>
  <c r="E29" i="97"/>
</calcChain>
</file>

<file path=xl/sharedStrings.xml><?xml version="1.0" encoding="utf-8"?>
<sst xmlns="http://schemas.openxmlformats.org/spreadsheetml/2006/main" count="1414" uniqueCount="752">
  <si>
    <t>Arkansas Public Service Commission</t>
  </si>
  <si>
    <r>
      <t xml:space="preserve">Standardized Annual Reporting Workbook </t>
    </r>
    <r>
      <rPr>
        <i/>
        <sz val="12"/>
        <rFont val="Calibri"/>
        <family val="2"/>
        <scheme val="minor"/>
      </rPr>
      <t>v4.0 August 2017</t>
    </r>
  </si>
  <si>
    <t>General</t>
  </si>
  <si>
    <t>Energy Efficeny Portolio Data and Information</t>
  </si>
  <si>
    <t>Annual Report Tables</t>
  </si>
  <si>
    <t>Reports</t>
  </si>
  <si>
    <t>Data</t>
  </si>
  <si>
    <t>EE Portfolio Summary</t>
  </si>
  <si>
    <t>EE Portfolio Expenditures by Program</t>
  </si>
  <si>
    <t>EE Portfolio  Expenditure Summary by Cost Type</t>
  </si>
  <si>
    <t>Company Statistics</t>
  </si>
  <si>
    <t>Program Budget, Energy Savings &amp; Participants</t>
  </si>
  <si>
    <t>Portfolio Results Detail
by Program</t>
  </si>
  <si>
    <t>Portfolio Results Detail
by Sector</t>
  </si>
  <si>
    <t>Best
Practices</t>
  </si>
  <si>
    <t>Program Year Data</t>
  </si>
  <si>
    <t>Next Annual Report Load Data</t>
  </si>
  <si>
    <t>Instructions</t>
  </si>
  <si>
    <t xml:space="preserve">This workbook is designed to be used by the Investor Owned Utilities in Arkansas to track and report savings and cost related to its Energy Efficiency Portfolios. </t>
  </si>
  <si>
    <t>Navigating the workbook</t>
  </si>
  <si>
    <t>The workbook is organized so that it is navigable from within the screen without using the Excel tabs.  If Excel tabs are needed, go to File&gt;Options&gt;Advanced, scroll to "Display Options for this Workbook" then toggle on "Show sheet Tabs".  All the worksheets work from left to right in order of completion. 
The Main Menu is organized into 3 sections:</t>
  </si>
  <si>
    <r>
      <rPr>
        <b/>
        <sz val="10"/>
        <color indexed="8"/>
        <rFont val="Arial"/>
        <family val="2"/>
      </rPr>
      <t>General</t>
    </r>
    <r>
      <rPr>
        <sz val="10"/>
        <color indexed="8"/>
        <rFont val="Arial"/>
        <family val="2"/>
      </rPr>
      <t xml:space="preserve">: Contains Instructions and Glossary. </t>
    </r>
  </si>
  <si>
    <r>
      <rPr>
        <b/>
        <sz val="10"/>
        <color indexed="8"/>
        <rFont val="Arial"/>
        <family val="2"/>
      </rPr>
      <t>Energy Efficiency Portfolio Data and Information:</t>
    </r>
    <r>
      <rPr>
        <sz val="10"/>
        <color indexed="8"/>
        <rFont val="Arial"/>
        <family val="2"/>
      </rPr>
      <t xml:space="preserve"> Contains all input requirements. </t>
    </r>
  </si>
  <si>
    <r>
      <rPr>
        <b/>
        <sz val="10"/>
        <color indexed="8"/>
        <rFont val="Arial"/>
        <family val="2"/>
      </rPr>
      <t>Tables/Reports/Data:</t>
    </r>
    <r>
      <rPr>
        <sz val="10"/>
        <color indexed="8"/>
        <rFont val="Arial"/>
        <family val="2"/>
      </rPr>
      <t xml:space="preserve"> Contains the tables that are required for the narrative report.  Also contains additional reports and data summaries. </t>
    </r>
  </si>
  <si>
    <t>Each tab in the workbook uses a menu bar at the top that has action buttons that the user can use to navigate through the various options.  The 'yellow' shaded cells are cells that require data from the user.  All other cells contain formulas and are locked to prevent the user from overwriting the formulas.  Input the specific information as indicated by the workbook, for example if the request is kWh provide the data in kWh or if it is MWh provide the data in MWh's.</t>
  </si>
  <si>
    <r>
      <t xml:space="preserve">Input Values.  These cells indicate </t>
    </r>
    <r>
      <rPr>
        <b/>
        <sz val="9"/>
        <rFont val="Arial"/>
        <family val="2"/>
      </rPr>
      <t>required data inputs</t>
    </r>
    <r>
      <rPr>
        <sz val="9"/>
        <rFont val="Arial"/>
        <family val="2"/>
      </rPr>
      <t xml:space="preserve"> from the user.</t>
    </r>
  </si>
  <si>
    <t>Reserved Cells for input data.  These cells will change to 'yellow' shaded cells indicating the required data inputs from the user.</t>
  </si>
  <si>
    <t>Calculated Values</t>
  </si>
  <si>
    <t>To preserve the integrity of the formulae contained within this Excel workbook, the user should only make changes to the 'yellow' shaded cells.</t>
  </si>
  <si>
    <r>
      <t xml:space="preserve">Some 'yellow' shaded cells require the use of a dropdown list.  The user must select an option form the choices on the dropdown list.  </t>
    </r>
    <r>
      <rPr>
        <b/>
        <u/>
        <sz val="10"/>
        <color rgb="FFFF0000"/>
        <rFont val="Arial"/>
        <family val="2"/>
      </rPr>
      <t>DO NOT</t>
    </r>
    <r>
      <rPr>
        <sz val="10"/>
        <color indexed="8"/>
        <rFont val="Arial"/>
        <family val="2"/>
      </rPr>
      <t xml:space="preserve"> use the copy paste function in cells with dropdown lists.</t>
    </r>
  </si>
  <si>
    <t>Completing the workbook</t>
  </si>
  <si>
    <t>The 'Energy Efficiency Portfolio Data and Information' is organized into 3 data input sections:</t>
  </si>
  <si>
    <t>EE Portfolio Information</t>
  </si>
  <si>
    <t>a).</t>
  </si>
  <si>
    <t>Utility Information</t>
  </si>
  <si>
    <t>b).</t>
  </si>
  <si>
    <t>Program Descriptions</t>
  </si>
  <si>
    <r>
      <rPr>
        <sz val="8"/>
        <color indexed="8"/>
        <rFont val="Calibri"/>
        <family val="2"/>
      </rPr>
      <t>»</t>
    </r>
    <r>
      <rPr>
        <sz val="8"/>
        <color indexed="8"/>
        <rFont val="Arial"/>
        <family val="2"/>
      </rPr>
      <t>Program Detail</t>
    </r>
  </si>
  <si>
    <t>c).</t>
  </si>
  <si>
    <t>Budgets</t>
  </si>
  <si>
    <t>»Budget Reconciliation</t>
  </si>
  <si>
    <t>d).</t>
  </si>
  <si>
    <t>Savings &amp; Participants</t>
  </si>
  <si>
    <t>e).</t>
  </si>
  <si>
    <t>Training</t>
  </si>
  <si>
    <t>»External Training</t>
  </si>
  <si>
    <t>»Internal Training</t>
  </si>
  <si>
    <t>Current Program Year Evaluation</t>
  </si>
  <si>
    <t>Actual Expenses</t>
  </si>
  <si>
    <t>»EECR Reconciliation</t>
  </si>
  <si>
    <t>Evaluated Savings</t>
  </si>
  <si>
    <t>»Methodology for Energy Savings</t>
  </si>
  <si>
    <t>Cost-Benefits</t>
  </si>
  <si>
    <t>»Key Assumptions</t>
  </si>
  <si>
    <t>»NEBs</t>
  </si>
  <si>
    <t>»Other Cost-Benefit Test</t>
  </si>
  <si>
    <t>LCFC</t>
  </si>
  <si>
    <t>Incentives</t>
  </si>
  <si>
    <t>Historical Information</t>
  </si>
  <si>
    <t>Prior Two Years</t>
  </si>
  <si>
    <t>»Portfolio Data</t>
  </si>
  <si>
    <t>Other functions of the workbook</t>
  </si>
  <si>
    <t>Unprotecting</t>
  </si>
  <si>
    <t>If for some reason you need to unlock the spreadsheet the password is "APSC".  Once you make the correction, lock the workbook back to protect any errors from occurring.</t>
  </si>
  <si>
    <t>Dropdown List</t>
  </si>
  <si>
    <t>Some of the required inputs are selected from dropdown list.  You can view those list from here:</t>
  </si>
  <si>
    <t>Cost Categories</t>
  </si>
  <si>
    <t>There are six 'Cost Categories' used for tracking EE cost.  They are divided into the following:</t>
  </si>
  <si>
    <t>Utility Type</t>
  </si>
  <si>
    <t>Utility Full Name</t>
  </si>
  <si>
    <t>Black Hills Energy Arkansas, Inc.</t>
  </si>
  <si>
    <t>Natural Gas</t>
  </si>
  <si>
    <t>Utility Abbreviated Name</t>
  </si>
  <si>
    <t>BHEA</t>
  </si>
  <si>
    <t>Program Year</t>
  </si>
  <si>
    <t>Docket</t>
  </si>
  <si>
    <t>07-078-TF</t>
  </si>
  <si>
    <t>Date Filed</t>
  </si>
  <si>
    <t>Name of Contact</t>
  </si>
  <si>
    <t>Rob Daniel</t>
  </si>
  <si>
    <t>Email Address</t>
  </si>
  <si>
    <t>Rob.Daniel@blackhillscorp.com</t>
  </si>
  <si>
    <t>Telephone Number</t>
  </si>
  <si>
    <t>479-601-2841</t>
  </si>
  <si>
    <t>Full-Time EE Employees</t>
  </si>
  <si>
    <t>Program Name</t>
  </si>
  <si>
    <t>Target Sector</t>
  </si>
  <si>
    <t>Program Type</t>
  </si>
  <si>
    <t>Delivery Channel</t>
  </si>
  <si>
    <t>Commercial &amp; Industrial Solutions Program</t>
  </si>
  <si>
    <t>Commercial &amp; Industrial</t>
  </si>
  <si>
    <t>Custom</t>
  </si>
  <si>
    <t>Implementing Contractor</t>
  </si>
  <si>
    <t>Energy Efficiency Arkansas</t>
  </si>
  <si>
    <t>All Classes</t>
  </si>
  <si>
    <t>Behavior/Education</t>
  </si>
  <si>
    <t>Statewide Administrator</t>
  </si>
  <si>
    <t>Residential Solution Program</t>
  </si>
  <si>
    <t>Residential</t>
  </si>
  <si>
    <t>Other</t>
  </si>
  <si>
    <t>Market Specific/Hard to Reach</t>
  </si>
  <si>
    <t>Coupon Redemption</t>
  </si>
  <si>
    <t>Program Detail</t>
  </si>
  <si>
    <t xml:space="preserve">Residential </t>
  </si>
  <si>
    <t xml:space="preserve">Commercial &amp; Industrial (Small Business, Commercial, Industrial, and Agriculture) </t>
  </si>
  <si>
    <t>Cross-Sector</t>
  </si>
  <si>
    <t>N/A</t>
  </si>
  <si>
    <t>Behavioral/Education</t>
  </si>
  <si>
    <t>CPR - Appliances</t>
  </si>
  <si>
    <t>CPR - Electronics</t>
  </si>
  <si>
    <t>CPR - Lighting</t>
  </si>
  <si>
    <t>CPR - Appliance Recycling</t>
  </si>
  <si>
    <t>DR - Load Control</t>
  </si>
  <si>
    <t>DR - Price/Time Base</t>
  </si>
  <si>
    <t xml:space="preserve">Financing </t>
  </si>
  <si>
    <t>Manufactured Homes</t>
  </si>
  <si>
    <t>M/TF - HVAC/Furnace</t>
  </si>
  <si>
    <t>M/TF - Insulation</t>
  </si>
  <si>
    <t>M/TF - Pool Pumps</t>
  </si>
  <si>
    <t>M/TF - Water Heater</t>
  </si>
  <si>
    <t>M/TF - Windows</t>
  </si>
  <si>
    <t>Multi-family</t>
  </si>
  <si>
    <t>WH - Audits</t>
  </si>
  <si>
    <t>WH - Direct Install</t>
  </si>
  <si>
    <t>WH - Retrofit</t>
  </si>
  <si>
    <t>Audit</t>
  </si>
  <si>
    <t>Custom/Agriculture</t>
  </si>
  <si>
    <t>Custom/Data Centers</t>
  </si>
  <si>
    <t>Custom/Industrial Processes</t>
  </si>
  <si>
    <t>Custom/Refrigerator Warehouses</t>
  </si>
  <si>
    <t>Govt/Nonprofit/MUSH</t>
  </si>
  <si>
    <t>Prescriptive/Grocery</t>
  </si>
  <si>
    <t>Prescriptive/HVAC</t>
  </si>
  <si>
    <t>Prescriptive/IT or Office</t>
  </si>
  <si>
    <t>Prescriptive/Industrial</t>
  </si>
  <si>
    <t>Prescriptive/Lighting</t>
  </si>
  <si>
    <t>Prescriptive/Motors</t>
  </si>
  <si>
    <t>Prescriptive/Small Commercial</t>
  </si>
  <si>
    <t>Street Lighting</t>
  </si>
  <si>
    <t>Codes &amp; Standards</t>
  </si>
  <si>
    <t>Market Transformation</t>
  </si>
  <si>
    <t>Marketing, Education, Outreach</t>
  </si>
  <si>
    <t>Multi-Sector Rebates</t>
  </si>
  <si>
    <t xml:space="preserve">Research </t>
  </si>
  <si>
    <t>Shading/Cool Roofs</t>
  </si>
  <si>
    <t>Voltage Reduction</t>
  </si>
  <si>
    <t>Workforce Development</t>
  </si>
  <si>
    <t>X</t>
  </si>
  <si>
    <t xml:space="preserve"> </t>
  </si>
  <si>
    <t>Total</t>
  </si>
  <si>
    <t>Total:</t>
  </si>
  <si>
    <t>Total Portfolio Budget:</t>
  </si>
  <si>
    <t>Budget Reconciliation Table</t>
  </si>
  <si>
    <t>Initial Budget*</t>
  </si>
  <si>
    <t>Revised Budget</t>
  </si>
  <si>
    <t>Difference</t>
  </si>
  <si>
    <t>Change</t>
  </si>
  <si>
    <t>Explanation for the Change</t>
  </si>
  <si>
    <t>Total Portfolio:</t>
  </si>
  <si>
    <t>Order #</t>
  </si>
  <si>
    <t>approved the Initial Budget.</t>
  </si>
  <si>
    <t>Demand 
Savings</t>
  </si>
  <si>
    <t>Energy 
Savings</t>
  </si>
  <si>
    <t>Participants</t>
  </si>
  <si>
    <t>Participant Definition</t>
  </si>
  <si>
    <t>Equipment</t>
  </si>
  <si>
    <t>Customer</t>
  </si>
  <si>
    <t>Measure</t>
  </si>
  <si>
    <t>Sessions</t>
  </si>
  <si>
    <t>Attendees</t>
  </si>
  <si>
    <t>Man Hours</t>
  </si>
  <si>
    <t>Certificates</t>
  </si>
  <si>
    <t>Cost</t>
  </si>
  <si>
    <t>External Training</t>
  </si>
  <si>
    <t>Internal Training</t>
  </si>
  <si>
    <r>
      <t xml:space="preserve">External Training </t>
    </r>
    <r>
      <rPr>
        <b/>
        <sz val="12"/>
        <color indexed="8"/>
        <rFont val="Calibri"/>
        <family val="2"/>
      </rPr>
      <t>(contractors, trade allies, consumer groups, ect.)</t>
    </r>
  </si>
  <si>
    <t>Event No.</t>
  </si>
  <si>
    <t>Test</t>
  </si>
  <si>
    <t>Start Date</t>
  </si>
  <si>
    <t>Class</t>
  </si>
  <si>
    <t>Class Description</t>
  </si>
  <si>
    <t>Training Location</t>
  </si>
  <si>
    <t>Sponsor</t>
  </si>
  <si>
    <t>No. of Attendees
(A)</t>
  </si>
  <si>
    <t>Length of Session
(B)</t>
  </si>
  <si>
    <t>Training Session Man-Hours
(A x B)</t>
  </si>
  <si>
    <t>Any Certificates Awarded?
(Y or N)</t>
  </si>
  <si>
    <t># of Certificates Awarded</t>
  </si>
  <si>
    <t>CLEAResult</t>
  </si>
  <si>
    <t>n</t>
  </si>
  <si>
    <t>y</t>
  </si>
  <si>
    <t>Totals:</t>
  </si>
  <si>
    <t>Events:</t>
  </si>
  <si>
    <t>Internal Training (Utility or Administrator Staff)</t>
  </si>
  <si>
    <t>Energy Forum</t>
  </si>
  <si>
    <t>Austin, TX</t>
  </si>
  <si>
    <t>NOT USED - HELD FOR FUTURE USE</t>
  </si>
  <si>
    <t>Utility</t>
  </si>
  <si>
    <t>Affiliate</t>
  </si>
  <si>
    <t>3rd Party</t>
  </si>
  <si>
    <t>Portfolio Total</t>
  </si>
  <si>
    <t>EECR Reconciliation Table</t>
  </si>
  <si>
    <t>Total Portfolio Expenditures:</t>
  </si>
  <si>
    <t>EECR Expenses:</t>
  </si>
  <si>
    <t>Explanation for Difference:</t>
  </si>
  <si>
    <t>NA</t>
  </si>
  <si>
    <t xml:space="preserve">Programs savings reported are net savings and do not include adjustments for leakage. </t>
  </si>
  <si>
    <t>Methodology for Calculating Net Energy Savings</t>
  </si>
  <si>
    <t>Deemed Savings</t>
  </si>
  <si>
    <t>Custom Savings</t>
  </si>
  <si>
    <t>Other Savings</t>
  </si>
  <si>
    <t>Total Savings</t>
  </si>
  <si>
    <t>Net Energy Savings</t>
  </si>
  <si>
    <t>Total Resource Cost Test (TRC)</t>
  </si>
  <si>
    <t>Annualized Energy Saved</t>
  </si>
  <si>
    <t>Effective NTGR</t>
  </si>
  <si>
    <t>Lifetime Energy Savings</t>
  </si>
  <si>
    <t>Total 
Cost</t>
  </si>
  <si>
    <t>Total Benefits</t>
  </si>
  <si>
    <t>Total 
Net Benefits</t>
  </si>
  <si>
    <t>TRC</t>
  </si>
  <si>
    <t>Weighted Measure Life</t>
  </si>
  <si>
    <t>TRC Levelized Cost</t>
  </si>
  <si>
    <t>Ratio</t>
  </si>
  <si>
    <t>($000's)</t>
  </si>
  <si>
    <t>Portfolio Total:</t>
  </si>
  <si>
    <t>TRC Levelized Cost = Total TRC Cost x Capital Recovery Factor (CRF) / Incremental Annual Net Energy Savings.</t>
  </si>
  <si>
    <t>The CRF is based on weighted average measure life (Lifetime Energy Savings / Annualized Energy Saved) and the discount rate.</t>
  </si>
  <si>
    <t>Key Assumptions</t>
  </si>
  <si>
    <t>Discount Rate</t>
  </si>
  <si>
    <t>Notes/Source Documents</t>
  </si>
  <si>
    <t>Nominal Discount Rate (%)</t>
  </si>
  <si>
    <t>WACC used in the TRC, UCT and RIM (PCT is 8.50%)</t>
  </si>
  <si>
    <t>Inflation Rate (%)</t>
  </si>
  <si>
    <t>ADM</t>
  </si>
  <si>
    <t>Real Discount Rate</t>
  </si>
  <si>
    <t>Program Benefits</t>
  </si>
  <si>
    <t>Avoided Energy Costs</t>
  </si>
  <si>
    <t>[Class 1]</t>
  </si>
  <si>
    <t>[Class 2]</t>
  </si>
  <si>
    <t>[Class 3]</t>
  </si>
  <si>
    <t>[Class 4]</t>
  </si>
  <si>
    <t>[Class 5]</t>
  </si>
  <si>
    <t>Natural Gas ($/MMBtu)</t>
  </si>
  <si>
    <t>$0.4173/Therm</t>
  </si>
  <si>
    <t>On-Peak ($/MWh)</t>
  </si>
  <si>
    <t>Off-Peak ($/MWh)</t>
  </si>
  <si>
    <t>Carbon Cost BY ($/ton)</t>
  </si>
  <si>
    <t>Carbon Cost BY (YYYY)</t>
  </si>
  <si>
    <t>Carbon Cost EY (YYYY)</t>
  </si>
  <si>
    <t>[Line Loss Category]</t>
  </si>
  <si>
    <t>1.74% (Therm)</t>
  </si>
  <si>
    <t>6.49% (kWh)</t>
  </si>
  <si>
    <t>SWEPCO PY2022 EM&amp;V Report, Appendix C</t>
  </si>
  <si>
    <t>10.02% (kW)</t>
  </si>
  <si>
    <t>Avoided Capacity Cost</t>
  </si>
  <si>
    <t>Proxy Unit $/kW</t>
  </si>
  <si>
    <t>Proxy Unit In Service Date</t>
  </si>
  <si>
    <t>RECC ($/kw-yr)</t>
  </si>
  <si>
    <t>RECC BY (YYYY)</t>
  </si>
  <si>
    <t>RECC EY (YYYY)</t>
  </si>
  <si>
    <t>Market Price ($/kw-yr)</t>
  </si>
  <si>
    <t>Market Price BY (YYYY)</t>
  </si>
  <si>
    <t>Market Price EY (YYYY)</t>
  </si>
  <si>
    <t>Capacity Reserve Margin</t>
  </si>
  <si>
    <t>Marginal Distribution ($/kw-yr)</t>
  </si>
  <si>
    <t>Marginal Transmission ($/kw-yr)</t>
  </si>
  <si>
    <t>NEBs</t>
  </si>
  <si>
    <t>Electricity ($/kWh)</t>
  </si>
  <si>
    <t>$0.03469/kWh (energy) and $95.40/kW (demand)</t>
  </si>
  <si>
    <t>SWEPCO filed avoided costs</t>
  </si>
  <si>
    <t>Natural Gas ($/Therm)</t>
  </si>
  <si>
    <t>LPG ($/gallon)</t>
  </si>
  <si>
    <t>Water ($/gallon)</t>
  </si>
  <si>
    <t>Waste Water ($/gallon)</t>
  </si>
  <si>
    <t>Avoided Replacement Cost ($PV)</t>
  </si>
  <si>
    <t>Res Tankless - $355.33/unit. C&amp;I Tankless: $141.63/unit</t>
  </si>
  <si>
    <t>Calculated with IEM template. Net to gross applied based on customer subsector.</t>
  </si>
  <si>
    <t>Deferred Replacement Cost ($PV)</t>
  </si>
  <si>
    <t>Res furnace early replacement: $710.32/unit</t>
  </si>
  <si>
    <t>Notes:</t>
  </si>
  <si>
    <t xml:space="preserve">Certain assumptions may not be applicable to some utilities. </t>
  </si>
  <si>
    <t xml:space="preserve">If there are multiple data values (e.g. annual avoided costs) presented elsewhere (e.g. in testimony) then reference source document. </t>
  </si>
  <si>
    <t xml:space="preserve">Notes/Source Documents column is provided for further definition of the data and/or references to source documents.  </t>
  </si>
  <si>
    <t>Electric Savings</t>
  </si>
  <si>
    <t>Demand Savings</t>
  </si>
  <si>
    <t>Natural Gas Savings</t>
  </si>
  <si>
    <t>Propane Savings</t>
  </si>
  <si>
    <t>Water/Waste Water</t>
  </si>
  <si>
    <t>Replacement Cost</t>
  </si>
  <si>
    <t>Total
NPV $</t>
  </si>
  <si>
    <t>Annual
KWh</t>
  </si>
  <si>
    <t>NPV $</t>
  </si>
  <si>
    <t>Annual
KW</t>
  </si>
  <si>
    <t>Annual
Therms</t>
  </si>
  <si>
    <t>Annual
Gallons</t>
  </si>
  <si>
    <t>Avoided
NPV $</t>
  </si>
  <si>
    <t>Deferred
NPV $</t>
  </si>
  <si>
    <t>NEBs shown on pages 1-7 through 1-8</t>
  </si>
  <si>
    <t>Cost-Effectiveness Test</t>
  </si>
  <si>
    <t>Participant Cost Test
(PCT)</t>
  </si>
  <si>
    <t>Ratepayer Impact Measure
(RIM)</t>
  </si>
  <si>
    <t>Program Administrator Cost
(PAC)</t>
  </si>
  <si>
    <t>Other Test
(SCT)</t>
  </si>
  <si>
    <t>Net Benefits
($000's)</t>
  </si>
  <si>
    <t>Current Programs</t>
  </si>
  <si>
    <t>Discontinued Programs</t>
  </si>
  <si>
    <t>Is the Utility currently operating under a Formula Rate Plan (FRP)?</t>
  </si>
  <si>
    <t>No</t>
  </si>
  <si>
    <t>If Yes, provide the effective date of FRP.</t>
  </si>
  <si>
    <t xml:space="preserve">Programs savings reported are net savings and include adjustments for leakage. </t>
  </si>
  <si>
    <t>Baseline Calculation</t>
  </si>
  <si>
    <t>Portfolio Level Summary</t>
  </si>
  <si>
    <t>Initial Budget</t>
  </si>
  <si>
    <t>SD Exemptions Adjustment</t>
  </si>
  <si>
    <t>Actual Expenses ($)</t>
  </si>
  <si>
    <t>Adjusted Baseline</t>
  </si>
  <si>
    <t>Portfolio Net Benefits ($)</t>
  </si>
  <si>
    <t>Incentive Calculation</t>
  </si>
  <si>
    <t>Savings Achievement</t>
  </si>
  <si>
    <t>Commission Established Goal</t>
  </si>
  <si>
    <t>% of Goal Achieved</t>
  </si>
  <si>
    <t>10% of Portfolio Net Benefits ($)</t>
  </si>
  <si>
    <t>Incentive Cap</t>
  </si>
  <si>
    <t>Maximum Allowed Incentive ($)</t>
  </si>
  <si>
    <t>Eligible Incentive $'s</t>
  </si>
  <si>
    <t>Historical Data (Program Data - Prior Two Years)</t>
  </si>
  <si>
    <t>Annual Budget &amp; Actual Costs</t>
  </si>
  <si>
    <t>Number of Participants</t>
  </si>
  <si>
    <t>Budget</t>
  </si>
  <si>
    <t>Actual</t>
  </si>
  <si>
    <t>Plan</t>
  </si>
  <si>
    <t>Evaluated</t>
  </si>
  <si>
    <t>Regulatory</t>
  </si>
  <si>
    <t>Total Portfolio - Current Programs</t>
  </si>
  <si>
    <t xml:space="preserve">Note any changes made to a program in the primary reporting year that differ from the prior two years. </t>
  </si>
  <si>
    <t>Total Portfolio - Discontinued Programs</t>
  </si>
  <si>
    <t xml:space="preserve">Total Portfolio - Prior Two Years </t>
  </si>
  <si>
    <t>Historical Data (Portfolio Data - Prior Four Years)</t>
  </si>
  <si>
    <t>EE Portfolio</t>
  </si>
  <si>
    <t>Revenue and Sales</t>
  </si>
  <si>
    <t>Costs</t>
  </si>
  <si>
    <t>Revenue</t>
  </si>
  <si>
    <t>Glossary</t>
  </si>
  <si>
    <t>Term</t>
  </si>
  <si>
    <t>Definition</t>
  </si>
  <si>
    <t>Actual Expenditures</t>
  </si>
  <si>
    <t>Actual spending for a program/portfolio for the program year being reported.</t>
  </si>
  <si>
    <t>Annual Energy Savings</t>
  </si>
  <si>
    <t>Energy savings realized for a full year. (8,760 hours)</t>
  </si>
  <si>
    <t>Benefit Cost Ratio</t>
  </si>
  <si>
    <t>The ratio of the total benefits of the program to the total costs over the life of the measure discounted as appropriate.</t>
  </si>
  <si>
    <t>Customer Savings</t>
  </si>
  <si>
    <t>Savings that are derived from custom measures where deemed savings are not addressed in the currently approved TRM.</t>
  </si>
  <si>
    <t>A "book" estimate of the gross energy savings (kWh or therms) or gross demand savings (kW or therms) for a single unit of an installed EE measure that (a) has been developed from data sources and analytical methods that are widely considered acceptable for the measure and purpose and (b) is applicable to the set of measures undergoing evaluation.  This information is found in the TRM on the APSC website and is subject to updates effective for estimation of EE savings associated with measures installed since the beginning of the year in which the updated version is approved.  See Volume 2, Section 1.6.</t>
  </si>
  <si>
    <t>Demand</t>
  </si>
  <si>
    <t>The time rate of energy flow.  Demand usually refers to electric power measured in kW but can also refer to natural gas, usually as Btu/hr or therms/day, etc..  The level at which electricity or natural gas is delivered to users at a given point in time.</t>
  </si>
  <si>
    <t>Demand that did not occur due to the installation of an EE measure. (non-coincident peak)</t>
  </si>
  <si>
    <t>Energy Sales</t>
  </si>
  <si>
    <t>Energy sold by the utility in the calendar year.</t>
  </si>
  <si>
    <t>Energy Savings</t>
  </si>
  <si>
    <t>Energy use that did not occur due to the installation of an EE measure.</t>
  </si>
  <si>
    <t>Gross Savings</t>
  </si>
  <si>
    <t>The change in energy consumption and/or demand that results directly from program-related actions taken by participants in an efficiency program, regardless of why they participated.</t>
  </si>
  <si>
    <t>EE budget approved by the Commission for the program year being reported.  This would include any modifications to budgets approved by a specific Commission order.</t>
  </si>
  <si>
    <t>kW</t>
  </si>
  <si>
    <t>A Kilowatt is a measure of electric demand - 1000 watts.</t>
  </si>
  <si>
    <t>kWh</t>
  </si>
  <si>
    <t>The basic unit of electric energy usage over time.  One kWh is equal to one kW of power supplied to a circuit for a period of one hour.</t>
  </si>
  <si>
    <t>LCFC Energy Savings</t>
  </si>
  <si>
    <t>For the current Program Year, the sum of eligible net energy savings from (1) measures installed in prior Program Years (8,760 hours) and (2) measures installed in current Program Year as adjusted for time of installation, weather, etc. (less than 8,760 hours).  Clarification of item (1) above: The savings reported in the current year should only reflect the current year impact of measures installed in prior years but, should not include the savings claimed and reported in prior years.</t>
  </si>
  <si>
    <t>Lifetime</t>
  </si>
  <si>
    <t>The expected useful life, in years, that an installed measure will be in service and producing savings.</t>
  </si>
  <si>
    <t>The sum of the energy savings through the measure's useful life.</t>
  </si>
  <si>
    <t>Measures</t>
  </si>
  <si>
    <t>Specific technology or practice that produces energy and/or demand savings as a result of a ratepayer's participation in a Utility/TPA EE Program.</t>
  </si>
  <si>
    <t>Net Benefits</t>
  </si>
  <si>
    <t>The program benefits minus the program costs discounted at the appropriate rate.</t>
  </si>
  <si>
    <t>Net Savings</t>
  </si>
  <si>
    <t>The total change in load (energy or demand) that is attributable to an EE Program.  This change in load may include, implicitly or explicitly, the effects of free drivers, free riders, EE standards, changes in the level of energy service, and other causes of changes in energy consumption or demand.</t>
  </si>
  <si>
    <t>Net-to-Gross Ratio (NTGR)</t>
  </si>
  <si>
    <t>A factor representing net program savings divided by gross program savings that is applied to gross program impacts, converting them into net program load impacts.</t>
  </si>
  <si>
    <t>Savings for which no deemed savings exist and no custom M&amp;V was performed.</t>
  </si>
  <si>
    <t>Participant Cost Test (PCT)</t>
  </si>
  <si>
    <t>A cost-effectiveness test that measures the economic impact to the participating customer of adopting an EE measure.</t>
  </si>
  <si>
    <t>Participant</t>
  </si>
  <si>
    <t>A consumer that received a service offered through the subject efficiency program, in a given Program Year.  The term "service" is used in this definition to suggest that the service can be a wide variety of services, including financial rebates, technical assistance, product installations, training, EE information or other services, items, or conditions.  Each evaluation plan should define "participant" as it applies to the specific evaluation and in accordance with the C&amp;EE Rules and/or State law.</t>
  </si>
  <si>
    <t>Plan Savings</t>
  </si>
  <si>
    <t>Annual energy savings budgeted by the utility for the Program Year.</t>
  </si>
  <si>
    <t>Portfolio</t>
  </si>
  <si>
    <t>Either (a) a collection of similar programs addressing the same market (e.g., a portfolio of residential programs), technology (e.g., motor-efficiency programs), or mechanisms (e.g., loan programs) or (b) the set of all programs conducted by one organization, such as a utility (and which could include programs that cover multiple markets, technologies, etc..).</t>
  </si>
  <si>
    <t>Program Administrator Cost (PAC) Test</t>
  </si>
  <si>
    <t>The Program Administrator Cost Test measures the net costs of a demand-side management program as a resource option based on the costs incurred by the program administrator (including incentives costs) and excluding any net costs incurred by the participant.</t>
  </si>
  <si>
    <t>The Year in which programs are administered and delivered, for the purposes of planning and reporting, a Program Year shall be considered a calendar year, January 1 - December 31.</t>
  </si>
  <si>
    <t>Program</t>
  </si>
  <si>
    <t>A group of projects, with similar characteristics and installed in similar applications.  Examples could include a utility program to install energy-efficiency lighting in commercial buildings, a developer's program to build a subdivision of homes that have photovoltaic systems, or a state residential EE code program.</t>
  </si>
  <si>
    <t>Ratepayer Impact Measure (RIM) Test</t>
  </si>
  <si>
    <t>The Ratepayer Impact Measure test measures what happens to customer bills or rates due to changes in utility revenues and operating costs caused by the program.</t>
  </si>
  <si>
    <r>
      <t xml:space="preserve">EE Budget the utility used for the program year being reported.  This budget may be different from the </t>
    </r>
    <r>
      <rPr>
        <sz val="10"/>
        <rFont val="Calibri"/>
        <family val="2"/>
      </rPr>
      <t>Initial Budget</t>
    </r>
    <r>
      <rPr>
        <sz val="10"/>
        <color indexed="8"/>
        <rFont val="Calibri"/>
        <family val="2"/>
      </rPr>
      <t>, if the Commission has granted the utility the flexibility to modify its program budgets.</t>
    </r>
  </si>
  <si>
    <t>Sales as Adjusted for SD Exemptions</t>
  </si>
  <si>
    <t>The utility's 2010 Annual Energy Sales minus the 2010 Annual Energy Sales of the customers granted self-direct exemptions by Commission Order.</t>
  </si>
  <si>
    <t>Total Resource Cost (TRC) Test</t>
  </si>
  <si>
    <t>The Total Resource Cost Test measures the net costs of a demand-side management program as a resource option based on the total costs of the program, including both the participants' and the utility's costs.</t>
  </si>
  <si>
    <t xml:space="preserve">The total costs of the program to the utility and its ratepayers on a per kWh or per them basis levelized over the life of the program. </t>
  </si>
  <si>
    <t>Program-Type Definitions</t>
  </si>
  <si>
    <t>Audit - C&amp;I</t>
  </si>
  <si>
    <t>Programs in which an energy assessment is performed on one or more participant commercial or industrial facilities to identify sources of potential energy waste and measures to reduce that waste.</t>
  </si>
  <si>
    <t>Residential programs designed around directly influencing household habits and decision-making on energy consumption through numerical or graphical feedback on consumption, sometimes accompanied by tips on saving energy. These programs include behavioral feedback programs (in which energy usage reports compare a consumer's household energy usage with those of similar consumers); online audits that are completed by the consumer; and in-home displays that help consumers assess their usage in real time. These programs do not include on-site energy assessments or audits.</t>
  </si>
  <si>
    <t>Consumer Product Rebate</t>
  </si>
  <si>
    <t>Programs that incentivize the sale, purchase and installation of energy efficient measures/equipment and or devices (e.g., refrigerators, dishwashers, clothes washers, dryers, electronics, lighting, lighting fixtures, lighting controls, etc.) that are more efficient than those meeting minimum energy performance standards.  All rebate/incentive delivery channels are included (Coupon, upstream retail, upstream manufacturing, web based, point of sale, etc.). Further, these programs typically do not include the local participating contractor (HVAC, Insulation, Auditing, etc.) for installation or incentives/rebates.</t>
  </si>
  <si>
    <t>Programs designed around the delivery of site-specific projects typically characterized by an extensive onsite energy assessment and identification and installation of multiple measures unique to that facility. These measures are likely to vary significantly from site to site</t>
  </si>
  <si>
    <t>Demand Response</t>
  </si>
  <si>
    <t>Demand response programs</t>
  </si>
  <si>
    <t>Financing</t>
  </si>
  <si>
    <t>Residential - Financing programs for residential projects.  As with other programs, costs here are utility costs, including the costs of any inducements for lenders, e.g., loan loss reserves, interest rate buy downs, etc.
C&amp;I - Projects designed to increase loan financing for C&amp;I energy efficiency projects. As with other programs, program costs here are any costs paid by the PA out of utility-customer funds, including, e.g., loan loss reserves or other credit enhancements, interest rate buy downs, etc., -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</si>
  <si>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Multi-family and mobile homes programs are designed to encourage the installation of energy efficient measures in common areas, units or both for residential structures of more than four units. These programs may be aimed at building owners/managers, tenants or both. This program may include rebate, direct install and auditing incentives/services.</t>
  </si>
  <si>
    <t>New Construction</t>
  </si>
  <si>
    <t>Residential - Programs that provide incentives and possibly technical services to ensure new homes are built or manufactured to energy performance standards higher than applicable code, e.g., ENERGY STAR Homes. These programs include new multi-family and new/replacement mobile homes.
C&amp;I - Programs that incentivize owners or builders of new commercial or industrial facilities to design and build beyond current code or to a certain certification level, e.g., ENERGY STAR or LEED.</t>
  </si>
  <si>
    <t>Programs not captured by any of the specific Residential, Industrial or Commercial categories but are sufficiently detailed or distinct to not be treated as a "general" program. Example: An EE program aimed specifically at the commercial subsector but is not clearly prescriptive or custom in nature might be classified as C&amp;I: Other.</t>
  </si>
  <si>
    <t>Prescriptive/Standard Offer</t>
  </si>
  <si>
    <t>Prescriptive programs that encourage the purchase and installation of some or all of a specified set of pre-approved measures.</t>
  </si>
  <si>
    <t>Measure/Technology Focus</t>
  </si>
  <si>
    <t>Residential Programs that focus on specific a technology or a limited technology that require additional verification, quality control and/or includes specific design engineering prior to installation. Such programs can include water heating programs, pool pumps, HVAC "right sizing" replace on burn out or retrofit. Like the Consumer Product rebate program the Measure/Technology focus program must exceed standards in Arkansas. Unlike the Consumer Product programs these programs will usually require the recruitment and training of installation contractors and reporting from installation contractors followed by quality control practices.</t>
  </si>
  <si>
    <t>Whole Home</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</si>
  <si>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 and completed outside this program.</t>
  </si>
  <si>
    <t>Definitions - Participants</t>
  </si>
  <si>
    <t>Accounts</t>
  </si>
  <si>
    <t>The number of individually metered accounts. A participating customer may have more than one account.</t>
  </si>
  <si>
    <t xml:space="preserve">The number of specific end-users identified by a unique customer identifier. A single customer may have one or more accounts. </t>
  </si>
  <si>
    <t>The specific number of units of energy efficiency equipment installed through the program.</t>
  </si>
  <si>
    <t>Homes</t>
  </si>
  <si>
    <t>The number of residences where assessments were conducted and/or energy efficiency measure(s) installed.</t>
  </si>
  <si>
    <t xml:space="preserve">The number of energy efficiency units installed or performed through the program. </t>
  </si>
  <si>
    <t>Population</t>
  </si>
  <si>
    <t xml:space="preserve">Available number of customers within a specific class code, i.e., Residential, Commercial, etc. If the population refers to the Commercial and Industrial sectors, it may need to be reduced by the number of approved self-direct customers. </t>
  </si>
  <si>
    <t>Projects</t>
  </si>
  <si>
    <t>The number of jobs identified by a unique project identifier. A project may include a single measure or a group of measures.</t>
  </si>
  <si>
    <t>Program Definitions - Residential</t>
  </si>
  <si>
    <t>Consumer Product Rebate/Appliances</t>
  </si>
  <si>
    <t>Programs that incentivize the sale, purchase and installation of appliances (e.g., refrigerators, dishwashers, clothes washers and dryers) that are more efficient than those meeting minimum energy performance standards. Appliance recycling and the sale/purchase/installation of HVAC equipment, water heaters and consumer electronics are accounted for separately.</t>
  </si>
  <si>
    <t>Consumer Product Rebate/Electronics</t>
  </si>
  <si>
    <t xml:space="preserve">Programs that encourage the availability and purchase/lease of more efficient personal and household electronic devices, including but not limited to televisions, set-top boxes, game consoles, advanced power strips, cordless telephones, PCs and peripherals specifically for home use, chargers for phones/smart phones/tablets.  </t>
  </si>
  <si>
    <t>Consumer Product Rebate/Lighting</t>
  </si>
  <si>
    <t>Programs aimed specifically at encouraging the sale/purchase and installation of more efficient lighting in the home. These programs range widely from point-of-sale rebates to CFL mailings or giveaways. Measures tend to be CFLs, fluorescent fixtures, LED lamps, LED fixtures, LED holiday lights and lighting controls, including occupancy monitors/switches.</t>
  </si>
  <si>
    <t>Consumer Product Rebate/Appliance Recycling</t>
  </si>
  <si>
    <t>Programs designed to remove less efficient appliances (typically refrigerators and freezers) from households.</t>
  </si>
  <si>
    <t>Demand Response - Load Control</t>
  </si>
  <si>
    <t>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t>
  </si>
  <si>
    <t>Demand Response - Price/Time Base</t>
  </si>
  <si>
    <t xml:space="preserve">A)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b)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</si>
  <si>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Financing programs for residential projects. Costs here are utility costs, including the costs of any inducements for lenders, e.g., loan loss reserves, interest rate buy downs, etc.</t>
  </si>
  <si>
    <t>Manufactured programs are designed to encourage the installation of energy efficient measures in manufactured homes.</t>
  </si>
  <si>
    <t>Measure/Technology Focus - HVAC/Furnace</t>
  </si>
  <si>
    <t>Programs designed to encourage the distribution, sale/purchase, proper sizing and installation of HVAC systems that are more efficient than current standards. Programs tend to support activities that focus on central air conditioners, air source heat pumps, ground source heat pumps, and ductless systems that are more efficient than current energy performance standards, as well as climate controls and the promotion of quality installation and quality maintenance.</t>
  </si>
  <si>
    <t>Measure/Technology Focus - Insulation</t>
  </si>
  <si>
    <t>Programs designed to encourage the sale/purchase and installation of insulation in residential structures, often through per-square-foot incentives for insulation of specific R­ values versus existing baseline. Programs may be point-of-sale rebates or rebates to insulation installation contractors.</t>
  </si>
  <si>
    <t>Measure/Technology Focus - Pool Pumps</t>
  </si>
  <si>
    <t>Programs that incentivize the installation of higher efficiency or variable speed pumps and controls, such as timers, for swimming pools.</t>
  </si>
  <si>
    <t>Measure/Technology Focus - Water Heater</t>
  </si>
  <si>
    <t>Programs designed to encourage the distribution, sale/purchase and installation of electric and gas water-heating systems that are more efficient than current standards, including high efficiency water storage tank and tankless systems.</t>
  </si>
  <si>
    <t>Measure/Technology Focus - Windows</t>
  </si>
  <si>
    <t>Programs designed to encourage the sale/purchase and installation of efficient windows in residential structures.</t>
  </si>
  <si>
    <t>Multi-Family</t>
  </si>
  <si>
    <t>Multi-family programs are designed to encourage the installation of energy efficient measures in common areas, units or both for residential structures of more than four units. These programs may be aimed at building owners/managers, tenants or both.</t>
  </si>
  <si>
    <t>All residential programs not specifically captured in the other residential program categorizations.</t>
  </si>
  <si>
    <t>Whole Home/Audits</t>
  </si>
  <si>
    <t>Residential audit programs provide a comprehensive, standalone assessment of a home's energy consumption and identification of opportunities to save energy. The scope of the audit includes the whole home although the thoroughness and completeness of the audit may vary widely from a modest examination and simple engineering-based modeling of the physical structure to a highly detailed inspection of all spaces, testing for air leakage/exchange rates, testing for HVAC duct leakage and highly resolved modeling of the physical structure with benchmarking to customer utility bills.</t>
  </si>
  <si>
    <t>Whole Home/Direct Install</t>
  </si>
  <si>
    <t>Direct-install programs provide a set of pre-approved measures that may be installed at the time of a visit to the customer premises or provided as a kit to the consumer, usually at modest or no cost to the consumer and sometimes accompanied by a rebate.  Typical measures include CFLs, low-flow showerheads, faucet aerators, water-heater wrap and weather stripping. Such programs also may include a basic, walk-through energy assessment or audit, but the savings are principally derived from the installation of the provided measures.</t>
  </si>
  <si>
    <t>Whole Home/Retrofit</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</si>
  <si>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t>
  </si>
  <si>
    <t>Program Definitions - Commercial &amp; Industrial</t>
  </si>
  <si>
    <t>Programs designed around delivery of site-specific projects typically characterized by an extensive onsite energy assessment and identification and installation of multiple measures unique to that facility.  These measures may vary significantly from site to site.  This category is intended to capture "whole-building" approaches to commercial sector efficiency opportunities for a wide range of building types and markets (e.g., office, retail) and wide range of measures.</t>
  </si>
  <si>
    <t>Farm- and orchard-based agricultural programs that primarily involve irrigation pumping and do not include agricultural refrigeration or processing at scale.</t>
  </si>
  <si>
    <t>Data center programs are custom-designed around large-scale server floors or farms that often serve high-tech, banking or academia. Projects tend to be site­ specific and involve some combination of lighting, servers, networking devices, cooling/chillers, and energy management systems/software. Several of these may be of experimental or proprietary design.</t>
  </si>
  <si>
    <t>Industrial programs deliver  custom-designed  projects that are characterized by an onsite energy and process efficiency assessment and a site-specific measure set that may include, for example, substantial changes in a manufacturing line. This category includes all EE program work at industrial sites that is not otherwise covered by the single-measure prescriptive programs below,e.g., lighting, HVAC, water heaters. This category therefore includes, but is not limited to, all industrial and agricultural process efficiency, all non-single measure efficiency activities inside and on industrial buildings.</t>
  </si>
  <si>
    <t>Warehouse programs are aimed at large-scale refrigerated storage. Typical end uses are lighting, climate controls and refrigeration systems.</t>
  </si>
  <si>
    <t xml:space="preserve">a) Direct Load Control: 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
b) Demand Response Program: A demand response program that provides incentive payments to customers for load reductions achieved during an Emergency Demand Response Event.
c)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t>
  </si>
  <si>
    <t>Demand Response - Price/Time Base Response</t>
  </si>
  <si>
    <t xml:space="preserve">a) Critical Peak Pricing: Demand-side management that combines direct load control with a pre-specified high price for use during designated critical peak periods, triggered by system contingencies or high wholesale market prices.
b) Critical Peak Pricing with Load Control: Demand-side management that combines direct load control with a pre-specified high price for use during designated critical peak periods, triggered by system contingencies or high wholesale market prices.
c) Peak Time Rebate: Peak time rebates allow customers to earn a rebate by reducing energy use from a baseline during a specified number of hours on critical peak days. Like Critical Peak Pricing, the number of critical peak days is usually capped for a calendar year and is linked to conditions such as system reliability concerns or very high supply prices.
d) Real time pricing: Demand-side management that uses rate and price structure in which the retail price for electricity typically fluctuates hourly or more often, to reflect changes in the wholesale price of electricity on either a day-ahead or hour-ahead basis.
e)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</si>
  <si>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Programs designed to increase loan financing for C&amp;I energy efficiency projects. As with other programs, program costs here are any costs paid by the PA out of utility-customer funds, including, e.g., loan loss reserves or other credit enhancements, interest rate  buy downs, etc.,-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</si>
  <si>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MUSH (Municipal, University, School &amp; Hospital) and government and non-profit programs cover a broad swath of program types generally aimed at public and institutional facilities. Examples include incentives and/or technical assistance to promote energy efficiency upgrades for elementary schools, recreation halls and homeless shelters. Street lighting is accounted for separately.</t>
  </si>
  <si>
    <t>Programs not captured by any of the specific C&amp;I categories but are sufficiently detailed or distinct to not be treated as a "general" program. Ex ample: An EE program aimed specifically at the C&amp;I subsector but is not clearly prescriptive or custom in nature might be classified as C&amp;I: Other.</t>
  </si>
  <si>
    <t>Grocery programs are prescriptive programs aimed at supermarkets and are designed around indoor and outdoor lighting and refrigerated display cases.</t>
  </si>
  <si>
    <t>C&amp;I HVAC programs encourage the sale/purchase and installation of heating, cooling and chiller systems at higher efficiency than current energy performance standards, across a broad range of unit sizes and configurations. Most of these programs will be directed toward commercial structures.</t>
  </si>
  <si>
    <t>Programs aimed at improving the efficiency of office equipment, chiefly commercially available PCs, printers, monitors, networking devices and mainframes not rising to the scale of a server farm or floor.</t>
  </si>
  <si>
    <t>Prescriptive programs that encourage the purchase and installation of some or all of a specified set of pre-approved industrial measures besides those covered in other measure-specific prescriptive programs.</t>
  </si>
  <si>
    <t>C&amp;I lighting programs incentivize the installation of higher efficiency lighting and controls, compared to the existing baseline. Most of these programs will be directed toward commercial structures. Typical measures might include T-8/T-5 fluorescent lamps and fixtures; CFLs and fixtures; LEDs for lighting, displays, signs and refrigerated lighting; metal halide and ceramic lamps and fixtures; occupancy controls; daylight dimming; and timers.</t>
  </si>
  <si>
    <t>Motors programs usually offer a prescribed set of approved higher efficiency motors, with industrial motors programs typically getting the largest savings from larger, high powered motors (&gt;200 hp).</t>
  </si>
  <si>
    <t>Prescriptive programs applied to small commercial facilities. (See definition of prescriptive programs for additional detail.) Such programs may range from a walk-through audit and direct installation of a few pre-approved measures to a fuller audit and a fuller package of measures.</t>
  </si>
  <si>
    <t>Street lighting programs include incentives and/or technical support for the installation of higher efficiency street lighting and traffic lights than current baseline.</t>
  </si>
  <si>
    <t>Program Definitions - Cross Sector</t>
  </si>
  <si>
    <t>In C&amp;S programs, the PA may engage in a variety of activities designed to advance the adoption, application or compliance level of building codes and end-use energy performance standards. Examples might include advocacy at the state or federal level for higher standards for HVAC equipment; training of architects, engineers and builder/developers on compliance; and training of building inspectors in ensuring the codes are met.</t>
  </si>
  <si>
    <t>Market transformation programs include programs aimed primarily at reducing market barriers to the adoption of more efficient goods and services rather than acquiring energy savings, per se. MT programs are gauged by their market effects, e.g., increased awareness of energy efficient technologies among customers and suppliers; reduced prices for more efficient models; increased availability of more efficient models; and ultimately, increased market share for energy efficient goods, services and design practices.  Example programs might include upstream incentives to manufacturers to make more efficient goods more commercially available; and point-of-sale or installation incentives for emerging technologies that are not yet cost effective. Workforce training and development programs are covered by a separate category. Upstream incentives for commercially available goods are sorted into the program categories for those goods, e.g., consumer electronics or HVAC.</t>
  </si>
  <si>
    <t xml:space="preserve">ME&amp;O programs include most standalone marketing, education and outreach programs, e.g., development and delivery of in-school energy and water efficiency curricula; and statewide marketing, outreach and brand development. </t>
  </si>
  <si>
    <t>Multi-sector rebate programs include providing incentives for commercially available end-use goods for multiple sectors, e.g., PCs, HVAC.</t>
  </si>
  <si>
    <t>This category is intended to capture all programs that cannot be allocated to a specific sector (or are multi-sectoral) and cannot be allocated to a specific program type.</t>
  </si>
  <si>
    <t>Research</t>
  </si>
  <si>
    <t>These programs are aimed generally at helping the PA identify new opportunities for energy savings, e.g., research on emerging technologies or conservation strategies. Research conducted on new program types or the inclusion of new, commercially available measures in an existing program are accounted for separately under cross-cutting program support.</t>
  </si>
  <si>
    <t>Shading/reflective programs include programs designed to lessen heating and cooling loads through generally changes to the exterior of a structure, e.g., tree plantings to shade walls and windows ,window screens and cool/reflective roofs. These programs are not necessarily specific to a sector.</t>
  </si>
  <si>
    <t>Programs that support investments in pre-meter system savings, typically by the program administrator. The most common form of these programs are voltage regulation programs that reduce voltage (within reliability parameters) during select time periods. Other measures may include purchase of higher efficiency transformers.</t>
  </si>
  <si>
    <t>Workforce training and development programs are a distinct category of market transformation program designed to provide the underlying skills and labor base for deployment of energy-efficiency measures.</t>
  </si>
  <si>
    <t>Program Cost Type</t>
  </si>
  <si>
    <t>Planning / Design</t>
  </si>
  <si>
    <t>Marketing &amp; Delivery</t>
  </si>
  <si>
    <t>Program planning cost</t>
  </si>
  <si>
    <t>Advertising costs including, but not limited to, educational/promotional</t>
  </si>
  <si>
    <t>Program design cost</t>
  </si>
  <si>
    <t>materials, website development and updates</t>
  </si>
  <si>
    <t>Research and development cost</t>
  </si>
  <si>
    <t>TV/Radio ads</t>
  </si>
  <si>
    <t>Request for proposal preparation and evaluation</t>
  </si>
  <si>
    <t>Payment to AEO for EEA program</t>
  </si>
  <si>
    <t>Consultants used for program design and planning</t>
  </si>
  <si>
    <t>Commercial and Industrial energy audits</t>
  </si>
  <si>
    <t>Company employee costs relating to program design, planning and</t>
  </si>
  <si>
    <t>Personnel costs for performing marketing and delivery functions</t>
  </si>
  <si>
    <t xml:space="preserve"> research and development</t>
  </si>
  <si>
    <t>Costs of processing rebates</t>
  </si>
  <si>
    <t>Database development/update costs</t>
  </si>
  <si>
    <t>Trade ally training events</t>
  </si>
  <si>
    <t>Incentives / Direct Install Costs</t>
  </si>
  <si>
    <t>Costs to support other EE related events and organizations</t>
  </si>
  <si>
    <t>Rebates</t>
  </si>
  <si>
    <t>Measurement and Verification costs as related to direct program/project/measure</t>
  </si>
  <si>
    <t>Water conservation kits</t>
  </si>
  <si>
    <t>costs to validate savings within the utility program (i.e. customer projects) and</t>
  </si>
  <si>
    <t>Interruptible credits or payments</t>
  </si>
  <si>
    <t>outside of independent EM&amp;V</t>
  </si>
  <si>
    <t>Payments to contractors for weatherization services</t>
  </si>
  <si>
    <t>Direct install costs for all programs with direct install provisions</t>
  </si>
  <si>
    <t>EM&amp;V</t>
  </si>
  <si>
    <t>Coupons and upstream program incentives</t>
  </si>
  <si>
    <t>Payments to consultants for preparation/update of Deemed Savings and</t>
  </si>
  <si>
    <t>Residential energy audits</t>
  </si>
  <si>
    <t>Technical Reference Manual</t>
  </si>
  <si>
    <t>Consultants costs for IEM and independent third party evaluations</t>
  </si>
  <si>
    <t>Administration</t>
  </si>
  <si>
    <t>Utility company personnel training costs</t>
  </si>
  <si>
    <t>Outside counsel legal fees for EE dockets</t>
  </si>
  <si>
    <t>Utility company EE personnel salary and benefits not charged elsewhere</t>
  </si>
  <si>
    <t>Travel costs related to EE dockets</t>
  </si>
  <si>
    <t>Overhead costs (office space, vehicles, etc.)</t>
  </si>
  <si>
    <t xml:space="preserve">Costs for preparing annual reports and EECR filings, including costs related to </t>
  </si>
  <si>
    <t>performing the required cost effectiveness tests</t>
  </si>
  <si>
    <t>Costs related to regulatory specific collaborative meetings and events</t>
  </si>
  <si>
    <t>Target Sectors and Program-Type Name</t>
  </si>
  <si>
    <t>Order</t>
  </si>
  <si>
    <t>Participant List</t>
  </si>
  <si>
    <t>******Single-Class******</t>
  </si>
  <si>
    <t>Direct Install</t>
  </si>
  <si>
    <t>Small Business</t>
  </si>
  <si>
    <t>Retail Outlets</t>
  </si>
  <si>
    <t>Self-Install</t>
  </si>
  <si>
    <t>Municipalities/Schools</t>
  </si>
  <si>
    <t>Agriculture</t>
  </si>
  <si>
    <t>Trade Ally</t>
  </si>
  <si>
    <t>Utility Outreach (email/direct mail)</t>
  </si>
  <si>
    <t>******Multi-Class******</t>
  </si>
  <si>
    <t>Website</t>
  </si>
  <si>
    <t>Res/Small Business</t>
  </si>
  <si>
    <t>Res/C&amp;I</t>
  </si>
  <si>
    <t>Small Business/C&amp;I</t>
  </si>
  <si>
    <t>Portfolio Information</t>
  </si>
  <si>
    <t>Sector</t>
  </si>
  <si>
    <t>Type</t>
  </si>
  <si>
    <t>Channel</t>
  </si>
  <si>
    <t>-</t>
  </si>
  <si>
    <t>Program Year Evaluation</t>
  </si>
  <si>
    <t>Lifetime Savings</t>
  </si>
  <si>
    <t>TRC Total Cost</t>
  </si>
  <si>
    <t>TRC Total Benefits</t>
  </si>
  <si>
    <t>TRC Net Benefits</t>
  </si>
  <si>
    <t>TRC Ratio</t>
  </si>
  <si>
    <t>History</t>
  </si>
  <si>
    <t>Savings Energy</t>
  </si>
  <si>
    <t>Savings Demand</t>
  </si>
  <si>
    <t xml:space="preserve">Budget </t>
  </si>
  <si>
    <t>Group</t>
  </si>
  <si>
    <t>Rank</t>
  </si>
  <si>
    <t>Table 1</t>
  </si>
  <si>
    <t>Energy</t>
  </si>
  <si>
    <t>TRC Net $</t>
  </si>
  <si>
    <t>PAC Ratio</t>
  </si>
  <si>
    <t>Target</t>
  </si>
  <si>
    <t>Achieved</t>
  </si>
  <si>
    <t>% Achieved</t>
  </si>
  <si>
    <t>Table 2</t>
  </si>
  <si>
    <t>Table 3</t>
  </si>
  <si>
    <t>Table 4</t>
  </si>
  <si>
    <t>Year</t>
  </si>
  <si>
    <t>Sales</t>
  </si>
  <si>
    <t>EE Budget</t>
  </si>
  <si>
    <t>EE Expense</t>
  </si>
  <si>
    <t>Report 1</t>
  </si>
  <si>
    <t>Benefits</t>
  </si>
  <si>
    <t>Report 2</t>
  </si>
  <si>
    <t>Net</t>
  </si>
  <si>
    <t>Value</t>
  </si>
  <si>
    <t>Cost-Effectiveness</t>
  </si>
  <si>
    <t>Goal Achievement</t>
  </si>
  <si>
    <t>Actual 
Expenditures</t>
  </si>
  <si>
    <t>Performance 
Incentives</t>
  </si>
  <si>
    <t>TRC 
Net Benefits</t>
  </si>
  <si>
    <t>TRC
Ratio</t>
  </si>
  <si>
    <t>PAC
Ratio</t>
  </si>
  <si>
    <t>Commission 
Established 
Target</t>
  </si>
  <si>
    <t>Actual 
Savings 
Achieved</t>
  </si>
  <si>
    <t>% of 
Target 
Achieved</t>
  </si>
  <si>
    <t>(NPV)</t>
  </si>
  <si>
    <t>% of Baseline</t>
  </si>
  <si>
    <t>(%)</t>
  </si>
  <si>
    <t>Work Book is Incomplete 
- Click Here For Details-</t>
  </si>
  <si>
    <t>% of 
Budget</t>
  </si>
  <si>
    <t>($)</t>
  </si>
  <si>
    <t>EE Portfolio Expenditure Summary by Cost Type</t>
  </si>
  <si>
    <t>% of</t>
  </si>
  <si>
    <t>Cost Type</t>
  </si>
  <si>
    <t>Revenue and Expenditures</t>
  </si>
  <si>
    <r>
      <t xml:space="preserve">Total Revenue
</t>
    </r>
    <r>
      <rPr>
        <sz val="10"/>
        <rFont val="Calibri"/>
        <family val="2"/>
      </rPr>
      <t>(a)</t>
    </r>
  </si>
  <si>
    <r>
      <t xml:space="preserve">Total Annual Energy Sales
</t>
    </r>
    <r>
      <rPr>
        <sz val="10"/>
        <rFont val="Calibri"/>
        <family val="2"/>
      </rPr>
      <t>(d)</t>
    </r>
  </si>
  <si>
    <r>
      <t xml:space="preserve">Portfolio Budget
</t>
    </r>
    <r>
      <rPr>
        <sz val="10"/>
        <rFont val="Calibri"/>
        <family val="2"/>
      </rPr>
      <t>(b)</t>
    </r>
  </si>
  <si>
    <t>% of Revenue</t>
  </si>
  <si>
    <r>
      <t xml:space="preserve">Portfolio Spending
</t>
    </r>
    <r>
      <rPr>
        <sz val="10"/>
        <rFont val="Calibri"/>
        <family val="2"/>
      </rPr>
      <t>(c)</t>
    </r>
  </si>
  <si>
    <r>
      <t xml:space="preserve">Net Annual Savings
</t>
    </r>
    <r>
      <rPr>
        <sz val="10"/>
        <rFont val="Calibri"/>
        <family val="2"/>
      </rPr>
      <t>(e)</t>
    </r>
  </si>
  <si>
    <t>% of Energy Sales</t>
  </si>
  <si>
    <r>
      <t xml:space="preserve">Net Annual Savings
</t>
    </r>
    <r>
      <rPr>
        <sz val="10"/>
        <rFont val="Calibri"/>
        <family val="2"/>
      </rPr>
      <t>(f)</t>
    </r>
  </si>
  <si>
    <t>(%=b/a)</t>
  </si>
  <si>
    <t>(%=c/a)</t>
  </si>
  <si>
    <t>(%=e/d)</t>
  </si>
  <si>
    <t>(%=f/d)</t>
  </si>
  <si>
    <t>Table 5</t>
  </si>
  <si>
    <t>Select program from dropdown menu to view details.</t>
  </si>
  <si>
    <t>Expenditures</t>
  </si>
  <si>
    <t>%</t>
  </si>
  <si>
    <t>TOTAL:</t>
  </si>
  <si>
    <t>TOTAL</t>
  </si>
  <si>
    <t>Select the Data to be Displayed in Chart</t>
  </si>
  <si>
    <t>Savings (Therms)</t>
  </si>
  <si>
    <t>Actual Expense</t>
  </si>
  <si>
    <t>Report 3</t>
  </si>
  <si>
    <t>Level of Adoption of NAPEE "Best Practices" (Issue #8)</t>
  </si>
  <si>
    <t>Item #</t>
  </si>
  <si>
    <t>1a.</t>
  </si>
  <si>
    <t>1b.</t>
  </si>
  <si>
    <t>1c.</t>
  </si>
  <si>
    <t>2a.</t>
  </si>
  <si>
    <t>2b.</t>
  </si>
  <si>
    <t>3a.</t>
  </si>
  <si>
    <t>FTEs</t>
  </si>
  <si>
    <t>FTEs / $1M of EE Spending</t>
  </si>
  <si>
    <t>Training Sessions Attended</t>
  </si>
  <si>
    <t>Training Sessions Man-Hours</t>
  </si>
  <si>
    <t>EE Total Portfolio Expenditures
(A)</t>
  </si>
  <si>
    <t>Planning &amp; Design
(B)</t>
  </si>
  <si>
    <t>As % of Total Portfolio Expenditures</t>
  </si>
  <si>
    <t>Implementa-
tion
(C)
(C=A-B-D)</t>
  </si>
  <si>
    <t>EM&amp;V
(D)</t>
  </si>
  <si>
    <t>(%=B/A)</t>
  </si>
  <si>
    <t>(%=C/A)</t>
  </si>
  <si>
    <t>(%=D/A)</t>
  </si>
  <si>
    <t>Index to Docket No. 10-010-U Issue #8 Items</t>
  </si>
  <si>
    <t>Description</t>
  </si>
  <si>
    <t>Where Available?</t>
  </si>
  <si>
    <t>Program Staffing and Training Requirements</t>
  </si>
  <si>
    <t>Above</t>
  </si>
  <si>
    <t>DSM Program Design &amp; Implementation</t>
  </si>
  <si>
    <t>DSM Program Evaluation</t>
  </si>
  <si>
    <t>Estimation of DSM Resource Potential</t>
  </si>
  <si>
    <t>Narrative Section 1.0</t>
  </si>
  <si>
    <t>Shareholder Incentives for Program Performance</t>
  </si>
  <si>
    <t>Incentives Section</t>
  </si>
  <si>
    <t>Resource Planning with Energy Efficiency</t>
  </si>
  <si>
    <t>Utility Best Practices Guidance for Providing Business Customers with Energy Use Cost Data</t>
  </si>
  <si>
    <t>Narrative Section 3.3</t>
  </si>
  <si>
    <t>Customer Incentives for Energy Efficiency Through Electric and Natural Gas Rate Design</t>
  </si>
  <si>
    <t>Expenses</t>
  </si>
  <si>
    <t>Total Cost</t>
  </si>
  <si>
    <t>Levelized cost</t>
  </si>
  <si>
    <t>Historical Data (Next Annual Report)</t>
  </si>
  <si>
    <t>Annual Budget &amp; Actual Cost</t>
  </si>
  <si>
    <t>Tab</t>
  </si>
  <si>
    <t>Title 1</t>
  </si>
  <si>
    <t>Title 2</t>
  </si>
  <si>
    <t>Not Used</t>
  </si>
  <si>
    <t>Title 3</t>
  </si>
  <si>
    <t>Title 4</t>
  </si>
  <si>
    <t>Title 5</t>
  </si>
  <si>
    <t>Energy 1</t>
  </si>
  <si>
    <t>Energy 2</t>
  </si>
  <si>
    <t>Lost Contributions to Fixed Cost</t>
  </si>
  <si>
    <t>Demand 1</t>
  </si>
  <si>
    <t>Utility Performance Incentives</t>
  </si>
  <si>
    <t>Demand 2</t>
  </si>
  <si>
    <t>Utilities</t>
  </si>
  <si>
    <t>Electric</t>
  </si>
  <si>
    <t>MWh</t>
  </si>
  <si>
    <t>Therms</t>
  </si>
  <si>
    <t>MW</t>
  </si>
  <si>
    <t>Empty List</t>
  </si>
  <si>
    <t>Status Report</t>
  </si>
  <si>
    <t>Cells Incomplete</t>
  </si>
  <si>
    <t>Status</t>
  </si>
  <si>
    <t>Report 4</t>
  </si>
  <si>
    <t>Errors:</t>
  </si>
  <si>
    <t>Baseline Year</t>
  </si>
  <si>
    <t>Docket No.</t>
  </si>
  <si>
    <t>Order No.</t>
  </si>
  <si>
    <t>08-137-U</t>
  </si>
  <si>
    <t>13-002-U</t>
  </si>
  <si>
    <t>20xx</t>
  </si>
  <si>
    <t>$9.94 / per 1000 gallons</t>
  </si>
  <si>
    <t>Per the AR TRM v9.1</t>
  </si>
  <si>
    <t>n/a</t>
  </si>
  <si>
    <t>Income Qualified Program</t>
  </si>
  <si>
    <t>no longer a program in 2024</t>
  </si>
  <si>
    <t>Budget did not change</t>
  </si>
  <si>
    <t>5/2-5/3/2024</t>
  </si>
  <si>
    <t>Building Analyst-Technician</t>
  </si>
  <si>
    <t>Class room field training-virtual- Mark</t>
  </si>
  <si>
    <t>Virtual</t>
  </si>
  <si>
    <t>5/6,7,8/2024</t>
  </si>
  <si>
    <t>Building Analyst Technician</t>
  </si>
  <si>
    <t>BAT Field Training</t>
  </si>
  <si>
    <t>Field House</t>
  </si>
  <si>
    <t>5/8,9,10,13/2024</t>
  </si>
  <si>
    <t>BAT Procturing</t>
  </si>
  <si>
    <t>5/29,30/2024</t>
  </si>
  <si>
    <t>Building Analyst-Professional</t>
  </si>
  <si>
    <t>BAP Classroom Training</t>
  </si>
  <si>
    <t>BAP Exam</t>
  </si>
  <si>
    <t xml:space="preserve">Exam </t>
  </si>
  <si>
    <t>BHEA Office</t>
  </si>
  <si>
    <t>Oct-24,25/2024</t>
  </si>
  <si>
    <t>Oct-28,29,30/2024</t>
  </si>
  <si>
    <t>Oct 30,31/24- Nov1,4/2024</t>
  </si>
  <si>
    <t>Nov. 14,15/2024</t>
  </si>
  <si>
    <t>Nov. 19/2024</t>
  </si>
  <si>
    <t>Feb. 13, 2024</t>
  </si>
  <si>
    <t>SEM Workshop</t>
  </si>
  <si>
    <t>Report Out - Customer/Client reporting for previous year 2023 savings goals</t>
  </si>
  <si>
    <t>Fort Smith</t>
  </si>
  <si>
    <t>Aug. 27, 2024</t>
  </si>
  <si>
    <t xml:space="preserve">Wood Product Manufacturing </t>
  </si>
  <si>
    <t>Sept. 12, 2024</t>
  </si>
  <si>
    <t>Modeling and Measurement</t>
  </si>
  <si>
    <t>Jan-18/24</t>
  </si>
  <si>
    <t>Kick-Off Training</t>
  </si>
  <si>
    <t>Review numbers, discuss procedures during assessment</t>
  </si>
  <si>
    <t>Jones Center- Springdale, AR</t>
  </si>
  <si>
    <t xml:space="preserve">are these years correct? Should </t>
  </si>
  <si>
    <t>EEA was terminated 12/23 and LIPP became IQP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</si>
</sst>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409]mmmm\ d\,\ yyyy;@"/>
    <numFmt numFmtId="167" formatCode="##."/>
    <numFmt numFmtId="168" formatCode="m/d/yy;@"/>
    <numFmt numFmtId="169" formatCode="#,##0.0_);\(#,##0.0\)"/>
    <numFmt numFmtId="170" formatCode="_(&quot;$&quot;* #,##0.0000_);_(&quot;$&quot;* \(#,##0.0000\);_(&quot;$&quot;* &quot;-&quot;????_);_(@_)"/>
    <numFmt numFmtId="171" formatCode="_(&quot;$&quot;* #,##0.0000_);_(&quot;$&quot;* \(#,##0.0000\);_(&quot;$&quot;* &quot;-&quot;_);_(@_)"/>
    <numFmt numFmtId="172" formatCode="_(&quot;$&quot;* #,##0_);_(&quot;$&quot;* \(#,##0\);_(&quot;$&quot;* &quot;-&quot;??_);_(@_)"/>
    <numFmt numFmtId="173" formatCode="[$-409]mmm\-yyyy;@"/>
    <numFmt numFmtId="174" formatCode="_(&quot;$&quot;* #,##0.00_);_(&quot;$&quot;* \(#,##0.00\);_(&quot;$&quot;* &quot;-&quot;_);_(@_)"/>
  </numFmts>
  <fonts count="7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name val="Calibri"/>
      <family val="2"/>
    </font>
    <font>
      <sz val="10"/>
      <color indexed="8"/>
      <name val="Calibri"/>
      <family val="2"/>
    </font>
    <font>
      <b/>
      <sz val="12"/>
      <name val="Calibri"/>
      <family val="2"/>
    </font>
    <font>
      <b/>
      <sz val="10"/>
      <name val="Calibri"/>
      <family val="2"/>
    </font>
    <font>
      <sz val="9"/>
      <color indexed="8"/>
      <name val="Calibri"/>
      <family val="2"/>
    </font>
    <font>
      <b/>
      <u/>
      <sz val="10"/>
      <name val="Calibri"/>
      <family val="2"/>
    </font>
    <font>
      <b/>
      <sz val="11"/>
      <name val="Calibri"/>
      <family val="2"/>
    </font>
    <font>
      <sz val="10"/>
      <color indexed="8"/>
      <name val="Arial"/>
      <family val="2"/>
    </font>
    <font>
      <b/>
      <sz val="10"/>
      <name val="Arial"/>
      <family val="2"/>
    </font>
    <font>
      <b/>
      <sz val="10"/>
      <color indexed="8"/>
      <name val="Arial"/>
      <family val="2"/>
    </font>
    <font>
      <b/>
      <sz val="10"/>
      <color indexed="8"/>
      <name val="Calibri"/>
      <family val="2"/>
    </font>
    <font>
      <sz val="8"/>
      <name val="Calibri"/>
      <family val="2"/>
    </font>
    <font>
      <sz val="9"/>
      <name val="Calibri"/>
      <family val="2"/>
    </font>
    <font>
      <b/>
      <sz val="14"/>
      <name val="Calibri"/>
      <family val="2"/>
    </font>
    <font>
      <b/>
      <sz val="8"/>
      <name val="Calibri"/>
      <family val="2"/>
    </font>
    <font>
      <b/>
      <sz val="9"/>
      <name val="Calibri"/>
      <family val="2"/>
    </font>
    <font>
      <b/>
      <sz val="18"/>
      <name val="Arial"/>
      <family val="2"/>
    </font>
    <font>
      <b/>
      <sz val="9"/>
      <name val="Arial"/>
      <family val="2"/>
    </font>
    <font>
      <sz val="9"/>
      <name val="Arial"/>
      <family val="2"/>
    </font>
    <font>
      <b/>
      <sz val="8"/>
      <name val="Arial"/>
      <family val="2"/>
    </font>
    <font>
      <sz val="8"/>
      <name val="Arial"/>
      <family val="2"/>
    </font>
    <font>
      <i/>
      <sz val="8"/>
      <name val="Calibri"/>
      <family val="2"/>
    </font>
    <font>
      <b/>
      <sz val="11"/>
      <name val="Arial"/>
      <family val="2"/>
    </font>
    <font>
      <sz val="36"/>
      <name val="Calibri"/>
      <family val="2"/>
    </font>
    <font>
      <i/>
      <sz val="24"/>
      <name val="Calibri"/>
      <family val="2"/>
    </font>
    <font>
      <b/>
      <sz val="12"/>
      <color indexed="9"/>
      <name val="Calibri"/>
      <family val="2"/>
    </font>
    <font>
      <sz val="9"/>
      <color indexed="9"/>
      <name val="Calibri"/>
      <family val="2"/>
    </font>
    <font>
      <u/>
      <sz val="10"/>
      <name val="Arial"/>
      <family val="2"/>
    </font>
    <font>
      <b/>
      <sz val="16"/>
      <color indexed="8"/>
      <name val="Calibri"/>
      <family val="2"/>
    </font>
    <font>
      <b/>
      <u/>
      <sz val="14"/>
      <name val="Calibri"/>
      <family val="2"/>
    </font>
    <font>
      <sz val="36"/>
      <name val="Calibri"/>
      <family val="2"/>
      <scheme val="minor"/>
    </font>
    <font>
      <i/>
      <sz val="24"/>
      <name val="Calibri"/>
      <family val="2"/>
      <scheme val="minor"/>
    </font>
    <font>
      <i/>
      <sz val="12"/>
      <name val="Calibri"/>
      <family val="2"/>
      <scheme val="minor"/>
    </font>
    <font>
      <b/>
      <sz val="12"/>
      <color indexed="8"/>
      <name val="Calibri"/>
      <family val="2"/>
    </font>
    <font>
      <b/>
      <u/>
      <sz val="16"/>
      <name val="Calibri"/>
      <family val="2"/>
    </font>
    <font>
      <sz val="10"/>
      <color theme="2" tint="-0.499984740745262"/>
      <name val="Calibri"/>
      <family val="2"/>
    </font>
    <font>
      <sz val="10"/>
      <color theme="0"/>
      <name val="Calibri"/>
      <family val="2"/>
    </font>
    <font>
      <b/>
      <sz val="10"/>
      <color rgb="FFFF0000"/>
      <name val="Arial"/>
      <family val="2"/>
    </font>
    <font>
      <sz val="9"/>
      <color indexed="8"/>
      <name val="Arial"/>
      <family val="2"/>
    </font>
    <font>
      <sz val="8"/>
      <color indexed="8"/>
      <name val="Arial"/>
      <family val="2"/>
    </font>
    <font>
      <b/>
      <u/>
      <sz val="10"/>
      <color rgb="FFFF0000"/>
      <name val="Arial"/>
      <family val="2"/>
    </font>
    <font>
      <sz val="8"/>
      <color indexed="8"/>
      <name val="Calibri"/>
      <family val="2"/>
    </font>
    <font>
      <b/>
      <sz val="9"/>
      <color rgb="FFFF0000"/>
      <name val="Calibri"/>
      <family val="2"/>
    </font>
    <font>
      <sz val="12"/>
      <color rgb="FFFF0000"/>
      <name val="Wingdings"/>
      <charset val="2"/>
    </font>
    <font>
      <sz val="12"/>
      <color rgb="FFFF0000"/>
      <name val="Arial"/>
      <family val="2"/>
    </font>
    <font>
      <b/>
      <sz val="10"/>
      <color theme="0"/>
      <name val="Calibri"/>
      <family val="2"/>
    </font>
    <font>
      <sz val="12"/>
      <color rgb="FFFF0000"/>
      <name val="Calibri"/>
      <family val="2"/>
    </font>
    <font>
      <sz val="12"/>
      <color rgb="FFFF0000"/>
      <name val="Calibri"/>
      <family val="2"/>
      <scheme val="minor"/>
    </font>
    <font>
      <sz val="10"/>
      <color rgb="FF000000"/>
      <name val="Calibri"/>
      <family val="2"/>
    </font>
    <font>
      <sz val="10"/>
      <color indexed="8"/>
      <name val="Calibri"/>
      <family val="2"/>
    </font>
    <font>
      <sz val="11"/>
      <color rgb="FF000000"/>
      <name val="Calibri"/>
      <family val="2"/>
    </font>
    <font>
      <b/>
      <sz val="13"/>
      <color theme="3"/>
      <name val="Calibri"/>
      <family val="2"/>
      <scheme val="minor"/>
    </font>
    <font>
      <sz val="11"/>
      <name val="Calibri"/>
      <family val="2"/>
      <scheme val="minor"/>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4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8"/>
        <bgColor indexed="64"/>
      </patternFill>
    </fill>
    <fill>
      <patternFill patternType="solid">
        <fgColor rgb="FFFFFFCC"/>
        <bgColor indexed="64"/>
      </patternFill>
    </fill>
    <fill>
      <patternFill patternType="solid">
        <fgColor rgb="FFC0C0C0"/>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59999389629810485"/>
        <bgColor indexed="64"/>
      </patternFill>
    </fill>
    <fill>
      <patternFill patternType="gray125">
        <bgColor rgb="FFFFFFCC"/>
      </patternFill>
    </fill>
    <fill>
      <patternFill patternType="solid">
        <fgColor theme="0" tint="-0.249977111117893"/>
        <bgColor indexed="64"/>
      </patternFill>
    </fill>
    <fill>
      <patternFill patternType="solid">
        <fgColor theme="0" tint="-4.9989318521683403E-2"/>
        <bgColor indexed="64"/>
      </patternFill>
    </fill>
    <fill>
      <patternFill patternType="solid">
        <fgColor theme="5"/>
        <bgColor indexed="64"/>
      </patternFill>
    </fill>
    <fill>
      <patternFill patternType="solid">
        <fgColor rgb="FFFFFFCC"/>
        <bgColor rgb="FF000000"/>
      </patternFill>
    </fill>
    <fill>
      <patternFill patternType="solid">
        <fgColor theme="7" tint="0.79998168889431442"/>
        <bgColor indexed="64"/>
      </patternFill>
    </fill>
    <fill>
      <patternFill patternType="solid">
        <fgColor rgb="FFFFFF00"/>
        <bgColor indexed="64"/>
      </patternFill>
    </fill>
  </fills>
  <borders count="10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3"/>
      </left>
      <right style="medium">
        <color indexed="64"/>
      </right>
      <top style="thin">
        <color indexed="63"/>
      </top>
      <bottom style="medium">
        <color indexed="64"/>
      </bottom>
      <diagonal/>
    </border>
    <border>
      <left style="medium">
        <color indexed="64"/>
      </left>
      <right style="thin">
        <color indexed="63"/>
      </right>
      <top style="thin">
        <color indexed="63"/>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3"/>
      </left>
      <right style="thin">
        <color indexed="63"/>
      </right>
      <top style="thin">
        <color indexed="63"/>
      </top>
      <bottom style="medium">
        <color indexed="64"/>
      </bottom>
      <diagonal/>
    </border>
    <border>
      <left/>
      <right style="medium">
        <color indexed="64"/>
      </right>
      <top/>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3"/>
      </left>
      <right style="thin">
        <color indexed="63"/>
      </right>
      <top style="thin">
        <color indexed="63"/>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theme="3"/>
      </left>
      <right style="medium">
        <color theme="3"/>
      </right>
      <top style="medium">
        <color theme="3"/>
      </top>
      <bottom style="medium">
        <color theme="3"/>
      </bottom>
      <diagonal/>
    </border>
    <border>
      <left style="medium">
        <color theme="3"/>
      </left>
      <right style="medium">
        <color theme="3"/>
      </right>
      <top style="medium">
        <color theme="3"/>
      </top>
      <bottom/>
      <diagonal/>
    </border>
    <border>
      <left/>
      <right/>
      <top style="dashed">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thin">
        <color indexed="64"/>
      </left>
      <right/>
      <top/>
      <bottom style="medium">
        <color indexed="64"/>
      </bottom>
      <diagonal/>
    </border>
    <border>
      <left style="medium">
        <color theme="3"/>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bottom style="thick">
        <color theme="4" tint="0.499984740745262"/>
      </bottom>
      <diagonal/>
    </border>
  </borders>
  <cellStyleXfs count="109">
    <xf numFmtId="0" fontId="0" fillId="0" borderId="0"/>
    <xf numFmtId="0" fontId="22" fillId="2" borderId="0" applyFill="0">
      <alignment horizontal="left"/>
    </xf>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25" fillId="0" borderId="0" applyNumberFormat="0" applyBorder="0" applyProtection="0">
      <alignment horizontal="left"/>
    </xf>
    <xf numFmtId="0" fontId="7" fillId="8" borderId="0" applyNumberFormat="0" applyBorder="0" applyAlignment="0" applyProtection="0"/>
    <xf numFmtId="0" fontId="7" fillId="9" borderId="0" applyNumberFormat="0" applyBorder="0" applyAlignment="0" applyProtection="0"/>
    <xf numFmtId="0" fontId="7" fillId="5" borderId="0" applyNumberFormat="0" applyBorder="0" applyAlignment="0" applyProtection="0"/>
    <xf numFmtId="0" fontId="7" fillId="10" borderId="0" applyNumberFormat="0" applyBorder="0" applyAlignment="0" applyProtection="0"/>
    <xf numFmtId="0" fontId="49" fillId="29" borderId="80" applyNumberFormat="0" applyProtection="0">
      <alignment horizontal="center" vertical="center"/>
    </xf>
    <xf numFmtId="0" fontId="7" fillId="11"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41" fontId="4"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37" fontId="21" fillId="0" borderId="0" applyFill="0" applyBorder="0" applyProtection="0">
      <alignment horizontal="center"/>
    </xf>
    <xf numFmtId="169" fontId="21" fillId="0" borderId="0" applyFill="0" applyBorder="0" applyAlignment="0" applyProtection="0"/>
    <xf numFmtId="43" fontId="6" fillId="0" borderId="0" applyFont="0" applyFill="0" applyBorder="0" applyAlignment="0" applyProtection="0"/>
    <xf numFmtId="42" fontId="4"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6"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23" fillId="0" borderId="0" applyNumberFormat="0" applyFill="0" applyProtection="0">
      <alignment horizontal="left"/>
    </xf>
    <xf numFmtId="0" fontId="23" fillId="0" borderId="0" applyNumberFormat="0" applyFill="0" applyProtection="0">
      <alignment horizontal="left"/>
    </xf>
    <xf numFmtId="0" fontId="24" fillId="0" borderId="0" applyNumberFormat="0" applyFill="0" applyProtection="0">
      <alignment horizontal="left"/>
    </xf>
    <xf numFmtId="0" fontId="24" fillId="0" borderId="0" applyNumberFormat="0" applyFill="0" applyProtection="0">
      <alignment horizontal="left"/>
    </xf>
    <xf numFmtId="0" fontId="14" fillId="0" borderId="3" applyNumberFormat="0" applyFill="0" applyAlignment="0" applyProtection="0"/>
    <xf numFmtId="0" fontId="14" fillId="0" borderId="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1" fillId="27" borderId="4" applyNumberFormat="0">
      <alignment horizontal="left"/>
      <protection locked="0"/>
    </xf>
    <xf numFmtId="0" fontId="21" fillId="27" borderId="4" applyNumberFormat="0">
      <alignment horizontal="left"/>
      <protection locked="0"/>
    </xf>
    <xf numFmtId="0" fontId="15" fillId="0" borderId="5" applyNumberFormat="0" applyFill="0" applyAlignment="0" applyProtection="0"/>
    <xf numFmtId="0" fontId="15" fillId="0" borderId="5" applyNumberFormat="0" applyFill="0" applyAlignment="0" applyProtection="0"/>
    <xf numFmtId="0" fontId="16" fillId="23" borderId="0" applyNumberFormat="0" applyBorder="0" applyAlignment="0" applyProtection="0"/>
    <xf numFmtId="0" fontId="16" fillId="23" borderId="0" applyNumberFormat="0" applyBorder="0" applyAlignment="0" applyProtection="0"/>
    <xf numFmtId="0" fontId="5" fillId="24" borderId="6" applyNumberFormat="0" applyFont="0" applyAlignment="0" applyProtection="0"/>
    <xf numFmtId="0" fontId="5" fillId="24" borderId="6" applyNumberFormat="0" applyFont="0" applyAlignment="0" applyProtection="0"/>
    <xf numFmtId="0" fontId="24" fillId="28" borderId="7" applyNumberFormat="0" applyAlignment="0" applyProtection="0"/>
    <xf numFmtId="0" fontId="24" fillId="28" borderId="7" applyNumberFormat="0" applyAlignment="0" applyProtection="0"/>
    <xf numFmtId="9" fontId="4"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8" applyNumberFormat="0" applyFill="0" applyAlignment="0" applyProtection="0"/>
    <xf numFmtId="0" fontId="18" fillId="0" borderId="8"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7" fontId="21" fillId="0" borderId="0"/>
    <xf numFmtId="0" fontId="22" fillId="2" borderId="0" applyFill="0">
      <alignment horizontal="left"/>
    </xf>
    <xf numFmtId="0" fontId="22" fillId="2" borderId="4" applyFill="0">
      <alignment horizontal="left" vertical="top" wrapText="1"/>
    </xf>
    <xf numFmtId="37" fontId="21" fillId="27" borderId="4" applyProtection="0">
      <alignment horizontal="center"/>
    </xf>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21" fillId="27" borderId="91" applyNumberFormat="0">
      <alignment horizontal="left"/>
      <protection locked="0"/>
    </xf>
    <xf numFmtId="0" fontId="21" fillId="27" borderId="91" applyNumberFormat="0">
      <alignment horizontal="left"/>
      <protection locked="0"/>
    </xf>
    <xf numFmtId="0" fontId="22" fillId="2" borderId="91" applyFill="0">
      <alignment horizontal="left" vertical="top" wrapText="1"/>
    </xf>
    <xf numFmtId="37" fontId="21" fillId="27" borderId="91" applyProtection="0">
      <alignment horizontal="center"/>
    </xf>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0" fontId="1" fillId="0" borderId="0"/>
    <xf numFmtId="0" fontId="72" fillId="0" borderId="101" applyNumberFormat="0" applyFill="0" applyAlignment="0" applyProtection="0"/>
    <xf numFmtId="0" fontId="1" fillId="0" borderId="0"/>
  </cellStyleXfs>
  <cellXfs count="752">
    <xf numFmtId="0" fontId="0" fillId="0" borderId="0" xfId="0"/>
    <xf numFmtId="0" fontId="6" fillId="0" borderId="0" xfId="0" applyFont="1"/>
    <xf numFmtId="0" fontId="21" fillId="0" borderId="0" xfId="0" applyFont="1"/>
    <xf numFmtId="0" fontId="21" fillId="0" borderId="9" xfId="0" applyFont="1" applyBorder="1"/>
    <xf numFmtId="0" fontId="21" fillId="0" borderId="10" xfId="0" applyFont="1" applyBorder="1"/>
    <xf numFmtId="0" fontId="21" fillId="0" borderId="11" xfId="0" applyFont="1" applyBorder="1"/>
    <xf numFmtId="0" fontId="21" fillId="0" borderId="12" xfId="0" applyFont="1" applyBorder="1"/>
    <xf numFmtId="0" fontId="21" fillId="0" borderId="13" xfId="0" applyFont="1" applyBorder="1"/>
    <xf numFmtId="0" fontId="0" fillId="0" borderId="9" xfId="0" applyBorder="1"/>
    <xf numFmtId="0" fontId="23" fillId="0" borderId="0" xfId="51">
      <alignment horizontal="left"/>
    </xf>
    <xf numFmtId="0" fontId="24" fillId="0" borderId="0" xfId="53">
      <alignment horizontal="left"/>
    </xf>
    <xf numFmtId="42" fontId="24" fillId="0" borderId="0" xfId="0" applyNumberFormat="1" applyFont="1"/>
    <xf numFmtId="42" fontId="24" fillId="0" borderId="0" xfId="0" applyNumberFormat="1" applyFont="1" applyAlignment="1">
      <alignment horizontal="right"/>
    </xf>
    <xf numFmtId="42" fontId="24" fillId="0" borderId="14" xfId="0" applyNumberFormat="1" applyFont="1" applyBorder="1"/>
    <xf numFmtId="42" fontId="24" fillId="0" borderId="15" xfId="0" applyNumberFormat="1" applyFont="1" applyBorder="1"/>
    <xf numFmtId="42" fontId="27" fillId="0" borderId="0" xfId="0" applyNumberFormat="1" applyFont="1"/>
    <xf numFmtId="37" fontId="24" fillId="0" borderId="15" xfId="35" applyFont="1" applyBorder="1">
      <alignment horizontal="center"/>
    </xf>
    <xf numFmtId="0" fontId="26" fillId="0" borderId="0" xfId="53" applyFont="1" applyAlignment="1">
      <alignment horizontal="center"/>
    </xf>
    <xf numFmtId="37" fontId="21" fillId="0" borderId="0" xfId="35">
      <alignment horizontal="center"/>
    </xf>
    <xf numFmtId="0" fontId="0" fillId="0" borderId="10" xfId="0" applyBorder="1"/>
    <xf numFmtId="0" fontId="23" fillId="0" borderId="9" xfId="51" applyBorder="1">
      <alignment horizontal="left"/>
    </xf>
    <xf numFmtId="0" fontId="23" fillId="0" borderId="10" xfId="51" applyBorder="1">
      <alignment horizontal="left"/>
    </xf>
    <xf numFmtId="0" fontId="29" fillId="0" borderId="9" xfId="51" applyFont="1" applyBorder="1">
      <alignment horizontal="left"/>
    </xf>
    <xf numFmtId="0" fontId="28" fillId="0" borderId="9" xfId="0" applyFont="1" applyBorder="1"/>
    <xf numFmtId="0" fontId="28" fillId="0" borderId="0" xfId="0" quotePrefix="1" applyFont="1"/>
    <xf numFmtId="0" fontId="28" fillId="0" borderId="0" xfId="0" applyFont="1"/>
    <xf numFmtId="0" fontId="29" fillId="0" borderId="0" xfId="51" applyFont="1">
      <alignment horizontal="left"/>
    </xf>
    <xf numFmtId="0" fontId="30" fillId="0" borderId="0" xfId="0" applyFont="1"/>
    <xf numFmtId="0" fontId="0" fillId="0" borderId="0" xfId="0" applyAlignment="1">
      <alignment horizontal="left"/>
    </xf>
    <xf numFmtId="0" fontId="24" fillId="0" borderId="0" xfId="53" applyAlignment="1">
      <alignment horizontal="center"/>
    </xf>
    <xf numFmtId="0" fontId="21" fillId="0" borderId="0" xfId="0" applyFont="1" applyAlignment="1">
      <alignment vertical="top"/>
    </xf>
    <xf numFmtId="0" fontId="24" fillId="0" borderId="0" xfId="53" applyAlignment="1">
      <alignment horizontal="right" vertical="top"/>
    </xf>
    <xf numFmtId="0" fontId="32" fillId="27" borderId="4" xfId="59" applyFont="1" applyAlignment="1">
      <alignment horizontal="left" vertical="center" wrapText="1"/>
      <protection locked="0"/>
    </xf>
    <xf numFmtId="42" fontId="24" fillId="0" borderId="0" xfId="0" applyNumberFormat="1" applyFont="1" applyAlignment="1">
      <alignment vertical="top"/>
    </xf>
    <xf numFmtId="9" fontId="24" fillId="0" borderId="0" xfId="69" applyFont="1" applyAlignment="1">
      <alignment horizontal="center" vertical="top"/>
    </xf>
    <xf numFmtId="0" fontId="32" fillId="27" borderId="4" xfId="59" applyFont="1" applyAlignment="1">
      <alignment horizontal="left" vertical="top" wrapText="1"/>
      <protection locked="0"/>
    </xf>
    <xf numFmtId="0" fontId="21" fillId="0" borderId="20" xfId="0" applyFont="1" applyBorder="1" applyAlignment="1">
      <alignment horizontal="centerContinuous"/>
    </xf>
    <xf numFmtId="0" fontId="32" fillId="0" borderId="21" xfId="0" applyFont="1" applyBorder="1" applyAlignment="1">
      <alignment horizontal="center" vertical="center" wrapText="1"/>
    </xf>
    <xf numFmtId="0" fontId="21" fillId="0" borderId="22" xfId="0" applyFont="1" applyBorder="1"/>
    <xf numFmtId="0" fontId="32" fillId="0" borderId="23" xfId="0" applyFont="1" applyBorder="1" applyAlignment="1">
      <alignment horizontal="center"/>
    </xf>
    <xf numFmtId="0" fontId="24" fillId="0" borderId="24" xfId="53" applyBorder="1" applyAlignment="1">
      <alignment horizontal="centerContinuous"/>
    </xf>
    <xf numFmtId="0" fontId="24" fillId="0" borderId="25" xfId="53" applyBorder="1" applyAlignment="1">
      <alignment horizontal="center"/>
    </xf>
    <xf numFmtId="0" fontId="21" fillId="0" borderId="27" xfId="0" applyFont="1" applyBorder="1"/>
    <xf numFmtId="0" fontId="21" fillId="0" borderId="29" xfId="0" applyFont="1" applyBorder="1" applyAlignment="1">
      <alignment horizontal="center"/>
    </xf>
    <xf numFmtId="0" fontId="24" fillId="0" borderId="30" xfId="53" applyBorder="1" applyAlignment="1">
      <alignment horizontal="centerContinuous"/>
    </xf>
    <xf numFmtId="0" fontId="24" fillId="0" borderId="31" xfId="53" applyBorder="1" applyAlignment="1">
      <alignment horizontal="center" vertical="center" wrapText="1"/>
    </xf>
    <xf numFmtId="0" fontId="24" fillId="0" borderId="21" xfId="53" applyBorder="1" applyAlignment="1">
      <alignment horizontal="center" vertical="center" wrapText="1"/>
    </xf>
    <xf numFmtId="0" fontId="21" fillId="0" borderId="23" xfId="0" applyFont="1" applyBorder="1"/>
    <xf numFmtId="0" fontId="24" fillId="0" borderId="26" xfId="53" applyBorder="1" applyAlignment="1">
      <alignment horizontal="center" vertical="center" wrapText="1"/>
    </xf>
    <xf numFmtId="0" fontId="32" fillId="0" borderId="32" xfId="0" applyFont="1" applyBorder="1" applyAlignment="1">
      <alignment horizontal="center"/>
    </xf>
    <xf numFmtId="0" fontId="21" fillId="0" borderId="33" xfId="0" applyFont="1" applyBorder="1"/>
    <xf numFmtId="0" fontId="24" fillId="0" borderId="34" xfId="53" applyBorder="1" applyAlignment="1">
      <alignment horizontal="center" vertical="center" wrapText="1"/>
    </xf>
    <xf numFmtId="0" fontId="32" fillId="0" borderId="27" xfId="0" applyFont="1" applyBorder="1" applyAlignment="1">
      <alignment horizontal="center"/>
    </xf>
    <xf numFmtId="0" fontId="24" fillId="0" borderId="35" xfId="53" applyBorder="1" applyAlignment="1">
      <alignment horizontal="center" vertical="center" wrapText="1"/>
    </xf>
    <xf numFmtId="0" fontId="32" fillId="0" borderId="22" xfId="0" applyFont="1" applyBorder="1" applyAlignment="1">
      <alignment horizontal="center"/>
    </xf>
    <xf numFmtId="42" fontId="21" fillId="22" borderId="36" xfId="38" applyFont="1" applyFill="1" applyBorder="1" applyAlignment="1" applyProtection="1">
      <alignment horizontal="left"/>
      <protection locked="0"/>
    </xf>
    <xf numFmtId="42" fontId="21" fillId="22" borderId="37" xfId="38" applyFont="1" applyFill="1" applyBorder="1" applyAlignment="1" applyProtection="1">
      <alignment horizontal="left"/>
      <protection locked="0"/>
    </xf>
    <xf numFmtId="42" fontId="21" fillId="22" borderId="38" xfId="38" applyFont="1" applyFill="1" applyBorder="1" applyAlignment="1" applyProtection="1">
      <alignment horizontal="left"/>
      <protection locked="0"/>
    </xf>
    <xf numFmtId="0" fontId="44" fillId="0" borderId="0" xfId="0" applyFont="1" applyAlignment="1">
      <alignment horizontal="left" vertical="center"/>
    </xf>
    <xf numFmtId="0" fontId="45" fillId="0" borderId="0" xfId="0" applyFont="1" applyAlignment="1">
      <alignment horizontal="left" vertical="center"/>
    </xf>
    <xf numFmtId="169" fontId="21" fillId="25" borderId="39" xfId="36" applyFill="1" applyBorder="1" applyAlignment="1">
      <alignment horizontal="center"/>
    </xf>
    <xf numFmtId="165" fontId="33" fillId="25" borderId="39" xfId="69" applyNumberFormat="1" applyFont="1" applyFill="1" applyBorder="1" applyAlignment="1">
      <alignment horizontal="center"/>
    </xf>
    <xf numFmtId="42" fontId="21" fillId="25" borderId="40" xfId="38" applyFont="1" applyFill="1" applyBorder="1"/>
    <xf numFmtId="42" fontId="21" fillId="0" borderId="0" xfId="0" applyNumberFormat="1" applyFont="1"/>
    <xf numFmtId="0" fontId="21" fillId="0" borderId="0" xfId="0" applyFont="1" applyAlignment="1">
      <alignment horizontal="left" indent="2"/>
    </xf>
    <xf numFmtId="0" fontId="21" fillId="0" borderId="10" xfId="0" applyFont="1" applyBorder="1" applyAlignment="1">
      <alignment vertical="top" wrapText="1"/>
    </xf>
    <xf numFmtId="42" fontId="21" fillId="0" borderId="0" xfId="0" applyNumberFormat="1" applyFont="1" applyAlignment="1">
      <alignment vertical="center"/>
    </xf>
    <xf numFmtId="0" fontId="35" fillId="0" borderId="48" xfId="0" applyFont="1" applyBorder="1" applyAlignment="1">
      <alignment horizontal="center"/>
    </xf>
    <xf numFmtId="42" fontId="21" fillId="25" borderId="7" xfId="38" applyFont="1" applyFill="1" applyBorder="1"/>
    <xf numFmtId="37" fontId="24" fillId="0" borderId="15" xfId="0" applyNumberFormat="1" applyFont="1" applyBorder="1"/>
    <xf numFmtId="0" fontId="21" fillId="0" borderId="15" xfId="0" applyFont="1" applyBorder="1"/>
    <xf numFmtId="0" fontId="27" fillId="0" borderId="0" xfId="0" applyFont="1" applyAlignment="1">
      <alignment horizontal="right"/>
    </xf>
    <xf numFmtId="0" fontId="23" fillId="0" borderId="9" xfId="0" applyFont="1" applyBorder="1"/>
    <xf numFmtId="0" fontId="23" fillId="0" borderId="0" xfId="0" applyFont="1"/>
    <xf numFmtId="10" fontId="33" fillId="0" borderId="0" xfId="0" applyNumberFormat="1" applyFont="1" applyAlignment="1">
      <alignment horizontal="center"/>
    </xf>
    <xf numFmtId="37" fontId="33" fillId="0" borderId="0" xfId="0" applyNumberFormat="1" applyFont="1" applyAlignment="1">
      <alignment horizontal="center"/>
    </xf>
    <xf numFmtId="9" fontId="33" fillId="0" borderId="0" xfId="0" applyNumberFormat="1" applyFont="1" applyAlignment="1">
      <alignment horizontal="center"/>
    </xf>
    <xf numFmtId="5" fontId="33" fillId="0" borderId="0" xfId="0" applyNumberFormat="1" applyFont="1" applyAlignment="1">
      <alignment horizontal="center"/>
    </xf>
    <xf numFmtId="0" fontId="27" fillId="0" borderId="14" xfId="0" applyFont="1" applyBorder="1"/>
    <xf numFmtId="5" fontId="27" fillId="0" borderId="14" xfId="0" applyNumberFormat="1" applyFont="1" applyBorder="1" applyAlignment="1">
      <alignment horizontal="center"/>
    </xf>
    <xf numFmtId="0" fontId="24" fillId="0" borderId="49" xfId="0" applyFont="1" applyBorder="1" applyAlignment="1">
      <alignment horizontal="center"/>
    </xf>
    <xf numFmtId="0" fontId="24" fillId="0" borderId="50" xfId="0" applyFont="1" applyBorder="1" applyAlignment="1">
      <alignment horizontal="center"/>
    </xf>
    <xf numFmtId="0" fontId="24" fillId="0" borderId="28" xfId="0" applyFont="1" applyBorder="1" applyAlignment="1">
      <alignment horizontal="center"/>
    </xf>
    <xf numFmtId="0" fontId="24" fillId="0" borderId="29" xfId="0" applyFont="1" applyBorder="1" applyAlignment="1">
      <alignment horizontal="center"/>
    </xf>
    <xf numFmtId="0" fontId="21" fillId="0" borderId="51" xfId="0" applyFont="1" applyBorder="1"/>
    <xf numFmtId="0" fontId="21" fillId="0" borderId="52" xfId="0" applyFont="1" applyBorder="1"/>
    <xf numFmtId="0" fontId="21" fillId="0" borderId="53" xfId="0" applyFont="1" applyBorder="1"/>
    <xf numFmtId="0" fontId="21" fillId="0" borderId="54" xfId="0" applyFont="1" applyBorder="1"/>
    <xf numFmtId="0" fontId="21" fillId="0" borderId="55" xfId="0" applyFont="1" applyBorder="1"/>
    <xf numFmtId="0" fontId="21" fillId="0" borderId="56" xfId="0" applyFont="1" applyBorder="1"/>
    <xf numFmtId="0" fontId="21" fillId="0" borderId="57" xfId="0" applyFont="1" applyBorder="1"/>
    <xf numFmtId="0" fontId="0" fillId="25" borderId="0" xfId="0" applyFill="1"/>
    <xf numFmtId="0" fontId="29" fillId="0" borderId="0" xfId="0" applyFont="1"/>
    <xf numFmtId="0" fontId="29" fillId="25" borderId="27" xfId="0" applyFont="1" applyFill="1" applyBorder="1" applyAlignment="1">
      <alignment horizontal="center"/>
    </xf>
    <xf numFmtId="0" fontId="38" fillId="25" borderId="41" xfId="0" applyFont="1" applyFill="1" applyBorder="1" applyAlignment="1">
      <alignment horizontal="center"/>
    </xf>
    <xf numFmtId="0" fontId="38" fillId="25" borderId="58" xfId="0" applyFont="1" applyFill="1" applyBorder="1" applyAlignment="1">
      <alignment horizontal="center"/>
    </xf>
    <xf numFmtId="0" fontId="38" fillId="25" borderId="59" xfId="0" applyFont="1" applyFill="1" applyBorder="1" applyAlignment="1">
      <alignment horizontal="center"/>
    </xf>
    <xf numFmtId="0" fontId="38" fillId="25" borderId="60" xfId="0" applyFont="1" applyFill="1" applyBorder="1" applyAlignment="1">
      <alignment horizontal="center"/>
    </xf>
    <xf numFmtId="41" fontId="38" fillId="0" borderId="16" xfId="0" applyNumberFormat="1" applyFont="1" applyBorder="1"/>
    <xf numFmtId="41" fontId="39" fillId="0" borderId="36" xfId="31" applyFont="1" applyBorder="1"/>
    <xf numFmtId="41" fontId="39" fillId="0" borderId="61" xfId="31" applyFont="1" applyBorder="1"/>
    <xf numFmtId="41" fontId="39" fillId="0" borderId="37" xfId="31" applyFont="1" applyBorder="1"/>
    <xf numFmtId="41" fontId="39" fillId="0" borderId="42" xfId="31" applyFont="1" applyBorder="1"/>
    <xf numFmtId="9" fontId="39" fillId="0" borderId="25" xfId="69" applyFont="1" applyBorder="1" applyAlignment="1">
      <alignment horizontal="center"/>
    </xf>
    <xf numFmtId="9" fontId="39" fillId="0" borderId="50" xfId="69" applyFont="1" applyBorder="1" applyAlignment="1">
      <alignment horizontal="center"/>
    </xf>
    <xf numFmtId="0" fontId="29" fillId="25" borderId="49" xfId="0" applyFont="1" applyFill="1" applyBorder="1" applyAlignment="1">
      <alignment horizontal="right"/>
    </xf>
    <xf numFmtId="0" fontId="24" fillId="0" borderId="37" xfId="51" applyFont="1" applyBorder="1" applyAlignment="1">
      <alignment horizontal="center" wrapText="1"/>
    </xf>
    <xf numFmtId="0" fontId="24" fillId="0" borderId="42" xfId="51" applyFont="1" applyBorder="1" applyAlignment="1">
      <alignment horizontal="center" wrapText="1"/>
    </xf>
    <xf numFmtId="42" fontId="21" fillId="22" borderId="31" xfId="38" applyFont="1" applyFill="1" applyBorder="1" applyAlignment="1" applyProtection="1">
      <alignment horizontal="left"/>
      <protection locked="0"/>
    </xf>
    <xf numFmtId="42" fontId="21" fillId="22" borderId="62" xfId="38" applyFont="1" applyFill="1" applyBorder="1" applyAlignment="1" applyProtection="1">
      <alignment horizontal="left"/>
      <protection locked="0"/>
    </xf>
    <xf numFmtId="0" fontId="24" fillId="0" borderId="31" xfId="53" applyBorder="1" applyAlignment="1">
      <alignment horizontal="center" wrapText="1"/>
    </xf>
    <xf numFmtId="0" fontId="24" fillId="0" borderId="21" xfId="53" applyBorder="1" applyAlignment="1">
      <alignment horizontal="center" wrapText="1"/>
    </xf>
    <xf numFmtId="0" fontId="35" fillId="0" borderId="63" xfId="0" applyFont="1" applyBorder="1" applyAlignment="1">
      <alignment horizontal="center"/>
    </xf>
    <xf numFmtId="0" fontId="35" fillId="0" borderId="46" xfId="0" applyFont="1" applyBorder="1" applyAlignment="1">
      <alignment horizontal="center"/>
    </xf>
    <xf numFmtId="37" fontId="21" fillId="0" borderId="37" xfId="0" applyNumberFormat="1" applyFont="1" applyBorder="1"/>
    <xf numFmtId="37" fontId="21" fillId="22" borderId="42" xfId="35" applyFill="1" applyBorder="1" applyProtection="1">
      <alignment horizontal="center"/>
      <protection locked="0"/>
    </xf>
    <xf numFmtId="37" fontId="21" fillId="0" borderId="38" xfId="0" applyNumberFormat="1" applyFont="1" applyBorder="1"/>
    <xf numFmtId="2" fontId="21" fillId="27" borderId="64" xfId="59" applyNumberFormat="1" applyBorder="1" applyAlignment="1">
      <alignment horizontal="center"/>
      <protection locked="0"/>
    </xf>
    <xf numFmtId="37" fontId="21" fillId="22" borderId="43" xfId="35" applyFill="1" applyBorder="1" applyProtection="1">
      <alignment horizontal="center"/>
      <protection locked="0"/>
    </xf>
    <xf numFmtId="2" fontId="21" fillId="28" borderId="7" xfId="67" applyNumberFormat="1" applyFont="1" applyAlignment="1" applyProtection="1">
      <alignment horizontal="center"/>
      <protection locked="0"/>
    </xf>
    <xf numFmtId="42" fontId="21" fillId="22" borderId="64" xfId="38" applyFont="1" applyFill="1" applyBorder="1" applyAlignment="1" applyProtection="1">
      <alignment horizontal="left"/>
      <protection locked="0"/>
    </xf>
    <xf numFmtId="42" fontId="21" fillId="25" borderId="65" xfId="38" applyFont="1" applyFill="1" applyBorder="1"/>
    <xf numFmtId="0" fontId="0" fillId="26" borderId="0" xfId="0" applyFill="1"/>
    <xf numFmtId="41" fontId="38" fillId="0" borderId="19" xfId="0" applyNumberFormat="1" applyFont="1" applyBorder="1"/>
    <xf numFmtId="9" fontId="38" fillId="0" borderId="49" xfId="69" applyFont="1" applyBorder="1" applyAlignment="1">
      <alignment horizontal="center"/>
    </xf>
    <xf numFmtId="42" fontId="21" fillId="22" borderId="42" xfId="38" applyFont="1" applyFill="1" applyBorder="1" applyAlignment="1" applyProtection="1">
      <alignment horizontal="left"/>
      <protection locked="0"/>
    </xf>
    <xf numFmtId="37" fontId="21" fillId="22" borderId="36" xfId="35" applyFill="1" applyBorder="1" applyProtection="1">
      <alignment horizontal="center"/>
      <protection locked="0"/>
    </xf>
    <xf numFmtId="37" fontId="21" fillId="22" borderId="61" xfId="35" applyFill="1" applyBorder="1" applyProtection="1">
      <alignment horizontal="center"/>
      <protection locked="0"/>
    </xf>
    <xf numFmtId="37" fontId="21" fillId="22" borderId="37" xfId="35" applyFill="1" applyBorder="1" applyProtection="1">
      <alignment horizontal="center"/>
      <protection locked="0"/>
    </xf>
    <xf numFmtId="37" fontId="21" fillId="22" borderId="38" xfId="35" applyFill="1" applyBorder="1" applyProtection="1">
      <alignment horizontal="center"/>
      <protection locked="0"/>
    </xf>
    <xf numFmtId="42" fontId="21" fillId="22" borderId="61" xfId="38" applyFont="1" applyFill="1" applyBorder="1" applyAlignment="1" applyProtection="1">
      <alignment horizontal="left"/>
      <protection locked="0"/>
    </xf>
    <xf numFmtId="0" fontId="24" fillId="25" borderId="38" xfId="53" applyFill="1" applyBorder="1" applyAlignment="1">
      <alignment horizontal="center"/>
    </xf>
    <xf numFmtId="0" fontId="24" fillId="25" borderId="43" xfId="53" applyFill="1" applyBorder="1" applyAlignment="1">
      <alignment horizontal="center"/>
    </xf>
    <xf numFmtId="0" fontId="24" fillId="25" borderId="31" xfId="53" applyFill="1" applyBorder="1" applyAlignment="1">
      <alignment horizontal="center"/>
    </xf>
    <xf numFmtId="0" fontId="24" fillId="25" borderId="21" xfId="53" applyFill="1" applyBorder="1" applyAlignment="1">
      <alignment horizontal="center"/>
    </xf>
    <xf numFmtId="37" fontId="24" fillId="0" borderId="0" xfId="0" applyNumberFormat="1" applyFont="1" applyAlignment="1">
      <alignment horizontal="center"/>
    </xf>
    <xf numFmtId="0" fontId="29" fillId="25" borderId="33" xfId="0" applyFont="1" applyFill="1" applyBorder="1" applyAlignment="1">
      <alignment horizontal="center"/>
    </xf>
    <xf numFmtId="0" fontId="29" fillId="0" borderId="0" xfId="0" applyFont="1" applyAlignment="1">
      <alignment horizontal="center"/>
    </xf>
    <xf numFmtId="0" fontId="40" fillId="25" borderId="66" xfId="0" applyFont="1" applyFill="1" applyBorder="1" applyAlignment="1">
      <alignment horizontal="center"/>
    </xf>
    <xf numFmtId="0" fontId="38" fillId="25" borderId="66" xfId="0" applyFont="1" applyFill="1" applyBorder="1" applyAlignment="1">
      <alignment horizontal="center"/>
    </xf>
    <xf numFmtId="9" fontId="39" fillId="0" borderId="20" xfId="69" applyFont="1" applyBorder="1" applyAlignment="1">
      <alignment horizontal="center"/>
    </xf>
    <xf numFmtId="0" fontId="40" fillId="25" borderId="33" xfId="0" applyFont="1" applyFill="1" applyBorder="1" applyAlignment="1">
      <alignment horizontal="center"/>
    </xf>
    <xf numFmtId="0" fontId="40" fillId="25" borderId="58" xfId="0" applyFont="1" applyFill="1" applyBorder="1" applyAlignment="1">
      <alignment horizontal="center"/>
    </xf>
    <xf numFmtId="0" fontId="40" fillId="25" borderId="34" xfId="0" applyFont="1" applyFill="1" applyBorder="1" applyAlignment="1">
      <alignment horizontal="center"/>
    </xf>
    <xf numFmtId="0" fontId="38" fillId="25" borderId="0" xfId="0" applyFont="1" applyFill="1" applyAlignment="1">
      <alignment horizontal="center"/>
    </xf>
    <xf numFmtId="9" fontId="39" fillId="0" borderId="28" xfId="69" applyFont="1" applyBorder="1" applyAlignment="1">
      <alignment horizontal="center"/>
    </xf>
    <xf numFmtId="9" fontId="39" fillId="0" borderId="29" xfId="69" applyFont="1" applyBorder="1" applyAlignment="1">
      <alignment horizontal="center"/>
    </xf>
    <xf numFmtId="9" fontId="39" fillId="0" borderId="27" xfId="69" applyFont="1" applyBorder="1" applyAlignment="1">
      <alignment horizontal="center"/>
    </xf>
    <xf numFmtId="41" fontId="39" fillId="0" borderId="25" xfId="31" applyFont="1" applyBorder="1"/>
    <xf numFmtId="41" fontId="39" fillId="0" borderId="28" xfId="31" applyFont="1" applyBorder="1"/>
    <xf numFmtId="41" fontId="39" fillId="0" borderId="29" xfId="31" applyFont="1" applyBorder="1"/>
    <xf numFmtId="41" fontId="38" fillId="0" borderId="27" xfId="0" applyNumberFormat="1" applyFont="1" applyBorder="1"/>
    <xf numFmtId="9" fontId="39" fillId="0" borderId="54" xfId="69" applyFont="1" applyBorder="1" applyAlignment="1">
      <alignment horizontal="center"/>
    </xf>
    <xf numFmtId="9" fontId="39" fillId="0" borderId="57" xfId="69" applyFont="1" applyBorder="1" applyAlignment="1">
      <alignment horizontal="center"/>
    </xf>
    <xf numFmtId="9" fontId="39" fillId="0" borderId="60" xfId="69" applyFont="1" applyBorder="1" applyAlignment="1">
      <alignment horizontal="center"/>
    </xf>
    <xf numFmtId="0" fontId="21" fillId="0" borderId="45" xfId="0" applyFont="1" applyBorder="1"/>
    <xf numFmtId="0" fontId="21" fillId="0" borderId="66" xfId="0" applyFont="1" applyBorder="1"/>
    <xf numFmtId="170" fontId="21" fillId="25" borderId="42" xfId="38" applyNumberFormat="1" applyFont="1" applyFill="1" applyBorder="1" applyAlignment="1" applyProtection="1">
      <alignment horizontal="left"/>
      <protection locked="0"/>
    </xf>
    <xf numFmtId="0" fontId="0" fillId="0" borderId="9" xfId="0" applyBorder="1" applyAlignment="1">
      <alignment horizontal="left" indent="1"/>
    </xf>
    <xf numFmtId="0" fontId="0" fillId="0" borderId="10" xfId="0" applyBorder="1" applyAlignment="1">
      <alignment horizontal="left" indent="1"/>
    </xf>
    <xf numFmtId="0" fontId="21" fillId="0" borderId="10" xfId="0" applyFont="1" applyBorder="1" applyAlignment="1">
      <alignment horizontal="left" indent="1"/>
    </xf>
    <xf numFmtId="41" fontId="39" fillId="0" borderId="37" xfId="31" applyFont="1" applyBorder="1" applyAlignment="1">
      <alignment horizontal="center"/>
    </xf>
    <xf numFmtId="41" fontId="39" fillId="0" borderId="38" xfId="31" applyFont="1" applyBorder="1" applyAlignment="1">
      <alignment horizontal="center"/>
    </xf>
    <xf numFmtId="42" fontId="39" fillId="0" borderId="53" xfId="69" applyNumberFormat="1" applyFont="1" applyBorder="1" applyAlignment="1">
      <alignment horizontal="center"/>
    </xf>
    <xf numFmtId="42" fontId="39" fillId="0" borderId="55" xfId="69" applyNumberFormat="1" applyFont="1" applyBorder="1" applyAlignment="1">
      <alignment horizontal="center"/>
    </xf>
    <xf numFmtId="41" fontId="39" fillId="0" borderId="53" xfId="31" applyFont="1" applyBorder="1" applyAlignment="1">
      <alignment horizontal="center"/>
    </xf>
    <xf numFmtId="41" fontId="39" fillId="0" borderId="55" xfId="31" applyFont="1" applyBorder="1" applyAlignment="1">
      <alignment horizontal="center"/>
    </xf>
    <xf numFmtId="41" fontId="39" fillId="0" borderId="68" xfId="31" applyFont="1" applyBorder="1" applyAlignment="1">
      <alignment horizontal="center"/>
    </xf>
    <xf numFmtId="0" fontId="33" fillId="0" borderId="51" xfId="53" applyFont="1" applyBorder="1" applyAlignment="1">
      <alignment horizontal="center" vertical="center" wrapText="1"/>
    </xf>
    <xf numFmtId="0" fontId="33" fillId="0" borderId="63" xfId="53" applyFont="1" applyBorder="1" applyAlignment="1">
      <alignment horizontal="center" vertical="center" wrapText="1"/>
    </xf>
    <xf numFmtId="0" fontId="33" fillId="0" borderId="46" xfId="53" applyFont="1" applyBorder="1" applyAlignment="1">
      <alignment horizontal="center" vertical="center" wrapText="1"/>
    </xf>
    <xf numFmtId="0" fontId="33" fillId="0" borderId="13" xfId="53" applyFont="1" applyBorder="1" applyAlignment="1">
      <alignment horizontal="center" vertical="center" wrapText="1"/>
    </xf>
    <xf numFmtId="0" fontId="29" fillId="0" borderId="47" xfId="0" applyFont="1" applyBorder="1" applyAlignment="1">
      <alignment horizontal="center" wrapText="1"/>
    </xf>
    <xf numFmtId="6" fontId="39" fillId="0" borderId="48" xfId="0" applyNumberFormat="1" applyFont="1" applyBorder="1" applyAlignment="1">
      <alignment horizontal="center" vertical="center" wrapText="1"/>
    </xf>
    <xf numFmtId="0" fontId="39" fillId="0" borderId="63" xfId="0" applyFont="1" applyBorder="1" applyAlignment="1">
      <alignment horizontal="center" vertical="center" wrapText="1"/>
    </xf>
    <xf numFmtId="0" fontId="29" fillId="0" borderId="69" xfId="0" applyFont="1" applyBorder="1" applyAlignment="1">
      <alignment horizontal="center" wrapText="1"/>
    </xf>
    <xf numFmtId="0" fontId="29" fillId="0" borderId="70" xfId="0" applyFont="1" applyBorder="1" applyAlignment="1">
      <alignment horizontal="center" wrapText="1"/>
    </xf>
    <xf numFmtId="0" fontId="39" fillId="0" borderId="46" xfId="0" applyFont="1" applyBorder="1" applyAlignment="1">
      <alignment horizontal="center" vertical="center" wrapText="1"/>
    </xf>
    <xf numFmtId="6" fontId="39" fillId="0" borderId="63" xfId="0" applyNumberFormat="1" applyFont="1" applyBorder="1" applyAlignment="1">
      <alignment horizontal="center" vertical="center" wrapText="1"/>
    </xf>
    <xf numFmtId="0" fontId="24" fillId="0" borderId="0" xfId="0" applyFont="1"/>
    <xf numFmtId="0" fontId="21" fillId="27" borderId="4" xfId="59">
      <alignment horizontal="left"/>
      <protection locked="0"/>
    </xf>
    <xf numFmtId="0" fontId="0" fillId="25" borderId="45" xfId="0" applyFill="1" applyBorder="1"/>
    <xf numFmtId="0" fontId="0" fillId="25" borderId="66" xfId="0" applyFill="1" applyBorder="1"/>
    <xf numFmtId="0" fontId="0" fillId="25" borderId="59" xfId="0" applyFill="1" applyBorder="1"/>
    <xf numFmtId="0" fontId="0" fillId="25" borderId="60" xfId="0" applyFill="1" applyBorder="1"/>
    <xf numFmtId="0" fontId="0" fillId="25" borderId="67" xfId="0" applyFill="1" applyBorder="1"/>
    <xf numFmtId="42" fontId="0" fillId="0" borderId="0" xfId="0" applyNumberFormat="1" applyAlignment="1">
      <alignment horizontal="center"/>
    </xf>
    <xf numFmtId="0" fontId="21" fillId="0" borderId="24" xfId="0" applyFont="1" applyBorder="1"/>
    <xf numFmtId="0" fontId="42" fillId="0" borderId="0" xfId="0" applyFont="1"/>
    <xf numFmtId="165" fontId="39" fillId="0" borderId="42" xfId="31" applyNumberFormat="1" applyFont="1" applyBorder="1" applyAlignment="1">
      <alignment horizontal="center"/>
    </xf>
    <xf numFmtId="165" fontId="39" fillId="0" borderId="43" xfId="31" applyNumberFormat="1" applyFont="1" applyBorder="1" applyAlignment="1">
      <alignment horizontal="center"/>
    </xf>
    <xf numFmtId="42" fontId="39" fillId="0" borderId="37" xfId="0" applyNumberFormat="1" applyFont="1" applyBorder="1"/>
    <xf numFmtId="9" fontId="41" fillId="0" borderId="42" xfId="69" applyFont="1" applyBorder="1" applyAlignment="1">
      <alignment horizontal="center"/>
    </xf>
    <xf numFmtId="37" fontId="39" fillId="0" borderId="37" xfId="31" applyNumberFormat="1" applyFont="1" applyBorder="1" applyAlignment="1">
      <alignment horizontal="center" vertical="center"/>
    </xf>
    <xf numFmtId="39" fontId="39" fillId="0" borderId="28" xfId="0" applyNumberFormat="1" applyFont="1" applyBorder="1" applyAlignment="1">
      <alignment horizontal="center"/>
    </xf>
    <xf numFmtId="42" fontId="39" fillId="0" borderId="28" xfId="0" applyNumberFormat="1" applyFont="1" applyBorder="1"/>
    <xf numFmtId="42" fontId="39" fillId="0" borderId="29" xfId="0" applyNumberFormat="1" applyFont="1" applyBorder="1"/>
    <xf numFmtId="0" fontId="29" fillId="0" borderId="38" xfId="0" applyFont="1" applyBorder="1" applyAlignment="1">
      <alignment horizontal="center" wrapText="1"/>
    </xf>
    <xf numFmtId="0" fontId="29" fillId="0" borderId="64" xfId="0" applyFont="1" applyBorder="1" applyAlignment="1">
      <alignment horizontal="center" wrapText="1"/>
    </xf>
    <xf numFmtId="0" fontId="29" fillId="0" borderId="43" xfId="0" applyFont="1" applyBorder="1" applyAlignment="1">
      <alignment horizontal="center" wrapText="1"/>
    </xf>
    <xf numFmtId="42" fontId="39" fillId="0" borderId="50" xfId="0" applyNumberFormat="1" applyFont="1" applyBorder="1"/>
    <xf numFmtId="0" fontId="29" fillId="0" borderId="49" xfId="0" applyFont="1" applyBorder="1" applyAlignment="1">
      <alignment horizontal="center" wrapText="1"/>
    </xf>
    <xf numFmtId="42" fontId="21" fillId="0" borderId="36" xfId="38" applyFont="1" applyBorder="1" applyAlignment="1" applyProtection="1">
      <alignment horizontal="left"/>
      <protection locked="0"/>
    </xf>
    <xf numFmtId="42" fontId="21" fillId="0" borderId="61" xfId="38" applyFont="1" applyBorder="1" applyAlignment="1" applyProtection="1">
      <alignment horizontal="left"/>
      <protection locked="0"/>
    </xf>
    <xf numFmtId="42" fontId="21" fillId="0" borderId="37" xfId="38" applyFont="1" applyBorder="1" applyAlignment="1" applyProtection="1">
      <alignment horizontal="left"/>
      <protection locked="0"/>
    </xf>
    <xf numFmtId="42" fontId="21" fillId="0" borderId="42" xfId="38" applyFont="1" applyBorder="1" applyAlignment="1" applyProtection="1">
      <alignment horizontal="left"/>
      <protection locked="0"/>
    </xf>
    <xf numFmtId="42" fontId="21" fillId="0" borderId="38" xfId="38" applyFont="1" applyBorder="1" applyAlignment="1" applyProtection="1">
      <alignment horizontal="left"/>
      <protection locked="0"/>
    </xf>
    <xf numFmtId="42" fontId="21" fillId="0" borderId="43" xfId="38" applyFont="1" applyBorder="1" applyAlignment="1" applyProtection="1">
      <alignment horizontal="left"/>
      <protection locked="0"/>
    </xf>
    <xf numFmtId="37" fontId="21" fillId="0" borderId="36" xfId="35" applyBorder="1" applyProtection="1">
      <alignment horizontal="center"/>
      <protection locked="0"/>
    </xf>
    <xf numFmtId="37" fontId="21" fillId="0" borderId="61" xfId="35" applyBorder="1" applyProtection="1">
      <alignment horizontal="center"/>
      <protection locked="0"/>
    </xf>
    <xf numFmtId="37" fontId="21" fillId="0" borderId="37" xfId="35" applyBorder="1" applyProtection="1">
      <alignment horizontal="center"/>
      <protection locked="0"/>
    </xf>
    <xf numFmtId="37" fontId="21" fillId="0" borderId="42" xfId="35" applyBorder="1" applyProtection="1">
      <alignment horizontal="center"/>
      <protection locked="0"/>
    </xf>
    <xf numFmtId="37" fontId="21" fillId="0" borderId="38" xfId="35" applyBorder="1" applyProtection="1">
      <alignment horizontal="center"/>
      <protection locked="0"/>
    </xf>
    <xf numFmtId="37" fontId="21" fillId="0" borderId="43" xfId="35" applyBorder="1" applyProtection="1">
      <alignment horizontal="center"/>
      <protection locked="0"/>
    </xf>
    <xf numFmtId="42" fontId="21" fillId="0" borderId="72" xfId="38" applyFont="1" applyBorder="1" applyAlignment="1" applyProtection="1">
      <alignment horizontal="left"/>
      <protection locked="0"/>
    </xf>
    <xf numFmtId="42" fontId="21" fillId="0" borderId="73" xfId="38" applyFont="1" applyBorder="1" applyAlignment="1" applyProtection="1">
      <alignment horizontal="left"/>
      <protection locked="0"/>
    </xf>
    <xf numFmtId="37" fontId="21" fillId="0" borderId="72" xfId="35" applyBorder="1" applyProtection="1">
      <alignment horizontal="center"/>
      <protection locked="0"/>
    </xf>
    <xf numFmtId="37" fontId="21" fillId="0" borderId="73" xfId="35" applyBorder="1" applyProtection="1">
      <alignment horizontal="center"/>
      <protection locked="0"/>
    </xf>
    <xf numFmtId="42" fontId="39" fillId="0" borderId="51" xfId="0" applyNumberFormat="1" applyFont="1" applyBorder="1"/>
    <xf numFmtId="42" fontId="39" fillId="0" borderId="53" xfId="0" applyNumberFormat="1" applyFont="1" applyBorder="1"/>
    <xf numFmtId="42" fontId="39" fillId="0" borderId="55" xfId="0" applyNumberFormat="1" applyFont="1" applyBorder="1"/>
    <xf numFmtId="42" fontId="39" fillId="0" borderId="25" xfId="0" applyNumberFormat="1" applyFont="1" applyBorder="1"/>
    <xf numFmtId="42" fontId="39" fillId="0" borderId="31" xfId="0" applyNumberFormat="1" applyFont="1" applyBorder="1"/>
    <xf numFmtId="9" fontId="41" fillId="0" borderId="21" xfId="69" applyFont="1" applyBorder="1" applyAlignment="1">
      <alignment horizontal="center"/>
    </xf>
    <xf numFmtId="37" fontId="39" fillId="0" borderId="31" xfId="31" applyNumberFormat="1" applyFont="1" applyBorder="1" applyAlignment="1">
      <alignment horizontal="center" vertical="center"/>
    </xf>
    <xf numFmtId="39" fontId="39" fillId="0" borderId="26" xfId="0" applyNumberFormat="1" applyFont="1" applyBorder="1" applyAlignment="1">
      <alignment horizontal="center"/>
    </xf>
    <xf numFmtId="42" fontId="39" fillId="0" borderId="74" xfId="0" applyNumberFormat="1" applyFont="1" applyBorder="1"/>
    <xf numFmtId="9" fontId="41" fillId="0" borderId="61" xfId="69" applyFont="1" applyBorder="1" applyAlignment="1">
      <alignment horizontal="center"/>
    </xf>
    <xf numFmtId="37" fontId="39" fillId="0" borderId="36" xfId="31" applyNumberFormat="1" applyFont="1" applyBorder="1" applyAlignment="1">
      <alignment horizontal="center" vertical="center"/>
    </xf>
    <xf numFmtId="37" fontId="39" fillId="0" borderId="74" xfId="31" applyNumberFormat="1" applyFont="1" applyBorder="1" applyAlignment="1">
      <alignment horizontal="center" vertical="center"/>
    </xf>
    <xf numFmtId="39" fontId="39" fillId="0" borderId="52" xfId="0" applyNumberFormat="1" applyFont="1" applyBorder="1" applyAlignment="1">
      <alignment horizontal="center"/>
    </xf>
    <xf numFmtId="39" fontId="39" fillId="0" borderId="54" xfId="0" applyNumberFormat="1" applyFont="1" applyBorder="1" applyAlignment="1">
      <alignment horizontal="center"/>
    </xf>
    <xf numFmtId="39" fontId="39" fillId="0" borderId="71" xfId="0" applyNumberFormat="1" applyFont="1" applyBorder="1" applyAlignment="1">
      <alignment horizontal="center"/>
    </xf>
    <xf numFmtId="0" fontId="29" fillId="0" borderId="31" xfId="0" applyFont="1" applyBorder="1" applyAlignment="1">
      <alignment horizontal="center" wrapText="1"/>
    </xf>
    <xf numFmtId="0" fontId="29" fillId="0" borderId="21" xfId="0" applyFont="1" applyBorder="1" applyAlignment="1">
      <alignment horizontal="center" wrapText="1"/>
    </xf>
    <xf numFmtId="0" fontId="29" fillId="0" borderId="16" xfId="0" applyFont="1" applyBorder="1" applyAlignment="1">
      <alignment horizontal="center" wrapText="1"/>
    </xf>
    <xf numFmtId="42" fontId="38" fillId="0" borderId="62" xfId="0" applyNumberFormat="1" applyFont="1" applyBorder="1"/>
    <xf numFmtId="42" fontId="38" fillId="0" borderId="17" xfId="0" applyNumberFormat="1" applyFont="1" applyBorder="1"/>
    <xf numFmtId="9" fontId="39" fillId="0" borderId="19" xfId="69" applyFont="1" applyBorder="1" applyAlignment="1">
      <alignment horizontal="center"/>
    </xf>
    <xf numFmtId="37" fontId="38" fillId="0" borderId="62" xfId="0" applyNumberFormat="1" applyFont="1" applyBorder="1"/>
    <xf numFmtId="37" fontId="38" fillId="0" borderId="17" xfId="0" applyNumberFormat="1" applyFont="1" applyBorder="1"/>
    <xf numFmtId="2" fontId="38" fillId="0" borderId="49" xfId="0" applyNumberFormat="1" applyFont="1" applyBorder="1" applyAlignment="1">
      <alignment horizontal="center"/>
    </xf>
    <xf numFmtId="0" fontId="43" fillId="0" borderId="0" xfId="0" applyFont="1" applyAlignment="1">
      <alignment horizontal="center"/>
    </xf>
    <xf numFmtId="0" fontId="21" fillId="0" borderId="0" xfId="0" applyFont="1" applyProtection="1">
      <protection locked="0"/>
    </xf>
    <xf numFmtId="0" fontId="29" fillId="0" borderId="68" xfId="0" applyFont="1" applyBorder="1" applyAlignment="1">
      <alignment horizontal="center" wrapText="1"/>
    </xf>
    <xf numFmtId="42" fontId="39" fillId="0" borderId="75" xfId="0" applyNumberFormat="1" applyFont="1" applyBorder="1"/>
    <xf numFmtId="42" fontId="39" fillId="0" borderId="29" xfId="0" applyNumberFormat="1" applyFont="1" applyBorder="1" applyAlignment="1">
      <alignment horizontal="left" indent="1"/>
    </xf>
    <xf numFmtId="37" fontId="0" fillId="0" borderId="0" xfId="0" applyNumberFormat="1"/>
    <xf numFmtId="10" fontId="21" fillId="0" borderId="0" xfId="0" applyNumberFormat="1" applyFont="1"/>
    <xf numFmtId="164" fontId="21" fillId="0" borderId="0" xfId="0" applyNumberFormat="1" applyFont="1" applyAlignment="1">
      <alignment horizontal="center"/>
    </xf>
    <xf numFmtId="0" fontId="21" fillId="0" borderId="0" xfId="0" applyFont="1" applyAlignment="1">
      <alignment horizontal="center"/>
    </xf>
    <xf numFmtId="170" fontId="21" fillId="0" borderId="0" xfId="0" applyNumberFormat="1" applyFont="1"/>
    <xf numFmtId="0" fontId="23" fillId="0" borderId="0" xfId="51" applyAlignment="1">
      <alignment horizontal="center"/>
    </xf>
    <xf numFmtId="0" fontId="24" fillId="0" borderId="0" xfId="51" applyFont="1" applyAlignment="1">
      <alignment horizontal="center"/>
    </xf>
    <xf numFmtId="0" fontId="46" fillId="0" borderId="0" xfId="51" applyFont="1">
      <alignment horizontal="left"/>
    </xf>
    <xf numFmtId="0" fontId="47" fillId="0" borderId="0" xfId="0" applyFont="1"/>
    <xf numFmtId="2" fontId="21" fillId="28" borderId="0" xfId="67" applyNumberFormat="1" applyFont="1" applyBorder="1" applyAlignment="1" applyProtection="1">
      <alignment horizontal="center"/>
      <protection locked="0"/>
    </xf>
    <xf numFmtId="2" fontId="21" fillId="28" borderId="76" xfId="67" applyNumberFormat="1" applyFont="1" applyBorder="1" applyAlignment="1" applyProtection="1">
      <alignment horizontal="center"/>
      <protection locked="0"/>
    </xf>
    <xf numFmtId="170" fontId="21" fillId="25" borderId="21" xfId="38" applyNumberFormat="1" applyFont="1" applyFill="1" applyBorder="1" applyAlignment="1" applyProtection="1">
      <alignment horizontal="left"/>
      <protection locked="0"/>
    </xf>
    <xf numFmtId="2" fontId="21" fillId="28" borderId="18" xfId="67" applyNumberFormat="1" applyFont="1" applyBorder="1" applyAlignment="1" applyProtection="1">
      <alignment horizontal="center"/>
      <protection locked="0"/>
    </xf>
    <xf numFmtId="170" fontId="24" fillId="25" borderId="19" xfId="38" applyNumberFormat="1" applyFont="1" applyFill="1" applyBorder="1" applyAlignment="1" applyProtection="1">
      <alignment horizontal="left"/>
      <protection locked="0"/>
    </xf>
    <xf numFmtId="0" fontId="21" fillId="0" borderId="0" xfId="0" applyFont="1" applyAlignment="1">
      <alignment horizontal="left" indent="1"/>
    </xf>
    <xf numFmtId="0" fontId="24" fillId="0" borderId="12" xfId="0" applyFont="1" applyBorder="1" applyAlignment="1">
      <alignment horizontal="right"/>
    </xf>
    <xf numFmtId="42" fontId="21" fillId="0" borderId="12" xfId="0" applyNumberFormat="1" applyFont="1" applyBorder="1"/>
    <xf numFmtId="42" fontId="21" fillId="22" borderId="37" xfId="39" applyFont="1" applyFill="1" applyBorder="1" applyAlignment="1" applyProtection="1">
      <alignment horizontal="left"/>
      <protection locked="0"/>
    </xf>
    <xf numFmtId="2" fontId="21" fillId="27" borderId="4" xfId="59" applyNumberFormat="1" applyAlignment="1">
      <alignment horizontal="center"/>
      <protection locked="0"/>
    </xf>
    <xf numFmtId="42" fontId="21" fillId="0" borderId="0" xfId="39" applyFont="1" applyAlignment="1" applyProtection="1">
      <alignment horizontal="left"/>
      <protection locked="0"/>
    </xf>
    <xf numFmtId="42" fontId="24" fillId="0" borderId="0" xfId="53" applyNumberFormat="1" applyAlignment="1">
      <alignment horizontal="center"/>
    </xf>
    <xf numFmtId="0" fontId="21" fillId="0" borderId="0" xfId="0" applyFont="1" applyAlignment="1" applyProtection="1">
      <alignment horizontal="right"/>
      <protection locked="0"/>
    </xf>
    <xf numFmtId="0" fontId="21" fillId="27" borderId="4" xfId="60">
      <alignment horizontal="left"/>
      <protection locked="0"/>
    </xf>
    <xf numFmtId="2" fontId="21" fillId="28" borderId="49" xfId="67" applyNumberFormat="1" applyFont="1" applyBorder="1" applyAlignment="1" applyProtection="1">
      <alignment horizontal="center"/>
      <protection locked="0"/>
    </xf>
    <xf numFmtId="42" fontId="0" fillId="0" borderId="0" xfId="0" applyNumberFormat="1"/>
    <xf numFmtId="0" fontId="48" fillId="0" borderId="0" xfId="0" applyFont="1"/>
    <xf numFmtId="172" fontId="39" fillId="0" borderId="37" xfId="69" applyNumberFormat="1" applyFont="1" applyBorder="1" applyAlignment="1">
      <alignment horizontal="center"/>
    </xf>
    <xf numFmtId="172" fontId="39" fillId="0" borderId="38" xfId="69" applyNumberFormat="1" applyFont="1" applyBorder="1" applyAlignment="1">
      <alignment horizontal="center"/>
    </xf>
    <xf numFmtId="172" fontId="39" fillId="0" borderId="68" xfId="69" applyNumberFormat="1" applyFont="1" applyBorder="1" applyAlignment="1">
      <alignment horizontal="center"/>
    </xf>
    <xf numFmtId="167" fontId="21" fillId="0" borderId="9" xfId="76" applyBorder="1"/>
    <xf numFmtId="0" fontId="22" fillId="0" borderId="0" xfId="77" applyFill="1">
      <alignment horizontal="left"/>
    </xf>
    <xf numFmtId="0" fontId="24" fillId="0" borderId="0" xfId="53" applyAlignment="1">
      <alignment horizontal="center" wrapText="1"/>
    </xf>
    <xf numFmtId="0" fontId="26" fillId="0" borderId="0" xfId="53" applyFont="1" applyAlignment="1">
      <alignment horizontal="center" wrapText="1"/>
    </xf>
    <xf numFmtId="0" fontId="27" fillId="0" borderId="0" xfId="53" applyFont="1" applyAlignment="1">
      <alignment horizontal="right"/>
    </xf>
    <xf numFmtId="0" fontId="24" fillId="0" borderId="0" xfId="53" applyAlignment="1">
      <alignment horizontal="right"/>
    </xf>
    <xf numFmtId="167" fontId="24" fillId="0" borderId="9" xfId="76" applyFont="1" applyBorder="1"/>
    <xf numFmtId="42" fontId="24" fillId="28" borderId="7" xfId="67" applyNumberFormat="1"/>
    <xf numFmtId="167" fontId="21" fillId="0" borderId="0" xfId="76"/>
    <xf numFmtId="0" fontId="21" fillId="0" borderId="0" xfId="53" applyFont="1">
      <alignment horizontal="left"/>
    </xf>
    <xf numFmtId="0" fontId="24" fillId="0" borderId="0" xfId="0" applyFont="1" applyAlignment="1">
      <alignment horizontal="left" indent="1"/>
    </xf>
    <xf numFmtId="0" fontId="22" fillId="0" borderId="4" xfId="78" applyFill="1">
      <alignment horizontal="left" vertical="top" wrapText="1"/>
    </xf>
    <xf numFmtId="37" fontId="21" fillId="27" borderId="4" xfId="79" applyProtection="1">
      <alignment horizontal="center"/>
      <protection locked="0"/>
    </xf>
    <xf numFmtId="0" fontId="23" fillId="0" borderId="0" xfId="51" applyAlignment="1">
      <alignment horizontal="right"/>
    </xf>
    <xf numFmtId="0" fontId="21" fillId="27" borderId="4" xfId="59" applyAlignment="1">
      <alignment horizontal="left" vertical="center"/>
      <protection locked="0"/>
    </xf>
    <xf numFmtId="166" fontId="21" fillId="27" borderId="4" xfId="59" applyNumberFormat="1">
      <alignment horizontal="left"/>
      <protection locked="0"/>
    </xf>
    <xf numFmtId="44" fontId="0" fillId="0" borderId="0" xfId="0" applyNumberFormat="1"/>
    <xf numFmtId="0" fontId="23" fillId="0" borderId="0" xfId="51" applyAlignment="1"/>
    <xf numFmtId="0" fontId="50" fillId="0" borderId="0" xfId="51" applyFont="1" applyAlignment="1">
      <alignment horizontal="center"/>
    </xf>
    <xf numFmtId="0" fontId="23" fillId="30" borderId="0" xfId="51" applyFill="1" applyAlignment="1">
      <alignment horizontal="right"/>
    </xf>
    <xf numFmtId="42" fontId="24" fillId="30" borderId="0" xfId="0" applyNumberFormat="1" applyFont="1" applyFill="1"/>
    <xf numFmtId="0" fontId="21" fillId="30" borderId="0" xfId="0" applyFont="1" applyFill="1"/>
    <xf numFmtId="37" fontId="24" fillId="30" borderId="0" xfId="0" applyNumberFormat="1" applyFont="1" applyFill="1" applyAlignment="1">
      <alignment horizontal="center"/>
    </xf>
    <xf numFmtId="0" fontId="36" fillId="0" borderId="0" xfId="51" applyFont="1">
      <alignment horizontal="left"/>
    </xf>
    <xf numFmtId="0" fontId="23" fillId="0" borderId="82" xfId="51" applyBorder="1" applyAlignment="1">
      <alignment horizontal="right"/>
    </xf>
    <xf numFmtId="37" fontId="24" fillId="0" borderId="82" xfId="0" applyNumberFormat="1" applyFont="1" applyBorder="1" applyAlignment="1">
      <alignment horizontal="center"/>
    </xf>
    <xf numFmtId="0" fontId="21" fillId="0" borderId="82" xfId="0" applyFont="1" applyBorder="1"/>
    <xf numFmtId="42" fontId="21" fillId="22" borderId="21" xfId="38" applyFont="1" applyFill="1" applyBorder="1" applyAlignment="1" applyProtection="1">
      <alignment horizontal="left"/>
      <protection locked="0"/>
    </xf>
    <xf numFmtId="42" fontId="21" fillId="22" borderId="19" xfId="38" applyFont="1" applyFill="1" applyBorder="1" applyAlignment="1" applyProtection="1">
      <alignment horizontal="left"/>
      <protection locked="0"/>
    </xf>
    <xf numFmtId="0" fontId="22" fillId="0" borderId="0" xfId="77" applyFill="1" applyAlignment="1">
      <alignment horizontal="center"/>
    </xf>
    <xf numFmtId="0" fontId="34" fillId="0" borderId="0" xfId="0" applyFont="1" applyAlignment="1">
      <alignment horizontal="centerContinuous"/>
    </xf>
    <xf numFmtId="0" fontId="21" fillId="0" borderId="0" xfId="0" applyFont="1" applyAlignment="1">
      <alignment horizontal="centerContinuous"/>
    </xf>
    <xf numFmtId="0" fontId="21" fillId="0" borderId="0" xfId="53" applyFont="1" applyAlignment="1">
      <alignment horizontal="center" wrapText="1"/>
    </xf>
    <xf numFmtId="10" fontId="33" fillId="0" borderId="0" xfId="69" applyNumberFormat="1" applyFont="1" applyAlignment="1">
      <alignment horizontal="center"/>
    </xf>
    <xf numFmtId="37" fontId="21" fillId="0" borderId="0" xfId="79" applyFill="1" applyBorder="1" applyProtection="1">
      <alignment horizontal="center"/>
      <protection locked="0"/>
    </xf>
    <xf numFmtId="37" fontId="21" fillId="0" borderId="0" xfId="0" applyNumberFormat="1" applyFont="1"/>
    <xf numFmtId="42" fontId="21" fillId="0" borderId="29" xfId="39" applyFont="1" applyBorder="1" applyAlignment="1" applyProtection="1">
      <alignment horizontal="left"/>
      <protection locked="0"/>
    </xf>
    <xf numFmtId="42" fontId="21" fillId="0" borderId="38" xfId="39" applyFont="1" applyBorder="1" applyAlignment="1" applyProtection="1">
      <alignment horizontal="left"/>
      <protection locked="0"/>
    </xf>
    <xf numFmtId="42" fontId="21" fillId="0" borderId="68" xfId="39" applyFont="1" applyBorder="1" applyAlignment="1" applyProtection="1">
      <alignment horizontal="left"/>
      <protection locked="0"/>
    </xf>
    <xf numFmtId="37" fontId="21" fillId="0" borderId="29" xfId="35" applyBorder="1" applyProtection="1">
      <alignment horizontal="center"/>
      <protection locked="0"/>
    </xf>
    <xf numFmtId="0" fontId="0" fillId="0" borderId="11" xfId="0" applyBorder="1"/>
    <xf numFmtId="0" fontId="0" fillId="0" borderId="12" xfId="0" applyBorder="1"/>
    <xf numFmtId="0" fontId="0" fillId="0" borderId="13" xfId="0" applyBorder="1"/>
    <xf numFmtId="0" fontId="24" fillId="0" borderId="26" xfId="0" applyFont="1" applyBorder="1" applyAlignment="1">
      <alignment horizontal="center" vertical="center" wrapText="1"/>
    </xf>
    <xf numFmtId="0" fontId="23" fillId="0" borderId="0" xfId="51" applyAlignment="1">
      <alignment horizontal="centerContinuous"/>
    </xf>
    <xf numFmtId="0" fontId="24" fillId="0" borderId="0" xfId="53" applyAlignment="1">
      <alignment horizontal="centerContinuous"/>
    </xf>
    <xf numFmtId="0" fontId="24" fillId="0" borderId="0" xfId="53" applyAlignment="1">
      <alignment horizontal="center" vertical="center" wrapText="1"/>
    </xf>
    <xf numFmtId="0" fontId="32" fillId="0" borderId="0" xfId="0" applyFont="1" applyAlignment="1">
      <alignment horizontal="center" vertical="center" wrapText="1"/>
    </xf>
    <xf numFmtId="0" fontId="32" fillId="0" borderId="0" xfId="0" applyFont="1" applyAlignment="1">
      <alignment horizontal="center"/>
    </xf>
    <xf numFmtId="37" fontId="21" fillId="0" borderId="0" xfId="35" applyProtection="1">
      <alignment horizontal="center"/>
      <protection locked="0"/>
    </xf>
    <xf numFmtId="169" fontId="21" fillId="0" borderId="0" xfId="36" applyAlignment="1">
      <alignment horizontal="center"/>
    </xf>
    <xf numFmtId="165" fontId="33" fillId="0" borderId="0" xfId="69" applyNumberFormat="1" applyFont="1" applyAlignment="1">
      <alignment horizontal="center"/>
    </xf>
    <xf numFmtId="42" fontId="21" fillId="0" borderId="0" xfId="38" applyFont="1"/>
    <xf numFmtId="0" fontId="24" fillId="0" borderId="0" xfId="0" applyFont="1" applyAlignment="1">
      <alignment horizontal="center"/>
    </xf>
    <xf numFmtId="0" fontId="51" fillId="0" borderId="0" xfId="0" applyFont="1" applyAlignment="1">
      <alignment horizontal="left" vertical="center"/>
    </xf>
    <xf numFmtId="0" fontId="52" fillId="0" borderId="0" xfId="0" applyFont="1" applyAlignment="1">
      <alignment horizontal="left" vertical="center"/>
    </xf>
    <xf numFmtId="0" fontId="21" fillId="27" borderId="4" xfId="59" applyAlignment="1">
      <alignment horizontal="center"/>
      <protection locked="0"/>
    </xf>
    <xf numFmtId="0" fontId="18" fillId="0" borderId="0" xfId="77" applyFont="1" applyFill="1">
      <alignment horizontal="left"/>
    </xf>
    <xf numFmtId="0" fontId="21" fillId="0" borderId="0" xfId="0" applyFont="1" applyAlignment="1">
      <alignment horizontal="right"/>
    </xf>
    <xf numFmtId="173" fontId="21" fillId="27" borderId="4" xfId="59" applyNumberFormat="1" applyAlignment="1">
      <alignment horizontal="center"/>
      <protection locked="0"/>
    </xf>
    <xf numFmtId="0" fontId="57" fillId="0" borderId="0" xfId="0" applyFont="1" applyAlignment="1" applyProtection="1">
      <alignment horizontal="left"/>
      <protection hidden="1"/>
    </xf>
    <xf numFmtId="0" fontId="58" fillId="0" borderId="0" xfId="0" applyFont="1" applyProtection="1">
      <protection hidden="1"/>
    </xf>
    <xf numFmtId="0" fontId="39" fillId="0" borderId="0" xfId="0" applyFont="1"/>
    <xf numFmtId="0" fontId="28" fillId="0" borderId="0" xfId="0" applyFont="1" applyAlignment="1">
      <alignment horizontal="left"/>
    </xf>
    <xf numFmtId="0" fontId="28" fillId="0" borderId="0" xfId="0" applyFont="1" applyAlignment="1">
      <alignment horizontal="left" vertical="center"/>
    </xf>
    <xf numFmtId="0" fontId="59" fillId="0" borderId="0" xfId="0" quotePrefix="1" applyFont="1"/>
    <xf numFmtId="0" fontId="59" fillId="0" borderId="0" xfId="0" quotePrefix="1" applyFont="1" applyAlignment="1">
      <alignment horizontal="left"/>
    </xf>
    <xf numFmtId="0" fontId="59" fillId="0" borderId="0" xfId="0" quotePrefix="1" applyFont="1" applyAlignment="1">
      <alignment horizontal="right"/>
    </xf>
    <xf numFmtId="0" fontId="60" fillId="0" borderId="0" xfId="0" quotePrefix="1" applyFont="1" applyAlignment="1">
      <alignment horizontal="left" indent="1"/>
    </xf>
    <xf numFmtId="0" fontId="28" fillId="0" borderId="0" xfId="0" applyFont="1" applyAlignment="1">
      <alignment vertical="center"/>
    </xf>
    <xf numFmtId="167" fontId="21" fillId="0" borderId="0" xfId="76" quotePrefix="1"/>
    <xf numFmtId="0" fontId="24" fillId="28" borderId="7" xfId="68" applyAlignment="1">
      <alignment horizontal="center"/>
    </xf>
    <xf numFmtId="167" fontId="24" fillId="0" borderId="0" xfId="76" quotePrefix="1" applyFont="1"/>
    <xf numFmtId="0" fontId="28" fillId="0" borderId="11" xfId="0" applyFont="1" applyBorder="1"/>
    <xf numFmtId="0" fontId="28" fillId="0" borderId="12" xfId="0" applyFont="1" applyBorder="1"/>
    <xf numFmtId="0" fontId="21" fillId="0" borderId="89" xfId="0" applyFont="1" applyBorder="1"/>
    <xf numFmtId="0" fontId="21" fillId="0" borderId="84" xfId="0" applyFont="1" applyBorder="1"/>
    <xf numFmtId="0" fontId="24" fillId="0" borderId="0" xfId="0" applyFont="1" applyAlignment="1">
      <alignment horizontal="left"/>
    </xf>
    <xf numFmtId="0" fontId="63" fillId="0" borderId="0" xfId="0" applyFont="1" applyAlignment="1" applyProtection="1">
      <alignment horizontal="left" vertical="center"/>
      <protection hidden="1"/>
    </xf>
    <xf numFmtId="0" fontId="24" fillId="0" borderId="91" xfId="53" applyBorder="1">
      <alignment horizontal="left"/>
    </xf>
    <xf numFmtId="0" fontId="22" fillId="0" borderId="92" xfId="77" applyFill="1" applyBorder="1" applyAlignment="1">
      <alignment horizontal="right"/>
    </xf>
    <xf numFmtId="0" fontId="22" fillId="0" borderId="47" xfId="77" applyFill="1" applyBorder="1" applyAlignment="1">
      <alignment horizontal="right"/>
    </xf>
    <xf numFmtId="0" fontId="22" fillId="0" borderId="48" xfId="77" applyFill="1" applyBorder="1" applyAlignment="1">
      <alignment horizontal="right"/>
    </xf>
    <xf numFmtId="0" fontId="21" fillId="27" borderId="91" xfId="59" applyBorder="1">
      <alignment horizontal="left"/>
      <protection locked="0"/>
    </xf>
    <xf numFmtId="0" fontId="21" fillId="27" borderId="92" xfId="59" applyBorder="1">
      <alignment horizontal="left"/>
      <protection locked="0"/>
    </xf>
    <xf numFmtId="0" fontId="21" fillId="27" borderId="48" xfId="59" applyBorder="1">
      <alignment horizontal="left"/>
      <protection locked="0"/>
    </xf>
    <xf numFmtId="0" fontId="21" fillId="27" borderId="93" xfId="59" applyBorder="1" applyAlignment="1">
      <alignment horizontal="left" wrapText="1"/>
      <protection locked="0"/>
    </xf>
    <xf numFmtId="0" fontId="21" fillId="27" borderId="94" xfId="59" applyBorder="1" applyAlignment="1">
      <alignment horizontal="left" wrapText="1"/>
      <protection locked="0"/>
    </xf>
    <xf numFmtId="0" fontId="21" fillId="27" borderId="95" xfId="59" applyBorder="1" applyAlignment="1">
      <alignment horizontal="left" wrapText="1"/>
      <protection locked="0"/>
    </xf>
    <xf numFmtId="0" fontId="24" fillId="0" borderId="91" xfId="53" applyBorder="1" applyAlignment="1">
      <alignment horizontal="center"/>
    </xf>
    <xf numFmtId="0" fontId="0" fillId="0" borderId="88" xfId="0" applyBorder="1"/>
    <xf numFmtId="0" fontId="0" fillId="0" borderId="89" xfId="0" applyBorder="1"/>
    <xf numFmtId="0" fontId="0" fillId="0" borderId="90" xfId="0" applyBorder="1"/>
    <xf numFmtId="0" fontId="24" fillId="0" borderId="37" xfId="53" applyBorder="1" applyAlignment="1">
      <alignment horizontal="center" vertical="center" wrapText="1"/>
    </xf>
    <xf numFmtId="0" fontId="24" fillId="0" borderId="42" xfId="53" applyBorder="1" applyAlignment="1">
      <alignment horizontal="center" vertical="center" wrapText="1"/>
    </xf>
    <xf numFmtId="42" fontId="21" fillId="27" borderId="42" xfId="39" applyFont="1" applyFill="1" applyBorder="1" applyAlignment="1" applyProtection="1">
      <alignment horizontal="left"/>
      <protection locked="0"/>
    </xf>
    <xf numFmtId="42" fontId="21" fillId="27" borderId="43" xfId="39" applyFont="1" applyFill="1" applyBorder="1" applyAlignment="1" applyProtection="1">
      <alignment horizontal="left"/>
      <protection locked="0"/>
    </xf>
    <xf numFmtId="42" fontId="24" fillId="0" borderId="90" xfId="0" applyNumberFormat="1" applyFont="1" applyBorder="1"/>
    <xf numFmtId="42" fontId="24" fillId="0" borderId="10" xfId="0" applyNumberFormat="1" applyFont="1" applyBorder="1"/>
    <xf numFmtId="42" fontId="24" fillId="0" borderId="13" xfId="0" applyNumberFormat="1" applyFont="1" applyBorder="1"/>
    <xf numFmtId="42" fontId="21" fillId="27" borderId="37" xfId="39" applyFont="1" applyFill="1" applyBorder="1" applyAlignment="1" applyProtection="1">
      <alignment horizontal="left"/>
      <protection locked="0"/>
    </xf>
    <xf numFmtId="42" fontId="21" fillId="27" borderId="38" xfId="39" applyFont="1" applyFill="1" applyBorder="1" applyAlignment="1" applyProtection="1">
      <alignment horizontal="left"/>
      <protection locked="0"/>
    </xf>
    <xf numFmtId="0" fontId="23" fillId="0" borderId="9" xfId="52" applyBorder="1">
      <alignment horizontal="left"/>
    </xf>
    <xf numFmtId="0" fontId="21" fillId="0" borderId="0" xfId="0" applyFont="1" applyAlignment="1" applyProtection="1">
      <alignment horizontal="left"/>
      <protection hidden="1"/>
    </xf>
    <xf numFmtId="0" fontId="21" fillId="0" borderId="0" xfId="0" applyFont="1" applyAlignment="1" applyProtection="1">
      <alignment horizontal="left"/>
      <protection locked="0"/>
    </xf>
    <xf numFmtId="10" fontId="33" fillId="0" borderId="0" xfId="0" applyNumberFormat="1" applyFont="1" applyAlignment="1">
      <alignment horizontal="right"/>
    </xf>
    <xf numFmtId="0" fontId="23" fillId="0" borderId="0" xfId="0" applyFont="1" applyAlignment="1">
      <alignment horizontal="left" indent="4"/>
    </xf>
    <xf numFmtId="0" fontId="29" fillId="0" borderId="9" xfId="0" applyFont="1" applyBorder="1" applyAlignment="1">
      <alignment horizontal="center" wrapText="1"/>
    </xf>
    <xf numFmtId="6" fontId="39" fillId="0" borderId="11" xfId="0" applyNumberFormat="1" applyFont="1" applyBorder="1" applyAlignment="1">
      <alignment horizontal="center" vertical="center" wrapText="1"/>
    </xf>
    <xf numFmtId="0" fontId="39" fillId="0" borderId="48" xfId="0" applyFont="1" applyBorder="1" applyAlignment="1">
      <alignment vertical="center"/>
    </xf>
    <xf numFmtId="0" fontId="29" fillId="0" borderId="78" xfId="0" applyFont="1" applyBorder="1" applyAlignment="1">
      <alignment horizontal="center" wrapText="1"/>
    </xf>
    <xf numFmtId="0" fontId="29" fillId="0" borderId="79" xfId="0" applyFont="1" applyBorder="1" applyAlignment="1">
      <alignment horizontal="center" wrapText="1"/>
    </xf>
    <xf numFmtId="0" fontId="29" fillId="0" borderId="44" xfId="0" applyFont="1" applyBorder="1" applyAlignment="1">
      <alignment horizontal="center" wrapText="1"/>
    </xf>
    <xf numFmtId="0" fontId="29" fillId="0" borderId="47" xfId="0" applyFont="1" applyBorder="1"/>
    <xf numFmtId="10" fontId="0" fillId="0" borderId="0" xfId="0" applyNumberFormat="1"/>
    <xf numFmtId="0" fontId="29" fillId="0" borderId="100" xfId="0" applyFont="1" applyBorder="1" applyAlignment="1">
      <alignment horizontal="center" wrapText="1"/>
    </xf>
    <xf numFmtId="0" fontId="39" fillId="0" borderId="11" xfId="0" applyFont="1" applyBorder="1" applyAlignment="1">
      <alignment vertical="center"/>
    </xf>
    <xf numFmtId="0" fontId="41" fillId="0" borderId="48" xfId="0" applyFont="1" applyBorder="1" applyAlignment="1">
      <alignment horizontal="center" vertical="center"/>
    </xf>
    <xf numFmtId="0" fontId="41" fillId="0" borderId="63" xfId="0" applyFont="1" applyBorder="1" applyAlignment="1">
      <alignment horizontal="center" vertical="center"/>
    </xf>
    <xf numFmtId="0" fontId="41" fillId="0" borderId="46" xfId="0" applyFont="1" applyBorder="1" applyAlignment="1">
      <alignment horizontal="center" vertical="center"/>
    </xf>
    <xf numFmtId="10" fontId="39" fillId="0" borderId="42" xfId="31" applyNumberFormat="1" applyFont="1" applyBorder="1" applyAlignment="1">
      <alignment horizontal="center"/>
    </xf>
    <xf numFmtId="10" fontId="39" fillId="0" borderId="43" xfId="31" applyNumberFormat="1" applyFont="1" applyBorder="1" applyAlignment="1">
      <alignment horizontal="center"/>
    </xf>
    <xf numFmtId="6" fontId="41" fillId="0" borderId="63" xfId="0" applyNumberFormat="1" applyFont="1" applyBorder="1" applyAlignment="1">
      <alignment horizontal="center" vertical="center" wrapText="1"/>
    </xf>
    <xf numFmtId="167" fontId="21" fillId="0" borderId="0" xfId="76" applyAlignment="1">
      <alignment horizontal="center" vertical="center"/>
    </xf>
    <xf numFmtId="0" fontId="24" fillId="25" borderId="0" xfId="53" applyFill="1" applyAlignment="1">
      <alignment horizontal="center" wrapText="1"/>
    </xf>
    <xf numFmtId="0" fontId="24" fillId="25" borderId="0" xfId="53" applyFill="1" applyAlignment="1">
      <alignment horizontal="center" vertical="center" wrapText="1"/>
    </xf>
    <xf numFmtId="37" fontId="22" fillId="25" borderId="0" xfId="35" applyFont="1" applyFill="1" applyAlignment="1">
      <alignment horizontal="center" vertical="center"/>
    </xf>
    <xf numFmtId="0" fontId="24" fillId="25" borderId="0" xfId="53" applyFill="1" applyAlignment="1">
      <alignment horizontal="right" vertical="top"/>
    </xf>
    <xf numFmtId="37" fontId="31" fillId="25" borderId="0" xfId="35" applyFont="1" applyFill="1" applyAlignment="1">
      <alignment horizontal="center" vertical="center"/>
    </xf>
    <xf numFmtId="9" fontId="24" fillId="26" borderId="0" xfId="69" applyFont="1" applyFill="1" applyAlignment="1">
      <alignment horizontal="center" vertical="top"/>
    </xf>
    <xf numFmtId="37" fontId="0" fillId="25" borderId="0" xfId="35" applyFont="1" applyFill="1" applyAlignment="1">
      <alignment horizontal="center" vertical="center"/>
    </xf>
    <xf numFmtId="0" fontId="24" fillId="25" borderId="0" xfId="53" applyFill="1" applyAlignment="1">
      <alignment horizontal="center" vertical="top"/>
    </xf>
    <xf numFmtId="168" fontId="0" fillId="0" borderId="0" xfId="0" applyNumberFormat="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37" fontId="22" fillId="0" borderId="0" xfId="35" applyFont="1" applyAlignment="1" applyProtection="1">
      <alignment horizontal="center" vertical="center"/>
      <protection locked="0"/>
    </xf>
    <xf numFmtId="0" fontId="22" fillId="0" borderId="0" xfId="77" quotePrefix="1" applyFill="1">
      <alignment horizontal="left"/>
    </xf>
    <xf numFmtId="0" fontId="0" fillId="0" borderId="0" xfId="0" applyAlignment="1">
      <alignment horizontal="center"/>
    </xf>
    <xf numFmtId="0" fontId="59" fillId="34" borderId="0" xfId="0" quotePrefix="1" applyFont="1" applyFill="1" applyAlignment="1">
      <alignment horizontal="left"/>
    </xf>
    <xf numFmtId="0" fontId="60" fillId="34" borderId="0" xfId="0" quotePrefix="1" applyFont="1" applyFill="1" applyAlignment="1">
      <alignment horizontal="left" indent="1"/>
    </xf>
    <xf numFmtId="0" fontId="59" fillId="34" borderId="0" xfId="0" quotePrefix="1" applyFont="1" applyFill="1"/>
    <xf numFmtId="0" fontId="65" fillId="0" borderId="0" xfId="0" applyFont="1"/>
    <xf numFmtId="167" fontId="21" fillId="0" borderId="9" xfId="76" quotePrefix="1" applyBorder="1"/>
    <xf numFmtId="167" fontId="24" fillId="0" borderId="9" xfId="76" quotePrefix="1" applyFont="1" applyBorder="1"/>
    <xf numFmtId="0" fontId="0" fillId="34" borderId="0" xfId="0" applyFill="1" applyAlignment="1">
      <alignment horizontal="center"/>
    </xf>
    <xf numFmtId="0" fontId="22" fillId="34" borderId="0" xfId="77" quotePrefix="1" applyFill="1">
      <alignment horizontal="left"/>
    </xf>
    <xf numFmtId="0" fontId="64" fillId="34" borderId="91" xfId="77" applyFont="1" applyFill="1" applyBorder="1" applyAlignment="1">
      <alignment horizontal="center"/>
    </xf>
    <xf numFmtId="0" fontId="64" fillId="0" borderId="91" xfId="77" applyFont="1" applyFill="1" applyBorder="1" applyAlignment="1">
      <alignment horizontal="center"/>
    </xf>
    <xf numFmtId="0" fontId="68" fillId="34" borderId="91" xfId="77" quotePrefix="1" applyFont="1" applyFill="1" applyBorder="1" applyAlignment="1">
      <alignment horizontal="center"/>
    </xf>
    <xf numFmtId="0" fontId="22" fillId="34" borderId="91" xfId="77" quotePrefix="1" applyFill="1" applyBorder="1" applyAlignment="1">
      <alignment horizontal="center" vertical="center"/>
    </xf>
    <xf numFmtId="0" fontId="67" fillId="34" borderId="91" xfId="77" quotePrefix="1" applyFont="1" applyFill="1" applyBorder="1" applyAlignment="1">
      <alignment horizontal="center"/>
    </xf>
    <xf numFmtId="0" fontId="0" fillId="0" borderId="93" xfId="0" applyBorder="1"/>
    <xf numFmtId="0" fontId="0" fillId="0" borderId="94" xfId="0" applyBorder="1"/>
    <xf numFmtId="0" fontId="0" fillId="0" borderId="95" xfId="0" applyBorder="1"/>
    <xf numFmtId="0" fontId="67" fillId="0" borderId="91" xfId="77" quotePrefix="1" applyFont="1" applyFill="1" applyBorder="1" applyAlignment="1">
      <alignment horizontal="center"/>
    </xf>
    <xf numFmtId="0" fontId="22" fillId="0" borderId="47" xfId="77" applyFill="1" applyBorder="1" applyAlignment="1" applyProtection="1">
      <alignment horizontal="right"/>
      <protection locked="0"/>
    </xf>
    <xf numFmtId="0" fontId="22" fillId="0" borderId="48" xfId="77" applyFill="1" applyBorder="1" applyAlignment="1" applyProtection="1">
      <alignment horizontal="right"/>
      <protection locked="0"/>
    </xf>
    <xf numFmtId="0" fontId="24" fillId="0" borderId="91" xfId="53" applyBorder="1" applyAlignment="1" applyProtection="1">
      <alignment horizontal="center"/>
      <protection locked="0"/>
    </xf>
    <xf numFmtId="37" fontId="21" fillId="27" borderId="37" xfId="79" applyBorder="1" applyProtection="1">
      <alignment horizontal="center"/>
      <protection locked="0"/>
    </xf>
    <xf numFmtId="37" fontId="21" fillId="27" borderId="38" xfId="79" applyBorder="1" applyProtection="1">
      <alignment horizontal="center"/>
      <protection locked="0"/>
    </xf>
    <xf numFmtId="37" fontId="24" fillId="28" borderId="7" xfId="68" applyNumberFormat="1" applyAlignment="1">
      <alignment horizontal="center"/>
    </xf>
    <xf numFmtId="42" fontId="21" fillId="0" borderId="0" xfId="39" applyFont="1" applyAlignment="1">
      <alignment horizontal="left"/>
    </xf>
    <xf numFmtId="3" fontId="0" fillId="0" borderId="0" xfId="0" applyNumberFormat="1"/>
    <xf numFmtId="3" fontId="69" fillId="0" borderId="9" xfId="0" applyNumberFormat="1" applyFont="1" applyBorder="1" applyAlignment="1">
      <alignment horizontal="right" vertical="center" wrapText="1"/>
    </xf>
    <xf numFmtId="0" fontId="69" fillId="0" borderId="9" xfId="0" applyFont="1" applyBorder="1" applyAlignment="1">
      <alignment horizontal="right" vertical="center" wrapText="1"/>
    </xf>
    <xf numFmtId="3" fontId="0" fillId="0" borderId="9" xfId="0" applyNumberFormat="1" applyBorder="1"/>
    <xf numFmtId="168" fontId="21" fillId="0" borderId="0" xfId="0" applyNumberFormat="1" applyFont="1" applyAlignment="1" applyProtection="1">
      <alignment horizontal="center" vertical="center"/>
      <protection locked="0"/>
    </xf>
    <xf numFmtId="0" fontId="21" fillId="0" borderId="0" xfId="0" applyFont="1" applyAlignment="1" applyProtection="1">
      <alignment horizontal="center" vertical="center" wrapText="1"/>
      <protection locked="0"/>
    </xf>
    <xf numFmtId="0" fontId="21" fillId="0" borderId="0" xfId="0" applyFont="1" applyAlignment="1" applyProtection="1">
      <alignment horizontal="left" vertical="center" wrapText="1"/>
      <protection locked="0"/>
    </xf>
    <xf numFmtId="0" fontId="21" fillId="27" borderId="95" xfId="59" applyBorder="1">
      <alignment horizontal="left"/>
      <protection locked="0"/>
    </xf>
    <xf numFmtId="0" fontId="21" fillId="25" borderId="35" xfId="0" applyFont="1" applyFill="1" applyBorder="1" applyAlignment="1">
      <alignment horizontal="center" vertical="center" wrapText="1"/>
    </xf>
    <xf numFmtId="0" fontId="21" fillId="25" borderId="89" xfId="0" applyFont="1" applyFill="1" applyBorder="1" applyAlignment="1">
      <alignment horizontal="center" vertical="center" wrapText="1"/>
    </xf>
    <xf numFmtId="0" fontId="21" fillId="25" borderId="90" xfId="0" applyFont="1" applyFill="1" applyBorder="1" applyAlignment="1">
      <alignment horizontal="center" vertical="center" wrapText="1"/>
    </xf>
    <xf numFmtId="0" fontId="21" fillId="25" borderId="88" xfId="0" applyFont="1" applyFill="1" applyBorder="1" applyAlignment="1">
      <alignment horizontal="center" vertical="center" wrapText="1"/>
    </xf>
    <xf numFmtId="0" fontId="21" fillId="25" borderId="71" xfId="0" applyFont="1" applyFill="1" applyBorder="1" applyAlignment="1">
      <alignment horizontal="center" vertical="center" wrapText="1"/>
    </xf>
    <xf numFmtId="0" fontId="21" fillId="25" borderId="45" xfId="0" applyFont="1" applyFill="1" applyBorder="1" applyAlignment="1">
      <alignment horizontal="center" vertical="center" wrapText="1"/>
    </xf>
    <xf numFmtId="0" fontId="21" fillId="25" borderId="10" xfId="0" applyFont="1" applyFill="1" applyBorder="1" applyAlignment="1">
      <alignment horizontal="center" vertical="center" wrapText="1"/>
    </xf>
    <xf numFmtId="0" fontId="21" fillId="25" borderId="9" xfId="0" applyFont="1" applyFill="1" applyBorder="1" applyAlignment="1">
      <alignment horizontal="center" vertical="center" wrapText="1"/>
    </xf>
    <xf numFmtId="0" fontId="21" fillId="25" borderId="66" xfId="0" applyFont="1" applyFill="1" applyBorder="1" applyAlignment="1">
      <alignment horizontal="center" vertical="center" wrapText="1"/>
    </xf>
    <xf numFmtId="0" fontId="21" fillId="32" borderId="91" xfId="59" applyFill="1" applyBorder="1">
      <alignment horizontal="left"/>
      <protection locked="0"/>
    </xf>
    <xf numFmtId="0" fontId="21" fillId="0" borderId="93" xfId="0" applyFont="1" applyBorder="1"/>
    <xf numFmtId="0" fontId="21" fillId="0" borderId="94" xfId="0" applyFont="1" applyBorder="1"/>
    <xf numFmtId="0" fontId="21" fillId="0" borderId="95" xfId="0" applyFont="1" applyBorder="1"/>
    <xf numFmtId="0" fontId="21" fillId="0" borderId="88" xfId="0" applyFont="1" applyBorder="1"/>
    <xf numFmtId="0" fontId="21" fillId="0" borderId="90" xfId="0" applyFont="1" applyBorder="1"/>
    <xf numFmtId="0" fontId="56" fillId="27" borderId="93" xfId="59" applyFont="1" applyBorder="1" applyAlignment="1" applyProtection="1">
      <alignment horizontal="left" indent="1"/>
      <protection hidden="1"/>
    </xf>
    <xf numFmtId="0" fontId="21" fillId="0" borderId="91" xfId="0" applyFont="1" applyBorder="1" applyAlignment="1">
      <alignment horizontal="center" textRotation="90"/>
    </xf>
    <xf numFmtId="0" fontId="21" fillId="27" borderId="91" xfId="0" applyFont="1" applyFill="1" applyBorder="1" applyAlignment="1" applyProtection="1">
      <alignment horizontal="center" vertical="center"/>
      <protection locked="0"/>
    </xf>
    <xf numFmtId="42" fontId="21" fillId="22" borderId="91" xfId="39" applyFont="1" applyFill="1" applyBorder="1" applyAlignment="1" applyProtection="1">
      <alignment horizontal="left"/>
      <protection locked="0"/>
    </xf>
    <xf numFmtId="42" fontId="21" fillId="22" borderId="91" xfId="38" applyFont="1" applyFill="1" applyBorder="1" applyAlignment="1" applyProtection="1">
      <alignment horizontal="left"/>
      <protection locked="0"/>
    </xf>
    <xf numFmtId="42" fontId="21" fillId="22" borderId="92" xfId="38" applyFont="1" applyFill="1" applyBorder="1" applyAlignment="1" applyProtection="1">
      <alignment horizontal="left"/>
      <protection locked="0"/>
    </xf>
    <xf numFmtId="167" fontId="21" fillId="0" borderId="91" xfId="76" applyBorder="1"/>
    <xf numFmtId="0" fontId="22" fillId="0" borderId="91" xfId="77" applyFill="1" applyBorder="1">
      <alignment horizontal="left"/>
    </xf>
    <xf numFmtId="42" fontId="21" fillId="22" borderId="91" xfId="39" applyFont="1" applyFill="1" applyBorder="1" applyAlignment="1" applyProtection="1">
      <alignment horizontal="left" vertical="center"/>
      <protection locked="0"/>
    </xf>
    <xf numFmtId="42" fontId="21" fillId="0" borderId="91" xfId="0" applyNumberFormat="1" applyFont="1" applyBorder="1" applyAlignment="1">
      <alignment vertical="center"/>
    </xf>
    <xf numFmtId="9" fontId="21" fillId="0" borderId="91" xfId="69" applyFont="1" applyBorder="1" applyAlignment="1">
      <alignment horizontal="center" vertical="center"/>
    </xf>
    <xf numFmtId="42" fontId="21" fillId="22" borderId="91" xfId="38" applyFont="1" applyFill="1" applyBorder="1" applyAlignment="1" applyProtection="1">
      <alignment horizontal="left" vertical="center"/>
      <protection locked="0"/>
    </xf>
    <xf numFmtId="0" fontId="22" fillId="0" borderId="91" xfId="77" applyFill="1" applyBorder="1" applyAlignment="1">
      <alignment horizontal="left" indent="1"/>
    </xf>
    <xf numFmtId="37" fontId="21" fillId="22" borderId="91" xfId="35" applyFill="1" applyBorder="1" applyProtection="1">
      <alignment horizontal="center"/>
      <protection locked="0"/>
    </xf>
    <xf numFmtId="42" fontId="21" fillId="0" borderId="91" xfId="38" applyFont="1" applyBorder="1"/>
    <xf numFmtId="42" fontId="21" fillId="0" borderId="92" xfId="38" applyFont="1" applyBorder="1"/>
    <xf numFmtId="0" fontId="24" fillId="0" borderId="92" xfId="53" applyBorder="1" applyAlignment="1">
      <alignment horizontal="center" wrapText="1"/>
    </xf>
    <xf numFmtId="0" fontId="24" fillId="0" borderId="92" xfId="53" applyBorder="1" applyAlignment="1">
      <alignment horizontal="center" vertical="center" wrapText="1"/>
    </xf>
    <xf numFmtId="37" fontId="21" fillId="22" borderId="92" xfId="35" applyFill="1" applyBorder="1" applyProtection="1">
      <alignment horizontal="center"/>
      <protection locked="0"/>
    </xf>
    <xf numFmtId="0" fontId="24" fillId="25" borderId="91" xfId="53" applyFill="1" applyBorder="1" applyAlignment="1">
      <alignment horizontal="center"/>
    </xf>
    <xf numFmtId="0" fontId="23" fillId="0" borderId="91" xfId="51" applyBorder="1">
      <alignment horizontal="left"/>
    </xf>
    <xf numFmtId="0" fontId="24" fillId="0" borderId="91" xfId="53" applyBorder="1" applyAlignment="1">
      <alignment horizontal="left" vertical="top"/>
    </xf>
    <xf numFmtId="0" fontId="24" fillId="0" borderId="91" xfId="53" applyBorder="1" applyAlignment="1">
      <alignment horizontal="left" vertical="top" wrapText="1"/>
    </xf>
    <xf numFmtId="0" fontId="29" fillId="0" borderId="91" xfId="0" applyFont="1" applyBorder="1"/>
    <xf numFmtId="0" fontId="29" fillId="0" borderId="91" xfId="0" applyFont="1" applyBorder="1" applyAlignment="1">
      <alignment horizontal="center" wrapText="1"/>
    </xf>
    <xf numFmtId="0" fontId="0" fillId="0" borderId="91" xfId="0" applyBorder="1"/>
    <xf numFmtId="42" fontId="0" fillId="0" borderId="91" xfId="0" applyNumberFormat="1" applyBorder="1"/>
    <xf numFmtId="42" fontId="0" fillId="25" borderId="91" xfId="0" applyNumberFormat="1" applyFill="1" applyBorder="1"/>
    <xf numFmtId="37" fontId="0" fillId="0" borderId="91" xfId="0" applyNumberFormat="1" applyBorder="1"/>
    <xf numFmtId="169" fontId="0" fillId="0" borderId="91" xfId="0" applyNumberFormat="1" applyBorder="1"/>
    <xf numFmtId="171" fontId="0" fillId="0" borderId="91" xfId="0" applyNumberFormat="1" applyBorder="1"/>
    <xf numFmtId="0" fontId="29" fillId="0" borderId="91" xfId="0" applyFont="1" applyBorder="1" applyAlignment="1">
      <alignment horizontal="center"/>
    </xf>
    <xf numFmtId="0" fontId="0" fillId="0" borderId="91" xfId="0" applyBorder="1" applyAlignment="1">
      <alignment horizontal="center"/>
    </xf>
    <xf numFmtId="42" fontId="0" fillId="0" borderId="91" xfId="0" applyNumberFormat="1" applyBorder="1" applyAlignment="1">
      <alignment horizontal="center"/>
    </xf>
    <xf numFmtId="39" fontId="0" fillId="0" borderId="91" xfId="0" applyNumberFormat="1" applyBorder="1"/>
    <xf numFmtId="42" fontId="0" fillId="0" borderId="93" xfId="0" applyNumberFormat="1" applyBorder="1" applyAlignment="1">
      <alignment horizontal="center"/>
    </xf>
    <xf numFmtId="0" fontId="24" fillId="0" borderId="90" xfId="53" applyBorder="1" applyAlignment="1">
      <alignment horizontal="center" wrapText="1"/>
    </xf>
    <xf numFmtId="172" fontId="39" fillId="0" borderId="95" xfId="69" applyNumberFormat="1" applyFont="1" applyBorder="1" applyAlignment="1">
      <alignment horizontal="center"/>
    </xf>
    <xf numFmtId="41" fontId="39" fillId="0" borderId="95" xfId="31" applyFont="1" applyBorder="1" applyAlignment="1">
      <alignment horizontal="center"/>
    </xf>
    <xf numFmtId="0" fontId="29" fillId="25" borderId="91" xfId="0" applyFont="1" applyFill="1" applyBorder="1" applyAlignment="1">
      <alignment vertical="center"/>
    </xf>
    <xf numFmtId="0" fontId="29" fillId="25" borderId="91" xfId="0" applyFont="1" applyFill="1" applyBorder="1" applyAlignment="1">
      <alignment horizontal="center" wrapText="1"/>
    </xf>
    <xf numFmtId="42" fontId="39" fillId="0" borderId="91" xfId="0" applyNumberFormat="1" applyFont="1" applyBorder="1" applyAlignment="1">
      <alignment vertical="center"/>
    </xf>
    <xf numFmtId="9" fontId="41" fillId="0" borderId="91" xfId="69" applyFont="1" applyBorder="1" applyAlignment="1">
      <alignment horizontal="center" vertical="center"/>
    </xf>
    <xf numFmtId="37" fontId="39" fillId="0" borderId="91" xfId="31" applyNumberFormat="1" applyFont="1" applyBorder="1" applyAlignment="1">
      <alignment horizontal="center" vertical="center"/>
    </xf>
    <xf numFmtId="42" fontId="38" fillId="0" borderId="91" xfId="0" applyNumberFormat="1" applyFont="1" applyBorder="1" applyAlignment="1">
      <alignment vertical="center"/>
    </xf>
    <xf numFmtId="9" fontId="40" fillId="0" borderId="91" xfId="69" applyFont="1" applyBorder="1" applyAlignment="1">
      <alignment horizontal="center" vertical="center"/>
    </xf>
    <xf numFmtId="37" fontId="38" fillId="0" borderId="91" xfId="31" applyNumberFormat="1" applyFont="1" applyBorder="1" applyAlignment="1">
      <alignment horizontal="center" vertical="center"/>
    </xf>
    <xf numFmtId="42" fontId="39" fillId="0" borderId="95" xfId="0" applyNumberFormat="1" applyFont="1" applyBorder="1"/>
    <xf numFmtId="42" fontId="39" fillId="0" borderId="91" xfId="0" applyNumberFormat="1" applyFont="1" applyBorder="1"/>
    <xf numFmtId="42" fontId="39" fillId="0" borderId="90" xfId="0" applyNumberFormat="1" applyFont="1" applyBorder="1"/>
    <xf numFmtId="42" fontId="39" fillId="0" borderId="92" xfId="0" applyNumberFormat="1" applyFont="1" applyBorder="1"/>
    <xf numFmtId="37" fontId="39" fillId="0" borderId="92" xfId="31" applyNumberFormat="1" applyFont="1" applyBorder="1" applyAlignment="1">
      <alignment horizontal="center" vertical="center"/>
    </xf>
    <xf numFmtId="0" fontId="29" fillId="0" borderId="92" xfId="0" applyFont="1" applyBorder="1" applyAlignment="1">
      <alignment horizontal="center" wrapText="1"/>
    </xf>
    <xf numFmtId="0" fontId="24" fillId="0" borderId="90" xfId="53" applyBorder="1" applyAlignment="1">
      <alignment horizontal="center" vertical="center" wrapText="1"/>
    </xf>
    <xf numFmtId="0" fontId="39" fillId="0" borderId="91" xfId="0" applyFont="1" applyBorder="1"/>
    <xf numFmtId="169" fontId="39" fillId="0" borderId="91" xfId="31" applyNumberFormat="1" applyFont="1" applyBorder="1" applyAlignment="1">
      <alignment horizontal="center" vertical="center"/>
    </xf>
    <xf numFmtId="171" fontId="39" fillId="0" borderId="91" xfId="0" applyNumberFormat="1" applyFont="1" applyBorder="1"/>
    <xf numFmtId="42" fontId="21" fillId="0" borderId="93" xfId="38" applyFont="1" applyBorder="1" applyAlignment="1" applyProtection="1">
      <alignment horizontal="left"/>
      <protection locked="0"/>
    </xf>
    <xf numFmtId="37" fontId="21" fillId="0" borderId="93" xfId="35" applyBorder="1" applyProtection="1">
      <alignment horizontal="center"/>
      <protection locked="0"/>
    </xf>
    <xf numFmtId="42" fontId="21" fillId="0" borderId="91" xfId="38" applyFont="1" applyBorder="1" applyAlignment="1" applyProtection="1">
      <alignment horizontal="left"/>
      <protection locked="0"/>
    </xf>
    <xf numFmtId="37" fontId="21" fillId="0" borderId="91" xfId="35" applyBorder="1" applyProtection="1">
      <alignment horizontal="center"/>
      <protection locked="0"/>
    </xf>
    <xf numFmtId="10" fontId="0" fillId="0" borderId="91" xfId="0" applyNumberFormat="1" applyBorder="1" applyAlignment="1">
      <alignment horizontal="center"/>
    </xf>
    <xf numFmtId="6" fontId="21" fillId="22" borderId="91" xfId="38" applyNumberFormat="1" applyFont="1" applyFill="1" applyBorder="1" applyAlignment="1" applyProtection="1">
      <alignment horizontal="right"/>
      <protection locked="0"/>
    </xf>
    <xf numFmtId="37" fontId="70" fillId="25" borderId="0" xfId="35" applyFont="1" applyFill="1" applyAlignment="1">
      <alignment horizontal="center" vertical="center"/>
    </xf>
    <xf numFmtId="0" fontId="4" fillId="25" borderId="59" xfId="0" applyFont="1" applyFill="1" applyBorder="1"/>
    <xf numFmtId="0" fontId="4" fillId="25" borderId="67" xfId="0" applyFont="1" applyFill="1" applyBorder="1"/>
    <xf numFmtId="0" fontId="4" fillId="25" borderId="32" xfId="0" applyFont="1" applyFill="1" applyBorder="1"/>
    <xf numFmtId="0" fontId="4" fillId="25" borderId="86" xfId="0" applyFont="1" applyFill="1" applyBorder="1"/>
    <xf numFmtId="0" fontId="4" fillId="25" borderId="60" xfId="0" applyFont="1" applyFill="1" applyBorder="1"/>
    <xf numFmtId="0" fontId="4" fillId="0" borderId="88" xfId="0" applyFont="1" applyBorder="1"/>
    <xf numFmtId="0" fontId="4" fillId="0" borderId="89" xfId="0" applyFont="1" applyBorder="1"/>
    <xf numFmtId="0" fontId="4" fillId="0" borderId="90" xfId="0" applyFont="1" applyBorder="1"/>
    <xf numFmtId="0" fontId="4" fillId="0" borderId="9" xfId="0" applyFont="1" applyBorder="1"/>
    <xf numFmtId="0" fontId="4" fillId="0" borderId="10" xfId="0" applyFont="1" applyBorder="1"/>
    <xf numFmtId="0" fontId="4" fillId="0" borderId="0" xfId="0" applyFont="1" applyAlignment="1">
      <alignment wrapText="1"/>
    </xf>
    <xf numFmtId="0" fontId="4" fillId="0" borderId="0" xfId="0" applyFont="1"/>
    <xf numFmtId="0" fontId="4" fillId="0" borderId="0" xfId="0" applyFont="1" applyAlignment="1">
      <alignment horizontal="center"/>
    </xf>
    <xf numFmtId="0" fontId="4" fillId="0" borderId="0" xfId="51" applyFont="1">
      <alignment horizontal="left"/>
    </xf>
    <xf numFmtId="0" fontId="4" fillId="0" borderId="13" xfId="0" applyFont="1" applyBorder="1"/>
    <xf numFmtId="37" fontId="22" fillId="0" borderId="0" xfId="35" applyFont="1" applyFill="1" applyAlignment="1" applyProtection="1">
      <alignment horizontal="center" vertical="center"/>
      <protection locked="0"/>
    </xf>
    <xf numFmtId="0" fontId="4" fillId="0" borderId="0" xfId="0" quotePrefix="1" applyFont="1" applyAlignment="1">
      <alignment horizontal="center"/>
    </xf>
    <xf numFmtId="0" fontId="4" fillId="0" borderId="91" xfId="0" applyFont="1" applyBorder="1"/>
    <xf numFmtId="0" fontId="4" fillId="0" borderId="95" xfId="0" applyFont="1" applyBorder="1"/>
    <xf numFmtId="37" fontId="4" fillId="0" borderId="0" xfId="0" applyNumberFormat="1" applyFont="1"/>
    <xf numFmtId="37" fontId="4" fillId="0" borderId="38" xfId="31" applyNumberFormat="1" applyFont="1" applyBorder="1" applyAlignment="1">
      <alignment horizontal="center" vertical="center"/>
    </xf>
    <xf numFmtId="37" fontId="4" fillId="0" borderId="43" xfId="31" applyNumberFormat="1" applyFont="1" applyBorder="1" applyAlignment="1">
      <alignment horizontal="center" vertical="center"/>
    </xf>
    <xf numFmtId="42" fontId="4" fillId="0" borderId="38" xfId="69" applyNumberFormat="1" applyFont="1" applyBorder="1" applyAlignment="1">
      <alignment horizontal="center" vertical="center"/>
    </xf>
    <xf numFmtId="42" fontId="4" fillId="0" borderId="64" xfId="69" applyNumberFormat="1" applyFont="1" applyBorder="1" applyAlignment="1">
      <alignment horizontal="center" vertical="center"/>
    </xf>
    <xf numFmtId="42" fontId="4" fillId="0" borderId="73" xfId="69" applyNumberFormat="1" applyFont="1" applyBorder="1" applyAlignment="1">
      <alignment horizontal="center" vertical="center"/>
    </xf>
    <xf numFmtId="42" fontId="4" fillId="0" borderId="55" xfId="69" applyNumberFormat="1" applyFont="1" applyBorder="1" applyAlignment="1">
      <alignment horizontal="center" vertical="center"/>
    </xf>
    <xf numFmtId="2" fontId="4" fillId="0" borderId="64" xfId="0" applyNumberFormat="1" applyFont="1" applyBorder="1" applyAlignment="1">
      <alignment horizontal="center" vertical="center"/>
    </xf>
    <xf numFmtId="2" fontId="4" fillId="0" borderId="67" xfId="0" applyNumberFormat="1" applyFont="1" applyBorder="1" applyAlignment="1">
      <alignment horizontal="center" vertical="center"/>
    </xf>
    <xf numFmtId="10" fontId="4" fillId="0" borderId="38" xfId="69" applyNumberFormat="1" applyFont="1" applyBorder="1" applyAlignment="1">
      <alignment horizontal="center" vertical="center"/>
    </xf>
    <xf numFmtId="10" fontId="4" fillId="0" borderId="64" xfId="69" applyNumberFormat="1" applyFont="1" applyBorder="1" applyAlignment="1">
      <alignment horizontal="center" vertical="center"/>
    </xf>
    <xf numFmtId="9" fontId="4" fillId="0" borderId="43" xfId="69" applyFont="1" applyBorder="1" applyAlignment="1">
      <alignment horizontal="center" vertical="center"/>
    </xf>
    <xf numFmtId="0" fontId="4" fillId="25" borderId="33" xfId="0" applyFont="1" applyFill="1" applyBorder="1"/>
    <xf numFmtId="0" fontId="4" fillId="25" borderId="34" xfId="0" applyFont="1" applyFill="1" applyBorder="1"/>
    <xf numFmtId="0" fontId="4" fillId="0" borderId="41" xfId="0" applyFont="1" applyBorder="1"/>
    <xf numFmtId="0" fontId="4" fillId="0" borderId="33" xfId="0" applyFont="1" applyBorder="1"/>
    <xf numFmtId="0" fontId="4" fillId="0" borderId="45" xfId="0" applyFont="1" applyBorder="1"/>
    <xf numFmtId="0" fontId="4" fillId="0" borderId="34" xfId="0" applyFont="1" applyBorder="1"/>
    <xf numFmtId="42" fontId="4" fillId="0" borderId="59" xfId="0" applyNumberFormat="1" applyFont="1" applyBorder="1" applyAlignment="1">
      <alignment horizontal="left" indent="2"/>
    </xf>
    <xf numFmtId="0" fontId="4" fillId="25" borderId="49" xfId="0" applyFont="1" applyFill="1" applyBorder="1"/>
    <xf numFmtId="0" fontId="4" fillId="0" borderId="67" xfId="0" applyFont="1" applyBorder="1"/>
    <xf numFmtId="0" fontId="4" fillId="0" borderId="0" xfId="0" applyFont="1" applyAlignment="1">
      <alignment vertical="center"/>
    </xf>
    <xf numFmtId="0" fontId="4" fillId="0" borderId="28" xfId="0" applyFont="1" applyBorder="1" applyAlignment="1">
      <alignment horizontal="center"/>
    </xf>
    <xf numFmtId="0" fontId="4" fillId="34" borderId="0" xfId="0" applyFont="1" applyFill="1" applyAlignment="1">
      <alignment horizontal="center"/>
    </xf>
    <xf numFmtId="0" fontId="4" fillId="34" borderId="0" xfId="0" applyFont="1" applyFill="1"/>
    <xf numFmtId="0" fontId="4" fillId="0" borderId="0" xfId="0" applyFont="1" applyAlignment="1">
      <alignment horizontal="right"/>
    </xf>
    <xf numFmtId="0" fontId="4" fillId="0" borderId="91" xfId="0" applyFont="1" applyBorder="1" applyAlignment="1">
      <alignment horizontal="center" wrapText="1"/>
    </xf>
    <xf numFmtId="0" fontId="4" fillId="0" borderId="91" xfId="0" applyFont="1" applyBorder="1" applyAlignment="1">
      <alignment horizontal="center"/>
    </xf>
    <xf numFmtId="5" fontId="21" fillId="0" borderId="0" xfId="0" applyNumberFormat="1" applyFont="1"/>
    <xf numFmtId="37" fontId="21" fillId="27" borderId="61" xfId="35" applyFill="1" applyBorder="1" applyProtection="1">
      <alignment horizontal="center"/>
      <protection locked="0"/>
    </xf>
    <xf numFmtId="37" fontId="21" fillId="27" borderId="42" xfId="35" applyFill="1" applyBorder="1" applyProtection="1">
      <alignment horizontal="center"/>
      <protection locked="0"/>
    </xf>
    <xf numFmtId="37" fontId="21" fillId="27" borderId="91" xfId="100" applyProtection="1">
      <alignment horizontal="center"/>
      <protection locked="0"/>
    </xf>
    <xf numFmtId="42" fontId="21" fillId="22" borderId="37" xfId="90" applyFont="1" applyFill="1" applyBorder="1" applyAlignment="1" applyProtection="1">
      <alignment horizontal="left"/>
      <protection locked="0"/>
    </xf>
    <xf numFmtId="2" fontId="21" fillId="27" borderId="91" xfId="98" applyNumberFormat="1" applyAlignment="1">
      <alignment horizontal="center"/>
      <protection locked="0"/>
    </xf>
    <xf numFmtId="44" fontId="21" fillId="22" borderId="37" xfId="90" applyNumberFormat="1" applyFont="1" applyFill="1" applyBorder="1" applyAlignment="1" applyProtection="1">
      <alignment horizontal="left"/>
      <protection locked="0"/>
    </xf>
    <xf numFmtId="42" fontId="21" fillId="22" borderId="91" xfId="90" applyFont="1" applyFill="1" applyBorder="1" applyAlignment="1" applyProtection="1">
      <alignment horizontal="left"/>
      <protection locked="0"/>
    </xf>
    <xf numFmtId="42" fontId="21" fillId="27" borderId="42" xfId="90" applyFont="1" applyFill="1" applyBorder="1" applyAlignment="1" applyProtection="1">
      <alignment horizontal="left"/>
      <protection locked="0"/>
    </xf>
    <xf numFmtId="42" fontId="21" fillId="27" borderId="37" xfId="90" applyFont="1" applyFill="1" applyBorder="1" applyAlignment="1" applyProtection="1">
      <alignment horizontal="left"/>
      <protection locked="0"/>
    </xf>
    <xf numFmtId="37" fontId="21" fillId="27" borderId="37" xfId="100" applyBorder="1" applyProtection="1">
      <alignment horizontal="center"/>
      <protection locked="0"/>
    </xf>
    <xf numFmtId="39" fontId="21" fillId="27" borderId="37" xfId="100" applyNumberFormat="1" applyBorder="1" applyProtection="1">
      <alignment horizontal="center"/>
      <protection locked="0"/>
    </xf>
    <xf numFmtId="174" fontId="21" fillId="27" borderId="37" xfId="90" applyNumberFormat="1" applyFont="1" applyFill="1" applyBorder="1" applyAlignment="1" applyProtection="1">
      <alignment horizontal="left"/>
      <protection locked="0"/>
    </xf>
    <xf numFmtId="2" fontId="21" fillId="27" borderId="42" xfId="98" applyNumberFormat="1" applyBorder="1" applyAlignment="1">
      <alignment horizontal="center"/>
      <protection locked="0"/>
    </xf>
    <xf numFmtId="2" fontId="21" fillId="27" borderId="21" xfId="98" applyNumberFormat="1" applyBorder="1" applyAlignment="1">
      <alignment horizontal="center"/>
      <protection locked="0"/>
    </xf>
    <xf numFmtId="2" fontId="21" fillId="27" borderId="19" xfId="98" applyNumberFormat="1" applyBorder="1" applyAlignment="1">
      <alignment horizontal="center"/>
      <protection locked="0"/>
    </xf>
    <xf numFmtId="0" fontId="32" fillId="36" borderId="91" xfId="59" applyFont="1" applyFill="1" applyBorder="1" applyAlignment="1">
      <alignment horizontal="left" vertical="center" wrapText="1"/>
      <protection locked="0"/>
    </xf>
    <xf numFmtId="0" fontId="71" fillId="37" borderId="91" xfId="106" applyFont="1" applyFill="1" applyBorder="1"/>
    <xf numFmtId="0" fontId="71" fillId="37" borderId="91" xfId="106" applyFont="1" applyFill="1" applyBorder="1" applyAlignment="1">
      <alignment wrapText="1"/>
    </xf>
    <xf numFmtId="0" fontId="1" fillId="37" borderId="91" xfId="106" applyFill="1" applyBorder="1" applyAlignment="1">
      <alignment horizontal="right" vertical="center"/>
    </xf>
    <xf numFmtId="0" fontId="71" fillId="37" borderId="91" xfId="106" applyFont="1" applyFill="1" applyBorder="1" applyAlignment="1">
      <alignment horizontal="center" vertical="center"/>
    </xf>
    <xf numFmtId="0" fontId="1" fillId="37" borderId="91" xfId="106" applyFill="1" applyBorder="1" applyAlignment="1">
      <alignment vertical="center"/>
    </xf>
    <xf numFmtId="0" fontId="73" fillId="37" borderId="91" xfId="107" applyNumberFormat="1" applyFont="1" applyFill="1" applyBorder="1" applyAlignment="1" applyProtection="1">
      <alignment horizontal="right" vertical="center"/>
      <protection locked="0"/>
    </xf>
    <xf numFmtId="0" fontId="71" fillId="37" borderId="91" xfId="106" applyFont="1" applyFill="1" applyBorder="1" applyAlignment="1">
      <alignment horizontal="center" vertical="center" wrapText="1"/>
    </xf>
    <xf numFmtId="0" fontId="71" fillId="37" borderId="91" xfId="106" applyFont="1" applyFill="1" applyBorder="1" applyAlignment="1">
      <alignment horizontal="right"/>
    </xf>
    <xf numFmtId="0" fontId="1" fillId="37" borderId="91" xfId="108" applyFill="1" applyBorder="1"/>
    <xf numFmtId="14" fontId="1" fillId="37" borderId="91" xfId="108" applyNumberFormat="1" applyFill="1" applyBorder="1"/>
    <xf numFmtId="6" fontId="21" fillId="22" borderId="91" xfId="39" applyNumberFormat="1" applyFont="1" applyFill="1" applyBorder="1" applyAlignment="1" applyProtection="1">
      <alignment horizontal="left"/>
      <protection locked="0"/>
    </xf>
    <xf numFmtId="0" fontId="22" fillId="38" borderId="0" xfId="77" applyFill="1">
      <alignment horizontal="left"/>
    </xf>
    <xf numFmtId="0" fontId="23" fillId="25" borderId="30" xfId="0" applyFont="1" applyFill="1" applyBorder="1" applyAlignment="1">
      <alignment horizontal="center"/>
    </xf>
    <xf numFmtId="0" fontId="23" fillId="25" borderId="24" xfId="0" applyFont="1" applyFill="1" applyBorder="1" applyAlignment="1">
      <alignment horizontal="center"/>
    </xf>
    <xf numFmtId="0" fontId="23" fillId="25" borderId="20" xfId="0" applyFont="1" applyFill="1" applyBorder="1" applyAlignment="1">
      <alignment horizontal="center"/>
    </xf>
    <xf numFmtId="0" fontId="21" fillId="25" borderId="93" xfId="0" applyFont="1" applyFill="1" applyBorder="1" applyAlignment="1">
      <alignment horizontal="center" vertical="center" wrapText="1"/>
    </xf>
    <xf numFmtId="0" fontId="21" fillId="25" borderId="94" xfId="0" applyFont="1" applyFill="1" applyBorder="1" applyAlignment="1">
      <alignment horizontal="center" vertical="center" wrapText="1"/>
    </xf>
    <xf numFmtId="0" fontId="21" fillId="25" borderId="54" xfId="0" applyFont="1" applyFill="1" applyBorder="1" applyAlignment="1">
      <alignment horizontal="center" vertical="center" wrapText="1"/>
    </xf>
    <xf numFmtId="0" fontId="21" fillId="25" borderId="0" xfId="0" applyFont="1" applyFill="1" applyAlignment="1">
      <alignment horizontal="center" vertical="center" wrapText="1"/>
    </xf>
    <xf numFmtId="0" fontId="21" fillId="25" borderId="53" xfId="0" applyFont="1" applyFill="1" applyBorder="1" applyAlignment="1">
      <alignment horizontal="center" vertical="center" wrapText="1"/>
    </xf>
    <xf numFmtId="0" fontId="21" fillId="25" borderId="95" xfId="0" applyFont="1" applyFill="1" applyBorder="1" applyAlignment="1">
      <alignment horizontal="center" vertical="center" wrapText="1"/>
    </xf>
    <xf numFmtId="0" fontId="28" fillId="0" borderId="0" xfId="0" applyFont="1" applyAlignment="1">
      <alignment horizontal="left" wrapText="1"/>
    </xf>
    <xf numFmtId="0" fontId="18" fillId="31" borderId="0" xfId="12" applyFont="1" applyFill="1" applyBorder="1">
      <alignment horizontal="center" vertical="center"/>
    </xf>
    <xf numFmtId="0" fontId="28" fillId="0" borderId="0" xfId="0" quotePrefix="1" applyFont="1" applyAlignment="1">
      <alignment horizontal="left" vertical="center" wrapText="1"/>
    </xf>
    <xf numFmtId="0" fontId="28" fillId="0" borderId="10" xfId="0" quotePrefix="1" applyFont="1" applyBorder="1" applyAlignment="1">
      <alignment horizontal="left" vertical="center" wrapText="1"/>
    </xf>
    <xf numFmtId="0" fontId="28" fillId="0" borderId="0" xfId="0" applyFont="1" applyAlignment="1">
      <alignment horizontal="left" vertical="top" wrapText="1"/>
    </xf>
    <xf numFmtId="0" fontId="28" fillId="0" borderId="0" xfId="0" applyFont="1" applyAlignment="1">
      <alignment horizontal="left"/>
    </xf>
    <xf numFmtId="0" fontId="49" fillId="29" borderId="87" xfId="12" applyBorder="1">
      <alignment horizontal="center" vertical="center"/>
    </xf>
    <xf numFmtId="0" fontId="49" fillId="29" borderId="0" xfId="12" applyBorder="1">
      <alignment horizontal="center" vertical="center"/>
    </xf>
    <xf numFmtId="0" fontId="4" fillId="0" borderId="0" xfId="0" applyFont="1" applyAlignment="1">
      <alignment vertical="center" wrapText="1"/>
    </xf>
    <xf numFmtId="0" fontId="4" fillId="0" borderId="0" xfId="0" applyFont="1" applyAlignment="1">
      <alignment horizontal="left" vertical="center" wrapText="1"/>
    </xf>
    <xf numFmtId="5" fontId="21" fillId="22" borderId="93" xfId="39" applyNumberFormat="1" applyFont="1" applyFill="1" applyBorder="1" applyAlignment="1" applyProtection="1">
      <alignment horizontal="left"/>
      <protection locked="0"/>
    </xf>
    <xf numFmtId="5" fontId="21" fillId="22" borderId="94" xfId="39" applyNumberFormat="1" applyFont="1" applyFill="1" applyBorder="1" applyAlignment="1" applyProtection="1">
      <alignment horizontal="left"/>
      <protection locked="0"/>
    </xf>
    <xf numFmtId="5" fontId="21" fillId="22" borderId="95" xfId="39" applyNumberFormat="1" applyFont="1" applyFill="1" applyBorder="1" applyAlignment="1" applyProtection="1">
      <alignment horizontal="left"/>
      <protection locked="0"/>
    </xf>
    <xf numFmtId="37" fontId="21" fillId="27" borderId="93" xfId="79" applyBorder="1" applyAlignment="1" applyProtection="1">
      <alignment horizontal="left"/>
      <protection locked="0"/>
    </xf>
    <xf numFmtId="37" fontId="21" fillId="27" borderId="94" xfId="79" applyBorder="1" applyAlignment="1" applyProtection="1">
      <alignment horizontal="left"/>
      <protection locked="0"/>
    </xf>
    <xf numFmtId="37" fontId="21" fillId="27" borderId="95" xfId="79" applyBorder="1" applyAlignment="1" applyProtection="1">
      <alignment horizontal="left"/>
      <protection locked="0"/>
    </xf>
    <xf numFmtId="0" fontId="24" fillId="0" borderId="93" xfId="0" applyFont="1" applyBorder="1" applyAlignment="1">
      <alignment horizontal="center" vertical="center"/>
    </xf>
    <xf numFmtId="0" fontId="24" fillId="0" borderId="94" xfId="0" applyFont="1" applyBorder="1" applyAlignment="1">
      <alignment horizontal="center" vertical="center"/>
    </xf>
    <xf numFmtId="0" fontId="24" fillId="0" borderId="95" xfId="0" applyFont="1" applyBorder="1" applyAlignment="1">
      <alignment horizontal="center" vertical="center"/>
    </xf>
    <xf numFmtId="0" fontId="49" fillId="29" borderId="80" xfId="12">
      <alignment horizontal="center" vertical="center"/>
    </xf>
    <xf numFmtId="0" fontId="24" fillId="0" borderId="0" xfId="0" applyFont="1" applyAlignment="1">
      <alignment horizontal="center"/>
    </xf>
    <xf numFmtId="0" fontId="27" fillId="0" borderId="0" xfId="0" applyFont="1" applyAlignment="1">
      <alignment horizontal="center"/>
    </xf>
    <xf numFmtId="42" fontId="23" fillId="0" borderId="0" xfId="39" applyFont="1" applyAlignment="1" applyProtection="1">
      <alignment horizontal="center"/>
      <protection locked="0"/>
    </xf>
    <xf numFmtId="0" fontId="21" fillId="27" borderId="88" xfId="59" applyBorder="1" applyAlignment="1">
      <alignment horizontal="left" vertical="top"/>
      <protection locked="0"/>
    </xf>
    <xf numFmtId="0" fontId="21" fillId="27" borderId="89" xfId="59" applyBorder="1" applyAlignment="1">
      <alignment horizontal="left" vertical="top"/>
      <protection locked="0"/>
    </xf>
    <xf numFmtId="0" fontId="21" fillId="27" borderId="90" xfId="59" applyBorder="1" applyAlignment="1">
      <alignment horizontal="left" vertical="top"/>
      <protection locked="0"/>
    </xf>
    <xf numFmtId="0" fontId="21" fillId="27" borderId="9" xfId="59" applyBorder="1" applyAlignment="1">
      <alignment horizontal="left" vertical="top"/>
      <protection locked="0"/>
    </xf>
    <xf numFmtId="0" fontId="21" fillId="27" borderId="0" xfId="59" applyBorder="1" applyAlignment="1">
      <alignment horizontal="left" vertical="top"/>
      <protection locked="0"/>
    </xf>
    <xf numFmtId="0" fontId="21" fillId="27" borderId="10" xfId="59" applyBorder="1" applyAlignment="1">
      <alignment horizontal="left" vertical="top"/>
      <protection locked="0"/>
    </xf>
    <xf numFmtId="0" fontId="21" fillId="27" borderId="11" xfId="59" applyBorder="1" applyAlignment="1">
      <alignment horizontal="left" vertical="top"/>
      <protection locked="0"/>
    </xf>
    <xf numFmtId="0" fontId="21" fillId="27" borderId="12" xfId="59" applyBorder="1" applyAlignment="1">
      <alignment horizontal="left" vertical="top"/>
      <protection locked="0"/>
    </xf>
    <xf numFmtId="0" fontId="21" fillId="27" borderId="13" xfId="59" applyBorder="1" applyAlignment="1">
      <alignment horizontal="left" vertical="top"/>
      <protection locked="0"/>
    </xf>
    <xf numFmtId="0" fontId="21" fillId="28" borderId="7" xfId="67" applyFont="1" applyAlignment="1">
      <alignment horizontal="center"/>
    </xf>
    <xf numFmtId="0" fontId="23" fillId="0" borderId="30" xfId="51" applyBorder="1" applyAlignment="1">
      <alignment horizontal="center" vertical="center"/>
    </xf>
    <xf numFmtId="0" fontId="23" fillId="0" borderId="24" xfId="51" applyBorder="1" applyAlignment="1">
      <alignment horizontal="center" vertical="center"/>
    </xf>
    <xf numFmtId="0" fontId="23" fillId="0" borderId="20" xfId="51" applyBorder="1" applyAlignment="1">
      <alignment horizontal="center" vertical="center"/>
    </xf>
    <xf numFmtId="0" fontId="24" fillId="0" borderId="92" xfId="53" applyBorder="1" applyAlignment="1">
      <alignment horizontal="center" vertical="center" wrapText="1"/>
    </xf>
    <xf numFmtId="0" fontId="24" fillId="0" borderId="48" xfId="53" applyBorder="1" applyAlignment="1">
      <alignment horizontal="center" vertical="center" wrapText="1"/>
    </xf>
    <xf numFmtId="0" fontId="21" fillId="27" borderId="93" xfId="98" applyBorder="1" applyAlignment="1">
      <alignment horizontal="left" wrapText="1"/>
      <protection locked="0"/>
    </xf>
    <xf numFmtId="0" fontId="21" fillId="27" borderId="94" xfId="98" applyBorder="1" applyAlignment="1">
      <alignment horizontal="left" wrapText="1"/>
      <protection locked="0"/>
    </xf>
    <xf numFmtId="0" fontId="21" fillId="27" borderId="95" xfId="98" applyBorder="1" applyAlignment="1">
      <alignment horizontal="left" wrapText="1"/>
      <protection locked="0"/>
    </xf>
    <xf numFmtId="0" fontId="21" fillId="27" borderId="93" xfId="98" applyBorder="1">
      <alignment horizontal="left"/>
      <protection locked="0"/>
    </xf>
    <xf numFmtId="0" fontId="21" fillId="27" borderId="94" xfId="98" applyBorder="1">
      <alignment horizontal="left"/>
      <protection locked="0"/>
    </xf>
    <xf numFmtId="0" fontId="21" fillId="27" borderId="95" xfId="98" applyBorder="1">
      <alignment horizontal="left"/>
      <protection locked="0"/>
    </xf>
    <xf numFmtId="0" fontId="21" fillId="27" borderId="93" xfId="59" applyBorder="1">
      <alignment horizontal="left"/>
      <protection locked="0"/>
    </xf>
    <xf numFmtId="0" fontId="21" fillId="27" borderId="94" xfId="59" applyBorder="1">
      <alignment horizontal="left"/>
      <protection locked="0"/>
    </xf>
    <xf numFmtId="0" fontId="21" fillId="27" borderId="95" xfId="59" applyBorder="1">
      <alignment horizontal="left"/>
      <protection locked="0"/>
    </xf>
    <xf numFmtId="0" fontId="24" fillId="0" borderId="91" xfId="53" applyBorder="1" applyAlignment="1">
      <alignment horizontal="center"/>
    </xf>
    <xf numFmtId="0" fontId="21" fillId="27" borderId="93" xfId="59" applyBorder="1" applyAlignment="1">
      <alignment horizontal="left" wrapText="1"/>
      <protection locked="0"/>
    </xf>
    <xf numFmtId="0" fontId="21" fillId="27" borderId="94" xfId="59" applyBorder="1" applyAlignment="1">
      <alignment horizontal="left" wrapText="1"/>
      <protection locked="0"/>
    </xf>
    <xf numFmtId="0" fontId="21" fillId="27" borderId="95" xfId="59" applyBorder="1" applyAlignment="1">
      <alignment horizontal="left" wrapText="1"/>
      <protection locked="0"/>
    </xf>
    <xf numFmtId="0" fontId="49" fillId="29" borderId="96" xfId="12" applyBorder="1">
      <alignment horizontal="center" vertical="center"/>
    </xf>
    <xf numFmtId="0" fontId="49" fillId="29" borderId="97" xfId="12" applyBorder="1">
      <alignment horizontal="center" vertical="center"/>
    </xf>
    <xf numFmtId="0" fontId="49" fillId="29" borderId="98" xfId="12" applyBorder="1">
      <alignment horizontal="center" vertical="center"/>
    </xf>
    <xf numFmtId="10" fontId="21" fillId="33" borderId="93" xfId="0" applyNumberFormat="1" applyFont="1" applyFill="1" applyBorder="1" applyAlignment="1">
      <alignment horizontal="center"/>
    </xf>
    <xf numFmtId="10" fontId="21" fillId="33" borderId="94" xfId="0" applyNumberFormat="1" applyFont="1" applyFill="1" applyBorder="1" applyAlignment="1">
      <alignment horizontal="center"/>
    </xf>
    <xf numFmtId="10" fontId="21" fillId="33" borderId="95" xfId="0" applyNumberFormat="1" applyFont="1" applyFill="1" applyBorder="1" applyAlignment="1">
      <alignment horizontal="center"/>
    </xf>
    <xf numFmtId="0" fontId="24" fillId="0" borderId="91" xfId="54" applyBorder="1" applyAlignment="1">
      <alignment horizontal="center"/>
    </xf>
    <xf numFmtId="10" fontId="21" fillId="27" borderId="93" xfId="60" applyNumberFormat="1" applyBorder="1" applyAlignment="1">
      <alignment horizontal="center"/>
      <protection locked="0"/>
    </xf>
    <xf numFmtId="10" fontId="21" fillId="27" borderId="94" xfId="60" applyNumberFormat="1" applyBorder="1" applyAlignment="1">
      <alignment horizontal="center"/>
      <protection locked="0"/>
    </xf>
    <xf numFmtId="10" fontId="21" fillId="27" borderId="95" xfId="60" applyNumberFormat="1" applyBorder="1" applyAlignment="1">
      <alignment horizontal="center"/>
      <protection locked="0"/>
    </xf>
    <xf numFmtId="0" fontId="24" fillId="0" borderId="95" xfId="53" applyBorder="1" applyAlignment="1">
      <alignment horizontal="center" vertical="center" wrapText="1"/>
    </xf>
    <xf numFmtId="0" fontId="24" fillId="0" borderId="30" xfId="53" applyBorder="1" applyAlignment="1">
      <alignment horizontal="center"/>
    </xf>
    <xf numFmtId="0" fontId="24" fillId="0" borderId="20" xfId="53" applyBorder="1" applyAlignment="1">
      <alignment horizontal="center"/>
    </xf>
    <xf numFmtId="0" fontId="49" fillId="29" borderId="81" xfId="12" applyBorder="1">
      <alignment horizontal="center" vertical="center"/>
    </xf>
    <xf numFmtId="0" fontId="24" fillId="0" borderId="36" xfId="53" applyBorder="1" applyAlignment="1">
      <alignment horizontal="center"/>
    </xf>
    <xf numFmtId="0" fontId="24" fillId="0" borderId="61" xfId="53" applyBorder="1" applyAlignment="1">
      <alignment horizontal="center"/>
    </xf>
    <xf numFmtId="0" fontId="21" fillId="27" borderId="93" xfId="59" applyBorder="1" applyAlignment="1">
      <alignment horizontal="left" vertical="top" wrapText="1"/>
      <protection locked="0"/>
    </xf>
    <xf numFmtId="0" fontId="21" fillId="27" borderId="94" xfId="59" applyBorder="1" applyAlignment="1">
      <alignment horizontal="left" vertical="top" wrapText="1"/>
      <protection locked="0"/>
    </xf>
    <xf numFmtId="0" fontId="21" fillId="27" borderId="95" xfId="59" applyBorder="1" applyAlignment="1">
      <alignment horizontal="left" vertical="top" wrapText="1"/>
      <protection locked="0"/>
    </xf>
    <xf numFmtId="0" fontId="36" fillId="0" borderId="36" xfId="53" applyFont="1" applyBorder="1" applyAlignment="1">
      <alignment horizontal="center" wrapText="1"/>
    </xf>
    <xf numFmtId="0" fontId="36" fillId="0" borderId="61" xfId="53" applyFont="1" applyBorder="1" applyAlignment="1">
      <alignment horizontal="center" wrapText="1"/>
    </xf>
    <xf numFmtId="0" fontId="36" fillId="0" borderId="61" xfId="53" applyFont="1" applyBorder="1" applyAlignment="1">
      <alignment horizontal="center"/>
    </xf>
    <xf numFmtId="0" fontId="23" fillId="0" borderId="0" xfId="51" applyAlignment="1">
      <alignment horizontal="center"/>
    </xf>
    <xf numFmtId="0" fontId="55" fillId="0" borderId="0" xfId="51" applyFont="1" applyAlignment="1">
      <alignment horizontal="left" vertical="center"/>
    </xf>
    <xf numFmtId="0" fontId="23" fillId="0" borderId="67" xfId="51" applyBorder="1" applyAlignment="1">
      <alignment horizontal="center"/>
    </xf>
    <xf numFmtId="0" fontId="24" fillId="25" borderId="30" xfId="51" applyFont="1" applyFill="1" applyBorder="1" applyAlignment="1">
      <alignment horizontal="center"/>
    </xf>
    <xf numFmtId="0" fontId="24" fillId="25" borderId="20" xfId="51" applyFont="1" applyFill="1" applyBorder="1" applyAlignment="1">
      <alignment horizontal="center"/>
    </xf>
    <xf numFmtId="0" fontId="21" fillId="0" borderId="93" xfId="51" applyFont="1" applyBorder="1" applyAlignment="1">
      <alignment horizontal="left" vertical="top" wrapText="1"/>
    </xf>
    <xf numFmtId="0" fontId="21" fillId="0" borderId="94" xfId="51" applyFont="1" applyBorder="1" applyAlignment="1">
      <alignment horizontal="left" vertical="top" wrapText="1"/>
    </xf>
    <xf numFmtId="0" fontId="21" fillId="0" borderId="95" xfId="51" applyFont="1" applyBorder="1" applyAlignment="1">
      <alignment horizontal="left" vertical="top" wrapText="1"/>
    </xf>
    <xf numFmtId="0" fontId="50" fillId="0" borderId="0" xfId="51" applyFont="1" applyAlignment="1">
      <alignment horizontal="center"/>
    </xf>
    <xf numFmtId="0" fontId="24" fillId="25" borderId="91" xfId="51" applyFont="1" applyFill="1" applyBorder="1" applyAlignment="1">
      <alignment horizontal="center"/>
    </xf>
    <xf numFmtId="0" fontId="24" fillId="25" borderId="91" xfId="53" applyFill="1" applyBorder="1" applyAlignment="1">
      <alignment horizontal="center"/>
    </xf>
    <xf numFmtId="0" fontId="4" fillId="0" borderId="93" xfId="0" applyFont="1" applyBorder="1" applyAlignment="1">
      <alignment horizontal="center"/>
    </xf>
    <xf numFmtId="0" fontId="0" fillId="0" borderId="94" xfId="0" applyBorder="1" applyAlignment="1">
      <alignment horizontal="center"/>
    </xf>
    <xf numFmtId="0" fontId="0" fillId="0" borderId="95" xfId="0" applyBorder="1" applyAlignment="1">
      <alignment horizontal="center"/>
    </xf>
    <xf numFmtId="0" fontId="66" fillId="35" borderId="0" xfId="77" applyFont="1" applyFill="1" applyAlignment="1">
      <alignment horizontal="center" vertical="center" wrapText="1"/>
    </xf>
    <xf numFmtId="0" fontId="37" fillId="25" borderId="16" xfId="0" applyFont="1" applyFill="1" applyBorder="1" applyAlignment="1">
      <alignment horizontal="center"/>
    </xf>
    <xf numFmtId="0" fontId="37" fillId="25" borderId="18" xfId="0" applyFont="1" applyFill="1" applyBorder="1" applyAlignment="1">
      <alignment horizontal="center"/>
    </xf>
    <xf numFmtId="0" fontId="37" fillId="25" borderId="77" xfId="0" applyFont="1" applyFill="1" applyBorder="1" applyAlignment="1">
      <alignment horizontal="center"/>
    </xf>
    <xf numFmtId="0" fontId="29" fillId="25" borderId="62" xfId="0" applyFont="1" applyFill="1" applyBorder="1" applyAlignment="1">
      <alignment horizontal="center" vertical="center"/>
    </xf>
    <xf numFmtId="0" fontId="29" fillId="25" borderId="19" xfId="0" applyFont="1" applyFill="1" applyBorder="1" applyAlignment="1">
      <alignment horizontal="center" vertical="center"/>
    </xf>
    <xf numFmtId="0" fontId="29" fillId="25" borderId="17" xfId="0" applyFont="1" applyFill="1" applyBorder="1" applyAlignment="1">
      <alignment horizontal="center" vertical="center"/>
    </xf>
    <xf numFmtId="0" fontId="29" fillId="25" borderId="99" xfId="0" applyFont="1" applyFill="1" applyBorder="1" applyAlignment="1">
      <alignment horizontal="center" vertical="center"/>
    </xf>
    <xf numFmtId="0" fontId="29" fillId="25" borderId="18" xfId="0" applyFont="1" applyFill="1" applyBorder="1" applyAlignment="1">
      <alignment horizontal="center" vertical="center"/>
    </xf>
    <xf numFmtId="0" fontId="29" fillId="25" borderId="41" xfId="0" applyFont="1" applyFill="1" applyBorder="1" applyAlignment="1">
      <alignment horizontal="center" vertical="center"/>
    </xf>
    <xf numFmtId="0" fontId="29" fillId="25" borderId="15" xfId="0" applyFont="1" applyFill="1" applyBorder="1" applyAlignment="1">
      <alignment horizontal="center" vertical="center"/>
    </xf>
    <xf numFmtId="0" fontId="29" fillId="25" borderId="58" xfId="0" applyFont="1" applyFill="1" applyBorder="1" applyAlignment="1">
      <alignment horizontal="center" vertical="center"/>
    </xf>
    <xf numFmtId="0" fontId="29" fillId="25" borderId="16" xfId="0" applyFont="1" applyFill="1" applyBorder="1" applyAlignment="1">
      <alignment horizontal="center"/>
    </xf>
    <xf numFmtId="0" fontId="29" fillId="25" borderId="77" xfId="0" applyFont="1" applyFill="1" applyBorder="1" applyAlignment="1">
      <alignment horizontal="center"/>
    </xf>
    <xf numFmtId="0" fontId="38" fillId="25" borderId="33" xfId="0" applyFont="1" applyFill="1" applyBorder="1" applyAlignment="1">
      <alignment horizontal="center" vertical="center" wrapText="1"/>
    </xf>
    <xf numFmtId="0" fontId="38" fillId="25" borderId="34" xfId="0" applyFont="1" applyFill="1" applyBorder="1" applyAlignment="1">
      <alignment horizontal="center" vertical="center" wrapText="1"/>
    </xf>
    <xf numFmtId="0" fontId="38" fillId="25" borderId="27" xfId="0" applyFont="1" applyFill="1" applyBorder="1" applyAlignment="1">
      <alignment horizontal="center" vertical="center" wrapText="1"/>
    </xf>
    <xf numFmtId="0" fontId="29" fillId="25" borderId="18" xfId="0" applyFont="1" applyFill="1" applyBorder="1" applyAlignment="1">
      <alignment horizontal="center"/>
    </xf>
    <xf numFmtId="0" fontId="29" fillId="25" borderId="78" xfId="0" applyFont="1" applyFill="1" applyBorder="1" applyAlignment="1">
      <alignment horizontal="center"/>
    </xf>
    <xf numFmtId="0" fontId="29" fillId="25" borderId="79" xfId="0" applyFont="1" applyFill="1" applyBorder="1" applyAlignment="1">
      <alignment horizontal="center"/>
    </xf>
    <xf numFmtId="0" fontId="29" fillId="25" borderId="44" xfId="0" applyFont="1" applyFill="1" applyBorder="1" applyAlignment="1">
      <alignment horizontal="center"/>
    </xf>
    <xf numFmtId="0" fontId="29" fillId="25" borderId="25" xfId="0" applyFont="1" applyFill="1" applyBorder="1" applyAlignment="1">
      <alignment horizontal="center" vertical="center" wrapText="1"/>
    </xf>
    <xf numFmtId="0" fontId="29" fillId="25" borderId="28" xfId="0" applyFont="1" applyFill="1" applyBorder="1" applyAlignment="1">
      <alignment horizontal="center" vertical="center" wrapText="1"/>
    </xf>
    <xf numFmtId="0" fontId="24" fillId="0" borderId="30" xfId="53" applyBorder="1" applyAlignment="1">
      <alignment horizontal="center" wrapText="1"/>
    </xf>
    <xf numFmtId="0" fontId="24" fillId="0" borderId="35" xfId="53" applyBorder="1" applyAlignment="1">
      <alignment horizontal="center" wrapText="1"/>
    </xf>
    <xf numFmtId="0" fontId="38" fillId="0" borderId="36" xfId="0" applyFont="1" applyBorder="1" applyAlignment="1">
      <alignment horizontal="center"/>
    </xf>
    <xf numFmtId="0" fontId="38" fillId="0" borderId="61" xfId="0" applyFont="1" applyBorder="1" applyAlignment="1">
      <alignment horizontal="center"/>
    </xf>
    <xf numFmtId="0" fontId="38" fillId="0" borderId="75" xfId="0" applyFont="1" applyBorder="1" applyAlignment="1">
      <alignment horizontal="center"/>
    </xf>
    <xf numFmtId="0" fontId="21" fillId="27" borderId="16" xfId="59" applyBorder="1">
      <alignment horizontal="left"/>
      <protection locked="0"/>
    </xf>
    <xf numFmtId="0" fontId="21" fillId="27" borderId="18" xfId="59" applyBorder="1">
      <alignment horizontal="left"/>
      <protection locked="0"/>
    </xf>
    <xf numFmtId="0" fontId="21" fillId="27" borderId="77" xfId="59" applyBorder="1">
      <alignment horizontal="left"/>
      <protection locked="0"/>
    </xf>
    <xf numFmtId="0" fontId="29" fillId="25" borderId="91" xfId="0" applyFont="1" applyFill="1" applyBorder="1" applyAlignment="1">
      <alignment horizontal="center" vertical="center"/>
    </xf>
    <xf numFmtId="0" fontId="29" fillId="25" borderId="93" xfId="0" applyFont="1" applyFill="1" applyBorder="1" applyAlignment="1">
      <alignment horizontal="center" vertical="center"/>
    </xf>
    <xf numFmtId="0" fontId="29" fillId="25" borderId="94" xfId="0" applyFont="1" applyFill="1" applyBorder="1" applyAlignment="1">
      <alignment horizontal="center" vertical="center"/>
    </xf>
    <xf numFmtId="0" fontId="29" fillId="25" borderId="95" xfId="0" applyFont="1" applyFill="1" applyBorder="1" applyAlignment="1">
      <alignment horizontal="center" vertical="center"/>
    </xf>
    <xf numFmtId="0" fontId="37" fillId="0" borderId="0" xfId="0" applyFont="1" applyAlignment="1">
      <alignment horizontal="center"/>
    </xf>
    <xf numFmtId="0" fontId="29" fillId="0" borderId="25"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6" xfId="0" applyFont="1" applyBorder="1" applyAlignment="1">
      <alignment horizontal="center" vertical="center"/>
    </xf>
    <xf numFmtId="0" fontId="29" fillId="0" borderId="74" xfId="0" applyFont="1" applyBorder="1" applyAlignment="1">
      <alignment horizontal="center" vertical="center"/>
    </xf>
    <xf numFmtId="0" fontId="29" fillId="0" borderId="61" xfId="0" applyFont="1" applyBorder="1" applyAlignment="1">
      <alignment horizontal="center" vertical="center"/>
    </xf>
    <xf numFmtId="0" fontId="29" fillId="0" borderId="26" xfId="0" applyFont="1" applyBorder="1" applyAlignment="1">
      <alignment horizontal="center" vertical="center" wrapText="1"/>
    </xf>
    <xf numFmtId="0" fontId="27" fillId="0" borderId="16" xfId="0" applyFont="1" applyBorder="1" applyAlignment="1">
      <alignment horizontal="center"/>
    </xf>
    <xf numFmtId="0" fontId="27" fillId="0" borderId="18" xfId="0" applyFont="1" applyBorder="1" applyAlignment="1">
      <alignment horizontal="center"/>
    </xf>
    <xf numFmtId="0" fontId="27" fillId="0" borderId="77" xfId="0" applyFont="1" applyBorder="1" applyAlignment="1">
      <alignment horizontal="center"/>
    </xf>
    <xf numFmtId="0" fontId="24" fillId="0" borderId="62" xfId="0" applyFont="1" applyBorder="1" applyAlignment="1">
      <alignment horizontal="center"/>
    </xf>
    <xf numFmtId="0" fontId="24" fillId="0" borderId="17" xfId="0" applyFont="1" applyBorder="1" applyAlignment="1">
      <alignment horizontal="center"/>
    </xf>
    <xf numFmtId="0" fontId="24" fillId="0" borderId="19" xfId="0" applyFont="1" applyBorder="1" applyAlignment="1">
      <alignment horizontal="center"/>
    </xf>
    <xf numFmtId="0" fontId="49" fillId="29" borderId="83" xfId="12" applyBorder="1">
      <alignment horizontal="center" vertical="center"/>
    </xf>
    <xf numFmtId="0" fontId="49" fillId="29" borderId="84" xfId="12" applyBorder="1">
      <alignment horizontal="center" vertical="center"/>
    </xf>
    <xf numFmtId="0" fontId="49" fillId="29" borderId="85" xfId="12" applyBorder="1">
      <alignment horizontal="center" vertical="center"/>
    </xf>
    <xf numFmtId="0" fontId="37" fillId="0" borderId="88" xfId="0" applyFont="1" applyBorder="1" applyAlignment="1">
      <alignment horizontal="center"/>
    </xf>
    <xf numFmtId="0" fontId="37" fillId="0" borderId="89" xfId="0" applyFont="1" applyBorder="1" applyAlignment="1">
      <alignment horizontal="center"/>
    </xf>
    <xf numFmtId="0" fontId="37" fillId="0" borderId="90" xfId="0" applyFont="1" applyBorder="1" applyAlignment="1">
      <alignment horizontal="center"/>
    </xf>
    <xf numFmtId="0" fontId="29" fillId="0" borderId="91" xfId="0" applyFont="1" applyBorder="1" applyAlignment="1">
      <alignment horizontal="center" vertical="center"/>
    </xf>
  </cellXfs>
  <cellStyles count="109">
    <cellStyle name="20% - Accent1" xfId="1" builtinId="30" hidden="1" customBuiltin="1"/>
    <cellStyle name="20% - Accent1" xfId="77" builtinId="30"/>
    <cellStyle name="20% - Accent2" xfId="2" builtinId="34" hidden="1" customBuiltin="1"/>
    <cellStyle name="20% - Accent3" xfId="3" builtinId="38" hidden="1" customBuiltin="1"/>
    <cellStyle name="20% - Accent4" xfId="4" builtinId="42" hidden="1" customBuiltin="1"/>
    <cellStyle name="20% - Accent5" xfId="5" builtinId="46" hidden="1" customBuiltin="1"/>
    <cellStyle name="20% - Accent6" xfId="6" builtinId="50" hidden="1" customBuiltin="1"/>
    <cellStyle name="40% - Accent1" xfId="7" builtinId="31" hidden="1" customBuiltin="1"/>
    <cellStyle name="40% - Accent2" xfId="8" builtinId="35" hidden="1" customBuiltin="1"/>
    <cellStyle name="40% - Accent3" xfId="9" builtinId="39" hidden="1" customBuiltin="1"/>
    <cellStyle name="40% - Accent4" xfId="10" builtinId="43" hidden="1" customBuiltin="1"/>
    <cellStyle name="40% - Accent5" xfId="11" builtinId="47" hidden="1" customBuiltin="1"/>
    <cellStyle name="40% - Accent6" xfId="13" builtinId="51" hidden="1" customBuiltin="1"/>
    <cellStyle name="60% - Accent1" xfId="14" builtinId="32" hidden="1" customBuiltin="1"/>
    <cellStyle name="60% - Accent2" xfId="15" builtinId="36" hidden="1" customBuiltin="1"/>
    <cellStyle name="60% - Accent3" xfId="16" builtinId="40" hidden="1" customBuiltin="1"/>
    <cellStyle name="60% - Accent4" xfId="17" builtinId="44" hidden="1" customBuiltin="1"/>
    <cellStyle name="60% - Accent5" xfId="18" builtinId="48" hidden="1" customBuiltin="1"/>
    <cellStyle name="60% - Accent6" xfId="19" builtinId="52" hidden="1" customBuiltin="1"/>
    <cellStyle name="Accent1" xfId="20" builtinId="29" hidden="1" customBuiltin="1"/>
    <cellStyle name="Accent2" xfId="21" builtinId="33" hidden="1" customBuiltin="1"/>
    <cellStyle name="Accent3" xfId="22" builtinId="37" hidden="1" customBuiltin="1"/>
    <cellStyle name="Accent4" xfId="23" builtinId="41" hidden="1" customBuiltin="1"/>
    <cellStyle name="Accent5" xfId="24" builtinId="45" hidden="1" customBuiltin="1"/>
    <cellStyle name="Accent6" xfId="25" builtinId="49" hidden="1" customBuiltin="1"/>
    <cellStyle name="Bad" xfId="26" builtinId="27" customBuiltin="1"/>
    <cellStyle name="Border1" xfId="12" xr:uid="{00000000-0005-0000-0000-00001A000000}"/>
    <cellStyle name="Calculation" xfId="27" builtinId="22" customBuiltin="1"/>
    <cellStyle name="Calculation 2" xfId="28" xr:uid="{00000000-0005-0000-0000-00001C000000}"/>
    <cellStyle name="Check Cell" xfId="29" builtinId="23" customBuiltin="1"/>
    <cellStyle name="Check Cell 2" xfId="30" xr:uid="{00000000-0005-0000-0000-00001E000000}"/>
    <cellStyle name="Comma [0]" xfId="31" builtinId="6"/>
    <cellStyle name="Comma [0] 2 2" xfId="32" xr:uid="{00000000-0005-0000-0000-000020000000}"/>
    <cellStyle name="Comma [0] 2 2 2" xfId="85" xr:uid="{17BA07E3-467D-4C82-87F2-2AA8E96E5451}"/>
    <cellStyle name="Comma [0] 4" xfId="33" xr:uid="{00000000-0005-0000-0000-000021000000}"/>
    <cellStyle name="Comma [0] 4 2" xfId="86" xr:uid="{8260094E-C01C-42AC-84A0-7C9787C9A147}"/>
    <cellStyle name="Comma [0] 5" xfId="34" xr:uid="{00000000-0005-0000-0000-000022000000}"/>
    <cellStyle name="Comma [0] 5 2" xfId="87" xr:uid="{18317EB1-BFCF-4BA7-A06E-4B98BC925B50}"/>
    <cellStyle name="Comma 1" xfId="36" xr:uid="{00000000-0005-0000-0000-000023000000}"/>
    <cellStyle name="Comma 3 2" xfId="37" xr:uid="{00000000-0005-0000-0000-000024000000}"/>
    <cellStyle name="Comma 3 2 2" xfId="88" xr:uid="{BFC6CD84-C53A-446A-B26F-8345350F1DD5}"/>
    <cellStyle name="Currency [0]" xfId="38" builtinId="7"/>
    <cellStyle name="Currency [0] 2" xfId="39" xr:uid="{00000000-0005-0000-0000-000026000000}"/>
    <cellStyle name="Currency [0] 2 2" xfId="40" xr:uid="{00000000-0005-0000-0000-000027000000}"/>
    <cellStyle name="Currency [0] 2 2 2" xfId="90" xr:uid="{A874EBA8-79AA-4CE1-BA43-B88FEC40A781}"/>
    <cellStyle name="Currency [0] 2 3" xfId="89" xr:uid="{2CB683A8-2CFD-48EB-A4DD-4390C79644E0}"/>
    <cellStyle name="Currency [0] 3" xfId="41" xr:uid="{00000000-0005-0000-0000-000028000000}"/>
    <cellStyle name="Currency [0] 3 2" xfId="91" xr:uid="{37634CC9-AF7C-4293-B096-905EC0681D99}"/>
    <cellStyle name="Currency [0] 4" xfId="42" xr:uid="{00000000-0005-0000-0000-000029000000}"/>
    <cellStyle name="Currency [0] 4 2" xfId="92" xr:uid="{0D1D9E3C-BE42-4E80-92F5-B45BBAD781D9}"/>
    <cellStyle name="Currency [0] 5" xfId="43" xr:uid="{00000000-0005-0000-0000-00002A000000}"/>
    <cellStyle name="Currency [0] 5 2" xfId="93" xr:uid="{D96D9B0B-865E-4910-9953-F840C6377EB7}"/>
    <cellStyle name="Currency 10" xfId="84" xr:uid="{C1624581-869E-4F3E-BDAE-7AC46761C5B6}"/>
    <cellStyle name="Currency 10 2" xfId="105" xr:uid="{086294B0-21F2-432C-963C-A48EF82E7579}"/>
    <cellStyle name="Currency 2" xfId="44" xr:uid="{00000000-0005-0000-0000-00002B000000}"/>
    <cellStyle name="Currency 2 2" xfId="94" xr:uid="{E408941E-7367-4E44-82BC-EB1E1DFF1483}"/>
    <cellStyle name="Currency 3" xfId="45" xr:uid="{00000000-0005-0000-0000-00002C000000}"/>
    <cellStyle name="Currency 3 2" xfId="46" xr:uid="{00000000-0005-0000-0000-00002D000000}"/>
    <cellStyle name="Currency 3 2 2" xfId="96" xr:uid="{2581D99C-8658-4D92-9452-916D9818112C}"/>
    <cellStyle name="Currency 3 3" xfId="95" xr:uid="{B279235C-183A-488E-8383-C720F9F73806}"/>
    <cellStyle name="Currency 4" xfId="81" xr:uid="{00000000-0005-0000-0000-00002E000000}"/>
    <cellStyle name="Currency 4 2" xfId="102" xr:uid="{08B6D109-64FA-4EA1-BFCE-52361BAB73F7}"/>
    <cellStyle name="Currency 5" xfId="83" xr:uid="{00000000-0005-0000-0000-00002F000000}"/>
    <cellStyle name="Currency 5 2" xfId="104" xr:uid="{2106A164-4CCA-42D9-86C0-32F8C52ED3EF}"/>
    <cellStyle name="Explanatory Text" xfId="47" builtinId="53" customBuiltin="1"/>
    <cellStyle name="Explanatory Text 2" xfId="48" xr:uid="{00000000-0005-0000-0000-000031000000}"/>
    <cellStyle name="Glossary" xfId="78" xr:uid="{00000000-0005-0000-0000-000032000000}"/>
    <cellStyle name="Glossary 2" xfId="99" xr:uid="{8083496E-FE1A-4812-8E04-AC7645F48F32}"/>
    <cellStyle name="Good" xfId="49" builtinId="26" customBuiltin="1"/>
    <cellStyle name="Good 2" xfId="50" xr:uid="{00000000-0005-0000-0000-000034000000}"/>
    <cellStyle name="Heading 1" xfId="51" builtinId="16" customBuiltin="1"/>
    <cellStyle name="Heading 1 2" xfId="52" xr:uid="{00000000-0005-0000-0000-000036000000}"/>
    <cellStyle name="Heading 2" xfId="53" builtinId="17" customBuiltin="1"/>
    <cellStyle name="Heading 2 2" xfId="54" xr:uid="{00000000-0005-0000-0000-000038000000}"/>
    <cellStyle name="Heading 2 3" xfId="107" xr:uid="{2AE75127-179E-41F5-BBDB-A005D6D31A8A}"/>
    <cellStyle name="Heading 3" xfId="55" builtinId="18" customBuiltin="1"/>
    <cellStyle name="Heading 3 2" xfId="56" xr:uid="{00000000-0005-0000-0000-00003A000000}"/>
    <cellStyle name="Heading 4" xfId="57" builtinId="19" customBuiltin="1"/>
    <cellStyle name="Heading 4 2" xfId="58" xr:uid="{00000000-0005-0000-0000-00003C000000}"/>
    <cellStyle name="Input" xfId="59" builtinId="20" customBuiltin="1"/>
    <cellStyle name="Input 2" xfId="60" xr:uid="{00000000-0005-0000-0000-00003E000000}"/>
    <cellStyle name="Input 2 2" xfId="98" xr:uid="{3B02FB93-4A03-4E30-A6BA-DFA8B6DB04E4}"/>
    <cellStyle name="Input 3" xfId="97" xr:uid="{7EFC0065-5960-4C91-9B9C-BD19CDB60FD8}"/>
    <cellStyle name="Linked Cell" xfId="61" builtinId="24" customBuiltin="1"/>
    <cellStyle name="Linked Cell 2" xfId="62" xr:uid="{00000000-0005-0000-0000-000040000000}"/>
    <cellStyle name="Neutral" xfId="63" builtinId="28" customBuiltin="1"/>
    <cellStyle name="Neutral 2" xfId="64" xr:uid="{00000000-0005-0000-0000-000042000000}"/>
    <cellStyle name="Normal" xfId="0" builtinId="0"/>
    <cellStyle name="Normal - Numbering" xfId="76" xr:uid="{00000000-0005-0000-0000-000044000000}"/>
    <cellStyle name="Normal 2" xfId="80" xr:uid="{00000000-0005-0000-0000-000045000000}"/>
    <cellStyle name="Normal 2 2" xfId="101" xr:uid="{DD66F5CA-3729-4A33-AD15-7D072D1451CF}"/>
    <cellStyle name="Normal 3" xfId="82" xr:uid="{00000000-0005-0000-0000-000046000000}"/>
    <cellStyle name="Normal 3 2" xfId="103" xr:uid="{B91CA5DA-A131-49E1-94A4-236FAE8A1776}"/>
    <cellStyle name="Normal 4" xfId="106" xr:uid="{65D73422-518D-447E-944B-FA4FDCDA7A73}"/>
    <cellStyle name="Normal 5" xfId="108" xr:uid="{5B4D6C2F-C891-48FA-A520-84CDBC1AC3A9}"/>
    <cellStyle name="Note" xfId="65" builtinId="10" customBuiltin="1"/>
    <cellStyle name="Note 2" xfId="66" xr:uid="{00000000-0005-0000-0000-000048000000}"/>
    <cellStyle name="Number_#,###" xfId="35" xr:uid="{00000000-0005-0000-0000-000049000000}"/>
    <cellStyle name="Number_#,### 2" xfId="79" xr:uid="{00000000-0005-0000-0000-00004A000000}"/>
    <cellStyle name="Number_#,### 2 2" xfId="100" xr:uid="{04403892-1147-4126-8E00-01D56BE2A4E0}"/>
    <cellStyle name="Output" xfId="67" builtinId="21" customBuiltin="1"/>
    <cellStyle name="Output 2" xfId="68" xr:uid="{00000000-0005-0000-0000-00004C000000}"/>
    <cellStyle name="Percent" xfId="69" builtinId="5"/>
    <cellStyle name="Title" xfId="70" builtinId="15" customBuiltin="1"/>
    <cellStyle name="Title 2" xfId="71" xr:uid="{00000000-0005-0000-0000-00004F000000}"/>
    <cellStyle name="Total" xfId="72" builtinId="25" customBuiltin="1"/>
    <cellStyle name="Total 2" xfId="73" xr:uid="{00000000-0005-0000-0000-000051000000}"/>
    <cellStyle name="Warning Text" xfId="74" builtinId="11" customBuiltin="1"/>
    <cellStyle name="Warning Text 2" xfId="75" xr:uid="{00000000-0005-0000-0000-000053000000}"/>
  </cellStyles>
  <dxfs count="118">
    <dxf>
      <font>
        <color rgb="FF00B050"/>
      </font>
    </dxf>
    <dxf>
      <fill>
        <patternFill patternType="gray125"/>
      </fill>
    </dxf>
    <dxf>
      <fill>
        <patternFill patternType="gray125"/>
      </fill>
    </dxf>
    <dxf>
      <fill>
        <patternFill patternType="gray125"/>
      </fill>
    </dxf>
    <dxf>
      <fill>
        <patternFill patternType="gray125"/>
      </fill>
    </dxf>
    <dxf>
      <fill>
        <patternFill>
          <bgColor theme="0"/>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border>
        <left style="thin">
          <color auto="1"/>
        </left>
        <right style="thin">
          <color auto="1"/>
        </right>
        <top style="thin">
          <color auto="1"/>
        </top>
        <bottom style="thin">
          <color auto="1"/>
        </bottom>
      </border>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rgb="FF000000"/>
        </top>
      </border>
    </dxf>
    <dxf>
      <border outline="0">
        <left style="thin">
          <color rgb="FF000000"/>
        </left>
        <right style="thin">
          <color rgb="FF000000"/>
        </right>
        <top style="thin">
          <color rgb="FF000000"/>
        </top>
        <bottom style="medium">
          <color rgb="FF000000"/>
        </bottom>
      </border>
    </dxf>
    <dxf>
      <border outline="0">
        <bottom style="thin">
          <color rgb="FF000000"/>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medium">
          <color indexed="64"/>
        </bottom>
      </border>
    </dxf>
    <dxf>
      <border outline="0">
        <bottom style="thin">
          <color indexed="64"/>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extLst>
              <c:ext xmlns:c16="http://schemas.microsoft.com/office/drawing/2014/chart" uri="{C3380CC4-5D6E-409C-BE32-E72D297353CC}">
                <c16:uniqueId val="{00000000-9DD1-48F2-9FC0-C6C2C705DEBA}"/>
              </c:ext>
            </c:extLst>
          </c:dPt>
          <c:dPt>
            <c:idx val="1"/>
            <c:bubble3D val="0"/>
            <c:extLst>
              <c:ext xmlns:c16="http://schemas.microsoft.com/office/drawing/2014/chart" uri="{C3380CC4-5D6E-409C-BE32-E72D297353CC}">
                <c16:uniqueId val="{00000001-9DD1-48F2-9FC0-C6C2C705DEBA}"/>
              </c:ext>
            </c:extLst>
          </c:dPt>
          <c:dPt>
            <c:idx val="2"/>
            <c:bubble3D val="0"/>
            <c:extLst>
              <c:ext xmlns:c16="http://schemas.microsoft.com/office/drawing/2014/chart" uri="{C3380CC4-5D6E-409C-BE32-E72D297353CC}">
                <c16:uniqueId val="{00000002-9DD1-48F2-9FC0-C6C2C705DEBA}"/>
              </c:ext>
            </c:extLst>
          </c:dPt>
          <c:dPt>
            <c:idx val="3"/>
            <c:bubble3D val="0"/>
            <c:extLst>
              <c:ext xmlns:c16="http://schemas.microsoft.com/office/drawing/2014/chart" uri="{C3380CC4-5D6E-409C-BE32-E72D297353CC}">
                <c16:uniqueId val="{00000003-9DD1-48F2-9FC0-C6C2C705DEBA}"/>
              </c:ext>
            </c:extLst>
          </c:dPt>
          <c:dPt>
            <c:idx val="4"/>
            <c:bubble3D val="0"/>
            <c:extLst>
              <c:ext xmlns:c16="http://schemas.microsoft.com/office/drawing/2014/chart" uri="{C3380CC4-5D6E-409C-BE32-E72D297353CC}">
                <c16:uniqueId val="{00000004-9DD1-48F2-9FC0-C6C2C705DEBA}"/>
              </c:ext>
            </c:extLst>
          </c:dPt>
          <c:dPt>
            <c:idx val="5"/>
            <c:bubble3D val="0"/>
            <c:extLst>
              <c:ext xmlns:c16="http://schemas.microsoft.com/office/drawing/2014/chart" uri="{C3380CC4-5D6E-409C-BE32-E72D297353CC}">
                <c16:uniqueId val="{00000005-9DD1-48F2-9FC0-C6C2C705DEBA}"/>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'Table 3'!$B$9:$B$14</c:f>
              <c:strCache>
                <c:ptCount val="6"/>
                <c:pt idx="0">
                  <c:v>Planning / Design</c:v>
                </c:pt>
                <c:pt idx="1">
                  <c:v>Marketing &amp; Delivery</c:v>
                </c:pt>
                <c:pt idx="2">
                  <c:v>Incentives / Direct Install Costs</c:v>
                </c:pt>
                <c:pt idx="3">
                  <c:v>EM&amp;V</c:v>
                </c:pt>
                <c:pt idx="4">
                  <c:v>Administration</c:v>
                </c:pt>
                <c:pt idx="5">
                  <c:v>Regulatory</c:v>
                </c:pt>
              </c:strCache>
            </c:strRef>
          </c:cat>
          <c:val>
            <c:numRef>
              <c:f>'Table 3'!$F$9:$F$14</c:f>
              <c:numCache>
                <c:formatCode>_(* #,##0_);_(* \(#,##0\);_(* "-"_);_(@_)</c:formatCode>
                <c:ptCount val="6"/>
                <c:pt idx="0">
                  <c:v>0</c:v>
                </c:pt>
                <c:pt idx="1">
                  <c:v>1708587.39</c:v>
                </c:pt>
                <c:pt idx="2">
                  <c:v>1996689.0899999999</c:v>
                </c:pt>
                <c:pt idx="3">
                  <c:v>189790.47999999998</c:v>
                </c:pt>
                <c:pt idx="4">
                  <c:v>56806.539999999994</c:v>
                </c:pt>
                <c:pt idx="5">
                  <c:v>9751.39</c:v>
                </c:pt>
              </c:numCache>
            </c:numRef>
          </c:val>
          <c:extLst>
            <c:ext xmlns:c16="http://schemas.microsoft.com/office/drawing/2014/chart" uri="{C3380CC4-5D6E-409C-BE32-E72D297353CC}">
              <c16:uniqueId val="{00000006-9DD1-48F2-9FC0-C6C2C705DEBA}"/>
            </c:ext>
          </c:extLst>
        </c:ser>
        <c:dLbls>
          <c:showLegendKey val="0"/>
          <c:showVal val="0"/>
          <c:showCatName val="0"/>
          <c:showSerName val="0"/>
          <c:showPercent val="0"/>
          <c:showBubbleSize val="0"/>
          <c:showLeaderLines val="1"/>
        </c:dLbls>
        <c:firstSliceAng val="90"/>
      </c:pie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2"/>
          <c:tx>
            <c:strRef>
              <c:f>'Table 4'!$M$8</c:f>
              <c:strCache>
                <c:ptCount val="1"/>
                <c:pt idx="0">
                  <c:v>Net Annual Savings
(f)</c:v>
                </c:pt>
              </c:strCache>
            </c:strRef>
          </c:tx>
          <c:invertIfNegative val="0"/>
          <c:val>
            <c:numRef>
              <c:f>'Table 4'!$M$10:$M$14</c:f>
              <c:numCache>
                <c:formatCode>_(* #,##0_);_(* \(#,##0\);_(* "-"_);_(@_)</c:formatCode>
                <c:ptCount val="4"/>
                <c:pt idx="0">
                  <c:v>1507349</c:v>
                </c:pt>
                <c:pt idx="1">
                  <c:v>1510376.7492725942</c:v>
                </c:pt>
                <c:pt idx="2">
                  <c:v>1543029</c:v>
                </c:pt>
                <c:pt idx="3">
                  <c:v>1350413</c:v>
                </c:pt>
              </c:numCache>
            </c:numRef>
          </c:val>
          <c:extLst>
            <c:ext xmlns:c16="http://schemas.microsoft.com/office/drawing/2014/chart" uri="{C3380CC4-5D6E-409C-BE32-E72D297353CC}">
              <c16:uniqueId val="{00000000-AB98-4DEB-A024-B3868534FD92}"/>
            </c:ext>
          </c:extLst>
        </c:ser>
        <c:dLbls>
          <c:showLegendKey val="0"/>
          <c:showVal val="0"/>
          <c:showCatName val="0"/>
          <c:showSerName val="0"/>
          <c:showPercent val="0"/>
          <c:showBubbleSize val="0"/>
        </c:dLbls>
        <c:gapWidth val="150"/>
        <c:axId val="240599768"/>
        <c:axId val="240600160"/>
      </c:barChart>
      <c:lineChart>
        <c:grouping val="standard"/>
        <c:varyColors val="0"/>
        <c:ser>
          <c:idx val="0"/>
          <c:order val="0"/>
          <c:tx>
            <c:strRef>
              <c:f>'Table 4'!$G$8</c:f>
              <c:strCache>
                <c:ptCount val="1"/>
                <c:pt idx="0">
                  <c:v>Portfolio Spending
(c)</c:v>
                </c:pt>
              </c:strCache>
            </c:strRef>
          </c:tx>
          <c:marker>
            <c:symbol val="none"/>
          </c:marker>
          <c:cat>
            <c:numRef>
              <c:f>'Table 4'!$B$10:$B$14</c:f>
              <c:numCache>
                <c:formatCode>General</c:formatCode>
                <c:ptCount val="4"/>
                <c:pt idx="0">
                  <c:v>2021</c:v>
                </c:pt>
                <c:pt idx="1">
                  <c:v>2022</c:v>
                </c:pt>
                <c:pt idx="2">
                  <c:v>2023</c:v>
                </c:pt>
                <c:pt idx="3">
                  <c:v>2024</c:v>
                </c:pt>
              </c:numCache>
            </c:numRef>
          </c:cat>
          <c:val>
            <c:numRef>
              <c:f>'Table 4'!$G$10:$G$14</c:f>
              <c:numCache>
                <c:formatCode>_("$"* #,##0_);_("$"* \(#,##0\);_("$"* "-"??_);_(@_)</c:formatCode>
                <c:ptCount val="4"/>
                <c:pt idx="0">
                  <c:v>4156.0000207470803</c:v>
                </c:pt>
                <c:pt idx="1">
                  <c:v>4509.8384900000001</c:v>
                </c:pt>
                <c:pt idx="2">
                  <c:v>4449.4639999999999</c:v>
                </c:pt>
                <c:pt idx="3">
                  <c:v>3961.6248899999996</c:v>
                </c:pt>
              </c:numCache>
            </c:numRef>
          </c:val>
          <c:smooth val="0"/>
          <c:extLst>
            <c:ext xmlns:c16="http://schemas.microsoft.com/office/drawing/2014/chart" uri="{C3380CC4-5D6E-409C-BE32-E72D297353CC}">
              <c16:uniqueId val="{00000001-AB98-4DEB-A024-B3868534FD92}"/>
            </c:ext>
          </c:extLst>
        </c:ser>
        <c:ser>
          <c:idx val="1"/>
          <c:order val="1"/>
          <c:tx>
            <c:strRef>
              <c:f>'Table 4'!$E$8</c:f>
              <c:strCache>
                <c:ptCount val="1"/>
                <c:pt idx="0">
                  <c:v>Portfolio Budget
(b)</c:v>
                </c:pt>
              </c:strCache>
            </c:strRef>
          </c:tx>
          <c:marker>
            <c:symbol val="none"/>
          </c:marker>
          <c:val>
            <c:numRef>
              <c:f>'Table 4'!$E$10:$E$14</c:f>
              <c:numCache>
                <c:formatCode>_("$"* #,##0_);_("$"* \(#,##0\);_("$"* "-"??_);_(@_)</c:formatCode>
                <c:ptCount val="4"/>
                <c:pt idx="0">
                  <c:v>4204.9976999999999</c:v>
                </c:pt>
                <c:pt idx="1">
                  <c:v>4524.125</c:v>
                </c:pt>
                <c:pt idx="2">
                  <c:v>4399.2740000000003</c:v>
                </c:pt>
                <c:pt idx="3">
                  <c:v>4169.8495400000002</c:v>
                </c:pt>
              </c:numCache>
            </c:numRef>
          </c:val>
          <c:smooth val="0"/>
          <c:extLst>
            <c:ext xmlns:c16="http://schemas.microsoft.com/office/drawing/2014/chart" uri="{C3380CC4-5D6E-409C-BE32-E72D297353CC}">
              <c16:uniqueId val="{00000002-AB98-4DEB-A024-B3868534FD92}"/>
            </c:ext>
          </c:extLst>
        </c:ser>
        <c:dLbls>
          <c:showLegendKey val="0"/>
          <c:showVal val="0"/>
          <c:showCatName val="0"/>
          <c:showSerName val="0"/>
          <c:showPercent val="0"/>
          <c:showBubbleSize val="0"/>
        </c:dLbls>
        <c:marker val="1"/>
        <c:smooth val="0"/>
        <c:axId val="240598984"/>
        <c:axId val="240599376"/>
      </c:lineChart>
      <c:catAx>
        <c:axId val="240598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9376"/>
        <c:crosses val="autoZero"/>
        <c:auto val="1"/>
        <c:lblAlgn val="ctr"/>
        <c:lblOffset val="100"/>
        <c:noMultiLvlLbl val="0"/>
      </c:catAx>
      <c:valAx>
        <c:axId val="240599376"/>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8984"/>
        <c:crosses val="autoZero"/>
        <c:crossBetween val="between"/>
      </c:valAx>
      <c:catAx>
        <c:axId val="240599768"/>
        <c:scaling>
          <c:orientation val="minMax"/>
        </c:scaling>
        <c:delete val="1"/>
        <c:axPos val="b"/>
        <c:majorTickMark val="out"/>
        <c:minorTickMark val="none"/>
        <c:tickLblPos val="nextTo"/>
        <c:crossAx val="240600160"/>
        <c:crosses val="autoZero"/>
        <c:auto val="1"/>
        <c:lblAlgn val="ctr"/>
        <c:lblOffset val="100"/>
        <c:noMultiLvlLbl val="0"/>
      </c:catAx>
      <c:valAx>
        <c:axId val="240600160"/>
        <c:scaling>
          <c:orientation val="minMax"/>
        </c:scaling>
        <c:delete val="0"/>
        <c:axPos val="r"/>
        <c:numFmt formatCode="_(* #,##0_);_(* \(#,##0\);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9768"/>
        <c:crosses val="max"/>
        <c:crossBetween val="between"/>
      </c:valAx>
    </c:plotArea>
    <c:legend>
      <c:legendPos val="r"/>
      <c:legendEntry>
        <c:idx val="0"/>
        <c:txPr>
          <a:bodyPr/>
          <a:lstStyle/>
          <a:p>
            <a:pPr>
              <a:defRPr sz="700" b="0" i="0" u="none" strike="noStrike" baseline="0">
                <a:solidFill>
                  <a:srgbClr val="000000"/>
                </a:solidFill>
                <a:latin typeface="Calibri"/>
                <a:ea typeface="Calibri"/>
                <a:cs typeface="Calibri"/>
              </a:defRPr>
            </a:pPr>
            <a:endParaRPr lang="en-US"/>
          </a:p>
        </c:txPr>
      </c:legendEntry>
      <c:legendEntry>
        <c:idx val="1"/>
        <c:txPr>
          <a:bodyPr/>
          <a:lstStyle/>
          <a:p>
            <a:pPr>
              <a:defRPr sz="700" b="0" i="0" u="none" strike="noStrike" baseline="0">
                <a:solidFill>
                  <a:srgbClr val="000000"/>
                </a:solidFill>
                <a:latin typeface="Calibri"/>
                <a:ea typeface="Calibri"/>
                <a:cs typeface="Calibri"/>
              </a:defRPr>
            </a:pPr>
            <a:endParaRPr lang="en-US"/>
          </a:p>
        </c:txPr>
      </c:legendEntry>
      <c:layout>
        <c:manualLayout>
          <c:xMode val="edge"/>
          <c:yMode val="edge"/>
          <c:x val="0.8079896907216495"/>
          <c:y val="0.16216216216216217"/>
          <c:w val="0.18685567010309279"/>
          <c:h val="0.64864864864864868"/>
        </c:manualLayout>
      </c:layout>
      <c:overlay val="0"/>
      <c:txPr>
        <a:bodyPr/>
        <a:lstStyle/>
        <a:p>
          <a:pPr>
            <a:defRPr sz="7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98283250307997"/>
          <c:y val="6.5501591062179176E-2"/>
          <c:w val="0.77659555948363601"/>
          <c:h val="0.56494042227022512"/>
        </c:manualLayout>
      </c:layout>
      <c:barChart>
        <c:barDir val="col"/>
        <c:grouping val="clustered"/>
        <c:varyColors val="0"/>
        <c:ser>
          <c:idx val="0"/>
          <c:order val="0"/>
          <c:tx>
            <c:strRef>
              <c:f>'Table 5'!$F$8:$H$8</c:f>
              <c:strCache>
                <c:ptCount val="1"/>
                <c:pt idx="0">
                  <c:v>Energy Savings (Therms)</c:v>
                </c:pt>
              </c:strCache>
            </c:strRef>
          </c:tx>
          <c:invertIfNegative val="0"/>
          <c:cat>
            <c:strRef>
              <c:f>'Table 5'!$B$10:$B$12</c:f>
              <c:strCache>
                <c:ptCount val="3"/>
                <c:pt idx="0">
                  <c:v> Program Year 2022 </c:v>
                </c:pt>
                <c:pt idx="1">
                  <c:v> Program Year 2023 </c:v>
                </c:pt>
                <c:pt idx="2">
                  <c:v> Program Year 2024 </c:v>
                </c:pt>
              </c:strCache>
            </c:strRef>
          </c:cat>
          <c:val>
            <c:numRef>
              <c:f>'Table 5'!$G$10:$G$12</c:f>
              <c:numCache>
                <c:formatCode>#,##0_);\(#,##0\)</c:formatCode>
                <c:ptCount val="3"/>
                <c:pt idx="0">
                  <c:v>31697.880112947692</c:v>
                </c:pt>
                <c:pt idx="1">
                  <c:v>24150</c:v>
                </c:pt>
                <c:pt idx="2">
                  <c:v>51497</c:v>
                </c:pt>
              </c:numCache>
            </c:numRef>
          </c:val>
          <c:extLst>
            <c:ext xmlns:c16="http://schemas.microsoft.com/office/drawing/2014/chart" uri="{C3380CC4-5D6E-409C-BE32-E72D297353CC}">
              <c16:uniqueId val="{00000000-628E-4C09-907E-4F04F2873BA2}"/>
            </c:ext>
          </c:extLst>
        </c:ser>
        <c:dLbls>
          <c:showLegendKey val="0"/>
          <c:showVal val="0"/>
          <c:showCatName val="0"/>
          <c:showSerName val="0"/>
          <c:showPercent val="0"/>
          <c:showBubbleSize val="0"/>
        </c:dLbls>
        <c:gapWidth val="150"/>
        <c:axId val="278385504"/>
        <c:axId val="278385896"/>
      </c:barChart>
      <c:lineChart>
        <c:grouping val="standard"/>
        <c:varyColors val="0"/>
        <c:ser>
          <c:idx val="1"/>
          <c:order val="1"/>
          <c:tx>
            <c:strRef>
              <c:f>'Table 5'!$C$9</c:f>
              <c:strCache>
                <c:ptCount val="1"/>
                <c:pt idx="0">
                  <c:v>Budget</c:v>
                </c:pt>
              </c:strCache>
            </c:strRef>
          </c:tx>
          <c:marker>
            <c:symbol val="none"/>
          </c:marker>
          <c:cat>
            <c:strRef>
              <c:f>'Table 5'!$B$10:$B$12</c:f>
              <c:strCache>
                <c:ptCount val="3"/>
                <c:pt idx="0">
                  <c:v> Program Year 2022 </c:v>
                </c:pt>
                <c:pt idx="1">
                  <c:v> Program Year 2023 </c:v>
                </c:pt>
                <c:pt idx="2">
                  <c:v> Program Year 2024 </c:v>
                </c:pt>
              </c:strCache>
            </c:strRef>
          </c:cat>
          <c:val>
            <c:numRef>
              <c:f>'Table 5'!$C$10:$C$12</c:f>
              <c:numCache>
                <c:formatCode>_("$"* #,##0_);_("$"* \(#,##0\);_("$"* "-"_);_(@_)</c:formatCode>
                <c:ptCount val="3"/>
                <c:pt idx="0">
                  <c:v>102239</c:v>
                </c:pt>
                <c:pt idx="1">
                  <c:v>87959</c:v>
                </c:pt>
                <c:pt idx="2">
                  <c:v>211894.8</c:v>
                </c:pt>
              </c:numCache>
            </c:numRef>
          </c:val>
          <c:smooth val="0"/>
          <c:extLst>
            <c:ext xmlns:c16="http://schemas.microsoft.com/office/drawing/2014/chart" uri="{C3380CC4-5D6E-409C-BE32-E72D297353CC}">
              <c16:uniqueId val="{00000001-628E-4C09-907E-4F04F2873BA2}"/>
            </c:ext>
          </c:extLst>
        </c:ser>
        <c:ser>
          <c:idx val="2"/>
          <c:order val="2"/>
          <c:tx>
            <c:strRef>
              <c:f>'Table 5'!$D$9</c:f>
              <c:strCache>
                <c:ptCount val="1"/>
                <c:pt idx="0">
                  <c:v>Actual</c:v>
                </c:pt>
              </c:strCache>
            </c:strRef>
          </c:tx>
          <c:marker>
            <c:symbol val="none"/>
          </c:marker>
          <c:val>
            <c:numRef>
              <c:f>'Table 5'!$D$10:$D$12</c:f>
              <c:numCache>
                <c:formatCode>_("$"* #,##0_);_("$"* \(#,##0\);_("$"* "-"_);_(@_)</c:formatCode>
                <c:ptCount val="3"/>
                <c:pt idx="0">
                  <c:v>101081.69999999998</c:v>
                </c:pt>
                <c:pt idx="1">
                  <c:v>86236.41</c:v>
                </c:pt>
                <c:pt idx="2">
                  <c:v>168628.37</c:v>
                </c:pt>
              </c:numCache>
            </c:numRef>
          </c:val>
          <c:smooth val="0"/>
          <c:extLst>
            <c:ext xmlns:c16="http://schemas.microsoft.com/office/drawing/2014/chart" uri="{C3380CC4-5D6E-409C-BE32-E72D297353CC}">
              <c16:uniqueId val="{00000002-628E-4C09-907E-4F04F2873BA2}"/>
            </c:ext>
          </c:extLst>
        </c:ser>
        <c:dLbls>
          <c:showLegendKey val="0"/>
          <c:showVal val="0"/>
          <c:showCatName val="0"/>
          <c:showSerName val="0"/>
          <c:showPercent val="0"/>
          <c:showBubbleSize val="0"/>
        </c:dLbls>
        <c:marker val="1"/>
        <c:smooth val="0"/>
        <c:axId val="240600944"/>
        <c:axId val="278385112"/>
      </c:lineChart>
      <c:catAx>
        <c:axId val="240600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5112"/>
        <c:crosses val="autoZero"/>
        <c:auto val="1"/>
        <c:lblAlgn val="ctr"/>
        <c:lblOffset val="100"/>
        <c:noMultiLvlLbl val="0"/>
      </c:catAx>
      <c:valAx>
        <c:axId val="278385112"/>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600944"/>
        <c:crosses val="autoZero"/>
        <c:crossBetween val="between"/>
      </c:valAx>
      <c:catAx>
        <c:axId val="278385504"/>
        <c:scaling>
          <c:orientation val="minMax"/>
        </c:scaling>
        <c:delete val="1"/>
        <c:axPos val="b"/>
        <c:numFmt formatCode="General" sourceLinked="1"/>
        <c:majorTickMark val="out"/>
        <c:minorTickMark val="none"/>
        <c:tickLblPos val="nextTo"/>
        <c:crossAx val="278385896"/>
        <c:crosses val="autoZero"/>
        <c:auto val="1"/>
        <c:lblAlgn val="ctr"/>
        <c:lblOffset val="100"/>
        <c:noMultiLvlLbl val="0"/>
      </c:catAx>
      <c:valAx>
        <c:axId val="278385896"/>
        <c:scaling>
          <c:orientation val="minMax"/>
        </c:scaling>
        <c:delete val="0"/>
        <c:axPos val="r"/>
        <c:numFmt formatCode="#,##0_);\(#,##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5504"/>
        <c:crosses val="max"/>
        <c:crossBetween val="between"/>
      </c:valAx>
    </c:plotArea>
    <c:legend>
      <c:legendPos val="r"/>
      <c:legendEntry>
        <c:idx val="0"/>
        <c:txPr>
          <a:bodyPr/>
          <a:lstStyle/>
          <a:p>
            <a:pPr>
              <a:defRPr sz="900" b="0" i="0" u="none" strike="noStrike" baseline="0">
                <a:solidFill>
                  <a:srgbClr val="000000"/>
                </a:solidFill>
                <a:latin typeface="Calibri"/>
                <a:ea typeface="Calibri"/>
                <a:cs typeface="Calibri"/>
              </a:defRPr>
            </a:pPr>
            <a:endParaRPr lang="en-US"/>
          </a:p>
        </c:txPr>
      </c:legendEntry>
      <c:legendEntry>
        <c:idx val="1"/>
        <c:txPr>
          <a:bodyPr/>
          <a:lstStyle/>
          <a:p>
            <a:pPr>
              <a:defRPr sz="800" b="0" i="0" u="none" strike="noStrike" baseline="0">
                <a:solidFill>
                  <a:srgbClr val="000000"/>
                </a:solidFill>
                <a:latin typeface="Calibri"/>
                <a:ea typeface="Calibri"/>
                <a:cs typeface="Calibri"/>
              </a:defRPr>
            </a:pPr>
            <a:endParaRPr lang="en-US"/>
          </a:p>
        </c:txPr>
      </c:legendEntry>
      <c:legendEntry>
        <c:idx val="2"/>
        <c:txPr>
          <a:bodyPr/>
          <a:lstStyle/>
          <a:p>
            <a:pPr>
              <a:defRPr sz="800" b="0" i="0" u="none" strike="noStrike" baseline="0">
                <a:solidFill>
                  <a:srgbClr val="000000"/>
                </a:solidFill>
                <a:latin typeface="Calibri"/>
                <a:ea typeface="Calibri"/>
                <a:cs typeface="Calibri"/>
              </a:defRPr>
            </a:pPr>
            <a:endParaRPr lang="en-US"/>
          </a:p>
        </c:txPr>
      </c:legendEntry>
      <c:layout>
        <c:manualLayout>
          <c:xMode val="edge"/>
          <c:yMode val="edge"/>
          <c:x val="0.17002518891687657"/>
          <c:y val="0.75663902631640068"/>
          <c:w val="0.68513853904282118"/>
          <c:h val="0.22123940259679931"/>
        </c:manualLayout>
      </c:layout>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1'!$D$6</c:f>
              <c:strCache>
                <c:ptCount val="1"/>
                <c:pt idx="0">
                  <c:v>Costs</c:v>
                </c:pt>
              </c:strCache>
            </c:strRef>
          </c:tx>
          <c:invertIfNegative val="0"/>
          <c:cat>
            <c:strRef>
              <c:f>Tables!$B$107:$B$126</c:f>
              <c:strCache>
                <c:ptCount val="20"/>
                <c:pt idx="0">
                  <c:v>Residential Solution Program</c:v>
                </c:pt>
                <c:pt idx="1">
                  <c:v>Commercial &amp; Industrial Solutions Program</c:v>
                </c:pt>
                <c:pt idx="2">
                  <c:v>Income Qualified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[0]!Graph_C2</c:f>
              <c:numCache>
                <c:formatCode>_("$"* #,##0_);_("$"* \(#,##0\);_("$"* "-"_);_(@_)</c:formatCode>
                <c:ptCount val="3"/>
                <c:pt idx="0">
                  <c:v>2391297.14</c:v>
                </c:pt>
                <c:pt idx="1">
                  <c:v>1391947.99</c:v>
                </c:pt>
                <c:pt idx="2">
                  <c:v>168628.37</c:v>
                </c:pt>
              </c:numCache>
            </c:numRef>
          </c:val>
          <c:extLst>
            <c:ext xmlns:c16="http://schemas.microsoft.com/office/drawing/2014/chart" uri="{C3380CC4-5D6E-409C-BE32-E72D297353CC}">
              <c16:uniqueId val="{00000000-E97E-48AF-9075-B26CE5CBCFDA}"/>
            </c:ext>
          </c:extLst>
        </c:ser>
        <c:dLbls>
          <c:showLegendKey val="0"/>
          <c:showVal val="0"/>
          <c:showCatName val="0"/>
          <c:showSerName val="0"/>
          <c:showPercent val="0"/>
          <c:showBubbleSize val="0"/>
        </c:dLbls>
        <c:gapWidth val="150"/>
        <c:axId val="278386680"/>
        <c:axId val="278387072"/>
      </c:barChart>
      <c:catAx>
        <c:axId val="278386680"/>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7072"/>
        <c:crosses val="autoZero"/>
        <c:auto val="1"/>
        <c:lblAlgn val="ctr"/>
        <c:lblOffset val="100"/>
        <c:noMultiLvlLbl val="0"/>
      </c:catAx>
      <c:valAx>
        <c:axId val="278387072"/>
        <c:scaling>
          <c:orientation val="minMax"/>
        </c:scaling>
        <c:delete val="0"/>
        <c:axPos val="b"/>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6680"/>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1'!$G$6:$I$6</c:f>
              <c:strCache>
                <c:ptCount val="1"/>
                <c:pt idx="0">
                  <c:v>Savings (Therms)</c:v>
                </c:pt>
              </c:strCache>
            </c:strRef>
          </c:tx>
          <c:invertIfNegative val="0"/>
          <c:cat>
            <c:strRef>
              <c:f>Tables!$B$107:$B$126</c:f>
              <c:strCache>
                <c:ptCount val="20"/>
                <c:pt idx="0">
                  <c:v>Residential Solution Program</c:v>
                </c:pt>
                <c:pt idx="1">
                  <c:v>Commercial &amp; Industrial Solutions Program</c:v>
                </c:pt>
                <c:pt idx="2">
                  <c:v>Income Qualified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[0]!Graph_S2</c:f>
              <c:numCache>
                <c:formatCode>#,##0_);\(#,##0\)</c:formatCode>
                <c:ptCount val="3"/>
                <c:pt idx="0">
                  <c:v>651784</c:v>
                </c:pt>
                <c:pt idx="1">
                  <c:v>647132</c:v>
                </c:pt>
                <c:pt idx="2">
                  <c:v>51497</c:v>
                </c:pt>
              </c:numCache>
            </c:numRef>
          </c:val>
          <c:extLst>
            <c:ext xmlns:c16="http://schemas.microsoft.com/office/drawing/2014/chart" uri="{C3380CC4-5D6E-409C-BE32-E72D297353CC}">
              <c16:uniqueId val="{00000000-0543-49B7-B364-E9834877A39E}"/>
            </c:ext>
          </c:extLst>
        </c:ser>
        <c:dLbls>
          <c:showLegendKey val="0"/>
          <c:showVal val="0"/>
          <c:showCatName val="0"/>
          <c:showSerName val="0"/>
          <c:showPercent val="0"/>
          <c:showBubbleSize val="0"/>
        </c:dLbls>
        <c:gapWidth val="150"/>
        <c:axId val="278388640"/>
        <c:axId val="278388248"/>
      </c:barChart>
      <c:catAx>
        <c:axId val="278388640"/>
        <c:scaling>
          <c:orientation val="minMax"/>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8248"/>
        <c:crosses val="autoZero"/>
        <c:auto val="1"/>
        <c:lblAlgn val="ctr"/>
        <c:lblOffset val="100"/>
        <c:noMultiLvlLbl val="0"/>
      </c:catAx>
      <c:valAx>
        <c:axId val="278388248"/>
        <c:scaling>
          <c:orientation val="minMax"/>
        </c:scaling>
        <c:delete val="0"/>
        <c:axPos val="b"/>
        <c:majorGridlines/>
        <c:numFmt formatCode="#,##0_);\(#,##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8640"/>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0396797979677657E-3"/>
          <c:y val="0"/>
        </c:manualLayout>
      </c:layout>
      <c:overlay val="0"/>
      <c:txPr>
        <a:bodyPr/>
        <a:lstStyle/>
        <a:p>
          <a:pPr>
            <a:defRPr sz="1800" b="1" i="0" u="none" strike="noStrike" baseline="0">
              <a:solidFill>
                <a:srgbClr val="000000"/>
              </a:solidFill>
              <a:latin typeface="Calibri"/>
              <a:ea typeface="Calibri"/>
              <a:cs typeface="Calibri"/>
            </a:defRPr>
          </a:pPr>
          <a:endParaRPr lang="en-US"/>
        </a:p>
      </c:txPr>
    </c:title>
    <c:autoTitleDeleted val="0"/>
    <c:view3D>
      <c:rotX val="75"/>
      <c:rotY val="0"/>
      <c:rAngAx val="0"/>
    </c:view3D>
    <c:floor>
      <c:thickness val="0"/>
    </c:floor>
    <c:sideWall>
      <c:thickness val="0"/>
    </c:sideWall>
    <c:backWall>
      <c:thickness val="0"/>
    </c:backWall>
    <c:plotArea>
      <c:layout>
        <c:manualLayout>
          <c:layoutTarget val="inner"/>
          <c:xMode val="edge"/>
          <c:yMode val="edge"/>
          <c:x val="8.2685820932767537E-2"/>
          <c:y val="0.26211315076275804"/>
          <c:w val="0.91133485517158508"/>
          <c:h val="0.71942319758843232"/>
        </c:manualLayout>
      </c:layout>
      <c:pie3DChart>
        <c:varyColors val="1"/>
        <c:ser>
          <c:idx val="0"/>
          <c:order val="0"/>
          <c:tx>
            <c:strRef>
              <c:f>'Report 2'!$B$24</c:f>
              <c:strCache>
                <c:ptCount val="1"/>
                <c:pt idx="0">
                  <c:v>Savings (Therms)</c:v>
                </c:pt>
              </c:strCache>
            </c:strRef>
          </c:tx>
          <c:dPt>
            <c:idx val="0"/>
            <c:bubble3D val="0"/>
            <c:extLst>
              <c:ext xmlns:c16="http://schemas.microsoft.com/office/drawing/2014/chart" uri="{C3380CC4-5D6E-409C-BE32-E72D297353CC}">
                <c16:uniqueId val="{00000000-030F-4CD6-B7B0-C97EDF3D6E7B}"/>
              </c:ext>
            </c:extLst>
          </c:dPt>
          <c:dPt>
            <c:idx val="1"/>
            <c:bubble3D val="0"/>
            <c:extLst>
              <c:ext xmlns:c16="http://schemas.microsoft.com/office/drawing/2014/chart" uri="{C3380CC4-5D6E-409C-BE32-E72D297353CC}">
                <c16:uniqueId val="{00000001-030F-4CD6-B7B0-C97EDF3D6E7B}"/>
              </c:ext>
            </c:extLst>
          </c:dPt>
          <c:dPt>
            <c:idx val="2"/>
            <c:bubble3D val="0"/>
            <c:extLst>
              <c:ext xmlns:c16="http://schemas.microsoft.com/office/drawing/2014/chart" uri="{C3380CC4-5D6E-409C-BE32-E72D297353CC}">
                <c16:uniqueId val="{00000002-030F-4CD6-B7B0-C97EDF3D6E7B}"/>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Tables!$B$94:$B$103</c:f>
              <c:strCache>
                <c:ptCount val="10"/>
                <c:pt idx="0">
                  <c:v>Residential</c:v>
                </c:pt>
                <c:pt idx="1">
                  <c:v>Commercial &amp; Industrial</c:v>
                </c:pt>
                <c:pt idx="2">
                  <c:v>Small Business</c:v>
                </c:pt>
                <c:pt idx="3">
                  <c:v>Municipalities/Schools</c:v>
                </c:pt>
                <c:pt idx="4">
                  <c:v>Agriculture</c:v>
                </c:pt>
                <c:pt idx="5">
                  <c:v>Other</c:v>
                </c:pt>
                <c:pt idx="6">
                  <c:v>Res/Small Business</c:v>
                </c:pt>
                <c:pt idx="7">
                  <c:v>Res/C&amp;I</c:v>
                </c:pt>
                <c:pt idx="8">
                  <c:v>Small Business/C&amp;I</c:v>
                </c:pt>
                <c:pt idx="9">
                  <c:v>All Classes</c:v>
                </c:pt>
              </c:strCache>
            </c:strRef>
          </c:cat>
          <c:val>
            <c:numRef>
              <c:f>[0]!Graph_2</c:f>
              <c:numCache>
                <c:formatCode>General</c:formatCode>
                <c:ptCount val="2"/>
                <c:pt idx="0">
                  <c:v>671745</c:v>
                </c:pt>
                <c:pt idx="1">
                  <c:v>620044</c:v>
                </c:pt>
              </c:numCache>
            </c:numRef>
          </c:val>
          <c:extLst>
            <c:ext xmlns:c16="http://schemas.microsoft.com/office/drawing/2014/chart" uri="{C3380CC4-5D6E-409C-BE32-E72D297353CC}">
              <c16:uniqueId val="{00000003-030F-4CD6-B7B0-C97EDF3D6E7B}"/>
            </c:ext>
          </c:extLst>
        </c:ser>
        <c:dLbls>
          <c:showLegendKey val="0"/>
          <c:showVal val="0"/>
          <c:showCatName val="0"/>
          <c:showSerName val="0"/>
          <c:showPercent val="0"/>
          <c:showBubbleSize val="0"/>
          <c:showLeaderLines val="1"/>
        </c:dLbls>
      </c:pie3D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PY Data'!A3"/><Relationship Id="rId13" Type="http://schemas.openxmlformats.org/officeDocument/2006/relationships/hyperlink" Target="#'Table 4'!A1"/><Relationship Id="rId3" Type="http://schemas.openxmlformats.org/officeDocument/2006/relationships/image" Target="../media/image1.jpeg"/><Relationship Id="rId7" Type="http://schemas.openxmlformats.org/officeDocument/2006/relationships/hyperlink" Target="#'Next Years'!A1"/><Relationship Id="rId12" Type="http://schemas.openxmlformats.org/officeDocument/2006/relationships/hyperlink" Target="#'Table 5'!A1"/><Relationship Id="rId2" Type="http://schemas.openxmlformats.org/officeDocument/2006/relationships/hyperlink" Target="#'Utility Information'!A3"/><Relationship Id="rId16" Type="http://schemas.openxmlformats.org/officeDocument/2006/relationships/hyperlink" Target="#'Table 2'!A1"/><Relationship Id="rId1" Type="http://schemas.openxmlformats.org/officeDocument/2006/relationships/hyperlink" Target="#'Actual Expenses'!A5"/><Relationship Id="rId6" Type="http://schemas.openxmlformats.org/officeDocument/2006/relationships/hyperlink" Target="#'Prior Year Progam'!A1"/><Relationship Id="rId11" Type="http://schemas.openxmlformats.org/officeDocument/2006/relationships/hyperlink" Target="#'Report 1'!A1"/><Relationship Id="rId5" Type="http://schemas.openxmlformats.org/officeDocument/2006/relationships/hyperlink" Target="#Glossary!A4"/><Relationship Id="rId15" Type="http://schemas.openxmlformats.org/officeDocument/2006/relationships/hyperlink" Target="#'Table 1'!A1"/><Relationship Id="rId10" Type="http://schemas.openxmlformats.org/officeDocument/2006/relationships/hyperlink" Target="#'Report 2'!A1"/><Relationship Id="rId4" Type="http://schemas.openxmlformats.org/officeDocument/2006/relationships/hyperlink" Target="#Instructions!A3"/><Relationship Id="rId9" Type="http://schemas.openxmlformats.org/officeDocument/2006/relationships/hyperlink" Target="#'Report 3'!A1"/><Relationship Id="rId14" Type="http://schemas.openxmlformats.org/officeDocument/2006/relationships/hyperlink" Target="#'Table 3'!A1"/></Relationships>
</file>

<file path=xl/drawings/_rels/drawing10.xml.rels><?xml version="1.0" encoding="UTF-8" standalone="yes"?>
<Relationships xmlns="http://schemas.openxmlformats.org/package/2006/relationships"><Relationship Id="rId1" Type="http://schemas.openxmlformats.org/officeDocument/2006/relationships/hyperlink" Target="#Training!A3"/></Relationships>
</file>

<file path=xl/drawings/_rels/drawing11.xml.rels><?xml version="1.0" encoding="UTF-8" standalone="yes"?>
<Relationships xmlns="http://schemas.openxmlformats.org/package/2006/relationships"><Relationship Id="rId1" Type="http://schemas.openxmlformats.org/officeDocument/2006/relationships/hyperlink" Target="#Training!A3"/></Relationships>
</file>

<file path=xl/drawings/_rels/drawing12.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Training!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Training!A3"/><Relationship Id="rId4" Type="http://schemas.openxmlformats.org/officeDocument/2006/relationships/hyperlink" Target="#'Savings &amp; Participants'!A6"/></Relationships>
</file>

<file path=xl/drawings/_rels/drawing13.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LCFC!A3"/><Relationship Id="rId7" Type="http://schemas.openxmlformats.org/officeDocument/2006/relationships/hyperlink" Target="#'Rec2'!A1"/><Relationship Id="rId2" Type="http://schemas.openxmlformats.org/officeDocument/2006/relationships/hyperlink" Target="#'Cost-Benefits'!A7"/><Relationship Id="rId1" Type="http://schemas.openxmlformats.org/officeDocument/2006/relationships/hyperlink" Target="#'Evaluated Savings'!A6"/><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14.xml.rels><?xml version="1.0" encoding="UTF-8" standalone="yes"?>
<Relationships xmlns="http://schemas.openxmlformats.org/package/2006/relationships"><Relationship Id="rId1" Type="http://schemas.openxmlformats.org/officeDocument/2006/relationships/hyperlink" Target="#'Actual Expenses'!A5"/></Relationships>
</file>

<file path=xl/drawings/_rels/drawing15.xml.rels><?xml version="1.0" encoding="UTF-8" standalone="yes"?>
<Relationships xmlns="http://schemas.openxmlformats.org/package/2006/relationships"><Relationship Id="rId8" Type="http://schemas.openxmlformats.org/officeDocument/2006/relationships/hyperlink" Target="#'Savings Methodology'!A1"/><Relationship Id="rId3" Type="http://schemas.openxmlformats.org/officeDocument/2006/relationships/hyperlink" Target="#'Cost-Benefits'!A7"/><Relationship Id="rId7" Type="http://schemas.openxmlformats.org/officeDocument/2006/relationships/hyperlink" Target="#'Main Menu'!A1"/><Relationship Id="rId2" Type="http://schemas.openxmlformats.org/officeDocument/2006/relationships/hyperlink" Target="#'Actual Expenses'!D5"/><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4" Type="http://schemas.openxmlformats.org/officeDocument/2006/relationships/hyperlink" Target="#LCFC!A3"/></Relationships>
</file>

<file path=xl/drawings/_rels/drawing16.xml.rels><?xml version="1.0" encoding="UTF-8" standalone="yes"?>
<Relationships xmlns="http://schemas.openxmlformats.org/package/2006/relationships"><Relationship Id="rId1" Type="http://schemas.openxmlformats.org/officeDocument/2006/relationships/hyperlink" Target="#'Evaluated Savings'!A6"/></Relationships>
</file>

<file path=xl/drawings/_rels/drawing17.xml.rels><?xml version="1.0" encoding="UTF-8" standalone="yes"?>
<Relationships xmlns="http://schemas.openxmlformats.org/package/2006/relationships"><Relationship Id="rId8" Type="http://schemas.openxmlformats.org/officeDocument/2006/relationships/hyperlink" Target="#'Other CB Test'!A1"/><Relationship Id="rId3" Type="http://schemas.openxmlformats.org/officeDocument/2006/relationships/hyperlink" Target="#'Evaluated Savings'!D6"/><Relationship Id="rId7" Type="http://schemas.openxmlformats.org/officeDocument/2006/relationships/hyperlink" Target="#'Main Menu'!A1"/><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10" Type="http://schemas.openxmlformats.org/officeDocument/2006/relationships/hyperlink" Target="#NEBs!A4"/><Relationship Id="rId4" Type="http://schemas.openxmlformats.org/officeDocument/2006/relationships/hyperlink" Target="#LCFC!A3"/><Relationship Id="rId9" Type="http://schemas.openxmlformats.org/officeDocument/2006/relationships/hyperlink" Target="#'Key Assumptions'!A4"/></Relationships>
</file>

<file path=xl/drawings/_rels/drawing18.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19.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xml.rels><?xml version="1.0" encoding="UTF-8" standalone="yes"?>
<Relationships xmlns="http://schemas.openxmlformats.org/package/2006/relationships"><Relationship Id="rId3" Type="http://schemas.openxmlformats.org/officeDocument/2006/relationships/hyperlink" Target="#Cost!A1"/><Relationship Id="rId2" Type="http://schemas.openxmlformats.org/officeDocument/2006/relationships/hyperlink" Target="#List!A1"/><Relationship Id="rId1" Type="http://schemas.openxmlformats.org/officeDocument/2006/relationships/hyperlink" Target="#'Main Menu'!A1"/></Relationships>
</file>

<file path=xl/drawings/_rels/drawing20.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1.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22.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LCFC!A3"/></Relationships>
</file>

<file path=xl/drawings/_rels/drawing23.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Incentives!A3"/><Relationship Id="rId4" Type="http://schemas.openxmlformats.org/officeDocument/2006/relationships/hyperlink" Target="#LCFC!A3"/></Relationships>
</file>

<file path=xl/drawings/_rels/drawing24.xml.rels><?xml version="1.0" encoding="UTF-8" standalone="yes"?>
<Relationships xmlns="http://schemas.openxmlformats.org/package/2006/relationships"><Relationship Id="rId2" Type="http://schemas.openxmlformats.org/officeDocument/2006/relationships/hyperlink" Target="#'Prior Year Portfolio'!A1"/><Relationship Id="rId1" Type="http://schemas.openxmlformats.org/officeDocument/2006/relationships/hyperlink" Target="#'Main Menu'!A1"/></Relationships>
</file>

<file path=xl/drawings/_rels/drawing25.xml.rels><?xml version="1.0" encoding="UTF-8" standalone="yes"?>
<Relationships xmlns="http://schemas.openxmlformats.org/package/2006/relationships"><Relationship Id="rId2" Type="http://schemas.openxmlformats.org/officeDocument/2006/relationships/hyperlink" Target="#'Main Menu'!A1"/><Relationship Id="rId1" Type="http://schemas.openxmlformats.org/officeDocument/2006/relationships/hyperlink" Target="#'Prior Year Progam'!A1"/></Relationships>
</file>

<file path=xl/drawings/_rels/drawing26.xml.rels><?xml version="1.0" encoding="UTF-8" standalone="yes"?>
<Relationships xmlns="http://schemas.openxmlformats.org/package/2006/relationships"><Relationship Id="rId1" Type="http://schemas.openxmlformats.org/officeDocument/2006/relationships/hyperlink" Target="#'Main Menu'!A1"/></Relationships>
</file>

<file path=xl/drawings/_rels/drawing27.xml.rels><?xml version="1.0" encoding="UTF-8" standalone="yes"?>
<Relationships xmlns="http://schemas.openxmlformats.org/package/2006/relationships"><Relationship Id="rId1" Type="http://schemas.openxmlformats.org/officeDocument/2006/relationships/hyperlink" Target="#'Program Descriptions'!A5"/></Relationships>
</file>

<file path=xl/drawings/_rels/drawing28.xml.rels><?xml version="1.0" encoding="UTF-8" standalone="yes"?>
<Relationships xmlns="http://schemas.openxmlformats.org/package/2006/relationships"><Relationship Id="rId1" Type="http://schemas.openxmlformats.org/officeDocument/2006/relationships/hyperlink" Target="#'Savings &amp; Participants'!A6"/></Relationships>
</file>

<file path=xl/drawings/_rels/drawing29.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xml.rels><?xml version="1.0" encoding="UTF-8" standalone="yes"?>
<Relationships xmlns="http://schemas.openxmlformats.org/package/2006/relationships"><Relationship Id="rId3" Type="http://schemas.openxmlformats.org/officeDocument/2006/relationships/hyperlink" Target="#'Savings &amp; Participants'!A6"/><Relationship Id="rId2" Type="http://schemas.openxmlformats.org/officeDocument/2006/relationships/hyperlink" Target="#Budgets!A5"/><Relationship Id="rId1" Type="http://schemas.openxmlformats.org/officeDocument/2006/relationships/hyperlink" Target="#'Program Descriptions'!A5"/><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30.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1.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2.xml.rels><?xml version="1.0" encoding="UTF-8" standalone="yes"?>
<Relationships xmlns="http://schemas.openxmlformats.org/package/2006/relationships"><Relationship Id="rId3" Type="http://schemas.openxmlformats.org/officeDocument/2006/relationships/hyperlink" Target="#'Actual Expenses'!A5"/><Relationship Id="rId2" Type="http://schemas.openxmlformats.org/officeDocument/2006/relationships/hyperlink" Target="#Budgets!A5"/><Relationship Id="rId1" Type="http://schemas.openxmlformats.org/officeDocument/2006/relationships/hyperlink" Target="#Instructions!A3"/></Relationships>
</file>

<file path=xl/drawings/_rels/drawing33.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34.xml.rels><?xml version="1.0" encoding="UTF-8" standalone="yes"?>
<Relationships xmlns="http://schemas.openxmlformats.org/package/2006/relationships"><Relationship Id="rId2" Type="http://schemas.openxmlformats.org/officeDocument/2006/relationships/hyperlink" Target="#'Table 2'!A1"/><Relationship Id="rId1" Type="http://schemas.openxmlformats.org/officeDocument/2006/relationships/hyperlink" Target="#'Main Menu'!A1"/></Relationships>
</file>

<file path=xl/drawings/_rels/drawing35.xml.rels><?xml version="1.0" encoding="UTF-8" standalone="yes"?>
<Relationships xmlns="http://schemas.openxmlformats.org/package/2006/relationships"><Relationship Id="rId3" Type="http://schemas.openxmlformats.org/officeDocument/2006/relationships/hyperlink" Target="#'Table 1'!A3"/><Relationship Id="rId2" Type="http://schemas.openxmlformats.org/officeDocument/2006/relationships/hyperlink" Target="#'Table 3'!A1"/><Relationship Id="rId1" Type="http://schemas.openxmlformats.org/officeDocument/2006/relationships/hyperlink" Target="#'Main Menu'!A1"/></Relationships>
</file>

<file path=xl/drawings/_rels/drawing36.xml.rels><?xml version="1.0" encoding="UTF-8" standalone="yes"?>
<Relationships xmlns="http://schemas.openxmlformats.org/package/2006/relationships"><Relationship Id="rId3" Type="http://schemas.openxmlformats.org/officeDocument/2006/relationships/hyperlink" Target="#'Table 4'!A1"/><Relationship Id="rId2" Type="http://schemas.openxmlformats.org/officeDocument/2006/relationships/chart" Target="../charts/chart1.xml"/><Relationship Id="rId1" Type="http://schemas.openxmlformats.org/officeDocument/2006/relationships/hyperlink" Target="#'Main Menu'!A1"/><Relationship Id="rId4" Type="http://schemas.openxmlformats.org/officeDocument/2006/relationships/hyperlink" Target="#'Table 2'!A3"/></Relationships>
</file>

<file path=xl/drawings/_rels/drawing37.xml.rels><?xml version="1.0" encoding="UTF-8" standalone="yes"?>
<Relationships xmlns="http://schemas.openxmlformats.org/package/2006/relationships"><Relationship Id="rId3" Type="http://schemas.openxmlformats.org/officeDocument/2006/relationships/hyperlink" Target="#'Table 5'!A1"/><Relationship Id="rId2" Type="http://schemas.openxmlformats.org/officeDocument/2006/relationships/chart" Target="../charts/chart2.xml"/><Relationship Id="rId1" Type="http://schemas.openxmlformats.org/officeDocument/2006/relationships/hyperlink" Target="#'Main Menu'!A1"/><Relationship Id="rId4" Type="http://schemas.openxmlformats.org/officeDocument/2006/relationships/hyperlink" Target="#'Table 3'!A3"/></Relationships>
</file>

<file path=xl/drawings/_rels/drawing38.xml.rels><?xml version="1.0" encoding="UTF-8" standalone="yes"?>
<Relationships xmlns="http://schemas.openxmlformats.org/package/2006/relationships"><Relationship Id="rId3" Type="http://schemas.openxmlformats.org/officeDocument/2006/relationships/hyperlink" Target="#'Table 4'!A3"/><Relationship Id="rId2" Type="http://schemas.openxmlformats.org/officeDocument/2006/relationships/chart" Target="../charts/chart3.xml"/><Relationship Id="rId1" Type="http://schemas.openxmlformats.org/officeDocument/2006/relationships/hyperlink" Target="#'Main Menu'!A1"/></Relationships>
</file>

<file path=xl/drawings/_rels/drawing39.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Main Menu'!A1"/><Relationship Id="rId4" Type="http://schemas.openxmlformats.org/officeDocument/2006/relationships/hyperlink" Target="#'Report 2'!A1"/></Relationships>
</file>

<file path=xl/drawings/_rels/drawing4.xml.rels><?xml version="1.0" encoding="UTF-8" standalone="yes"?>
<Relationships xmlns="http://schemas.openxmlformats.org/package/2006/relationships"><Relationship Id="rId8" Type="http://schemas.openxmlformats.org/officeDocument/2006/relationships/hyperlink" Target="#'Definition-Program Type'!A4"/><Relationship Id="rId3" Type="http://schemas.openxmlformats.org/officeDocument/2006/relationships/hyperlink" Target="#'Savings &amp; Participants'!A6"/><Relationship Id="rId7" Type="http://schemas.openxmlformats.org/officeDocument/2006/relationships/hyperlink" Target="#'Program Detail'!A5"/><Relationship Id="rId2" Type="http://schemas.openxmlformats.org/officeDocument/2006/relationships/hyperlink" Target="#Budget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40.xml.rels><?xml version="1.0" encoding="UTF-8" standalone="yes"?>
<Relationships xmlns="http://schemas.openxmlformats.org/package/2006/relationships"><Relationship Id="rId3" Type="http://schemas.openxmlformats.org/officeDocument/2006/relationships/hyperlink" Target="#'Report 3'!A1"/><Relationship Id="rId2" Type="http://schemas.openxmlformats.org/officeDocument/2006/relationships/chart" Target="../charts/chart6.xml"/><Relationship Id="rId1" Type="http://schemas.openxmlformats.org/officeDocument/2006/relationships/hyperlink" Target="#'Main Menu'!A1"/><Relationship Id="rId4" Type="http://schemas.openxmlformats.org/officeDocument/2006/relationships/hyperlink" Target="#'Report 1'!A3"/></Relationships>
</file>

<file path=xl/drawings/_rels/drawing41.xml.rels><?xml version="1.0" encoding="UTF-8" standalone="yes"?>
<Relationships xmlns="http://schemas.openxmlformats.org/package/2006/relationships"><Relationship Id="rId2" Type="http://schemas.openxmlformats.org/officeDocument/2006/relationships/hyperlink" Target="#'Report 2'!A3"/><Relationship Id="rId1" Type="http://schemas.openxmlformats.org/officeDocument/2006/relationships/hyperlink" Target="#'Main Menu'!A1"/></Relationships>
</file>

<file path=xl/drawings/_rels/drawing42.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3.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4.xml.rels><?xml version="1.0" encoding="UTF-8" standalone="yes"?>
<Relationships xmlns="http://schemas.openxmlformats.org/package/2006/relationships"><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3" Type="http://schemas.openxmlformats.org/officeDocument/2006/relationships/hyperlink" Target="#'Definition-C&amp;I'!A4"/><Relationship Id="rId2" Type="http://schemas.openxmlformats.org/officeDocument/2006/relationships/hyperlink" Target="#'Definition-Res'!A4"/><Relationship Id="rId1" Type="http://schemas.openxmlformats.org/officeDocument/2006/relationships/hyperlink" Target="#'Program Descriptions'!A5"/><Relationship Id="rId4" Type="http://schemas.openxmlformats.org/officeDocument/2006/relationships/hyperlink" Target="#'Definition-CS'!A4"/></Relationships>
</file>

<file path=xl/drawings/_rels/drawing6.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Savings &amp; Participants'!A6"/><Relationship Id="rId7" Type="http://schemas.openxmlformats.org/officeDocument/2006/relationships/hyperlink" Target="#'Rec1'!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7.xml.rels><?xml version="1.0" encoding="UTF-8" standalone="yes"?>
<Relationships xmlns="http://schemas.openxmlformats.org/package/2006/relationships"><Relationship Id="rId1" Type="http://schemas.openxmlformats.org/officeDocument/2006/relationships/hyperlink" Target="#Budgets!A5"/></Relationships>
</file>

<file path=xl/drawings/_rels/drawing8.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Definition-Participants'!A3"/><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9.xml.rels><?xml version="1.0" encoding="UTF-8" standalone="yes"?>
<Relationships xmlns="http://schemas.openxmlformats.org/package/2006/relationships"><Relationship Id="rId8" Type="http://schemas.openxmlformats.org/officeDocument/2006/relationships/hyperlink" Target="#Internal!A7"/><Relationship Id="rId3" Type="http://schemas.openxmlformats.org/officeDocument/2006/relationships/hyperlink" Target="#Budgets!A5"/><Relationship Id="rId7" Type="http://schemas.openxmlformats.org/officeDocument/2006/relationships/hyperlink" Target="#External!A7"/><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Savings &amp; Participants'!A6"/></Relationships>
</file>

<file path=xl/drawings/drawing1.xml><?xml version="1.0" encoding="utf-8"?>
<xdr:wsDr xmlns:xdr="http://schemas.openxmlformats.org/drawingml/2006/spreadsheetDrawing" xmlns:a="http://schemas.openxmlformats.org/drawingml/2006/main">
  <xdr:twoCellAnchor>
    <xdr:from>
      <xdr:col>41</xdr:col>
      <xdr:colOff>0</xdr:colOff>
      <xdr:row>5</xdr:row>
      <xdr:rowOff>1</xdr:rowOff>
    </xdr:from>
    <xdr:to>
      <xdr:col>58</xdr:col>
      <xdr:colOff>0</xdr:colOff>
      <xdr:row>8</xdr:row>
      <xdr:rowOff>0</xdr:rowOff>
    </xdr:to>
    <xdr:sp macro="" textlink="Titles!F9">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0000-000002000000}"/>
            </a:ext>
          </a:extLst>
        </xdr:cNvPr>
        <xdr:cNvSpPr/>
      </xdr:nvSpPr>
      <xdr:spPr>
        <a:xfrm>
          <a:off x="4638675" y="1962151"/>
          <a:ext cx="1943100" cy="4857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0F0E34D-FEC5-4470-9659-AB2752CA1906}" type="TxLink">
            <a:rPr lang="en-US" sz="1000" b="1" i="0" u="none" strike="noStrike">
              <a:solidFill>
                <a:schemeClr val="bg1"/>
              </a:solidFill>
              <a:latin typeface="+mn-lt"/>
              <a:cs typeface="Arial"/>
            </a:rPr>
            <a:pPr algn="ctr"/>
            <a:t>2024 Program Year Evaluation</a:t>
          </a:fld>
          <a:endParaRPr lang="en-US" sz="1000" b="1">
            <a:solidFill>
              <a:schemeClr val="bg1"/>
            </a:solidFill>
            <a:latin typeface="+mn-lt"/>
          </a:endParaRPr>
        </a:p>
      </xdr:txBody>
    </xdr:sp>
    <xdr:clientData/>
  </xdr:twoCellAnchor>
  <xdr:twoCellAnchor>
    <xdr:from>
      <xdr:col>21</xdr:col>
      <xdr:colOff>0</xdr:colOff>
      <xdr:row>4</xdr:row>
      <xdr:rowOff>152400</xdr:rowOff>
    </xdr:from>
    <xdr:to>
      <xdr:col>38</xdr:col>
      <xdr:colOff>0</xdr:colOff>
      <xdr:row>8</xdr:row>
      <xdr:rowOff>0</xdr:rowOff>
    </xdr:to>
    <xdr:sp macro="" textlink="Titles!F8">
      <xdr:nvSpPr>
        <xdr:cNvPr id="3" name="Rounded Rectangle 2">
          <a:hlinkClick xmlns:r="http://schemas.openxmlformats.org/officeDocument/2006/relationships" r:id="rId2" tooltip="Click"/>
          <a:extLst>
            <a:ext uri="{FF2B5EF4-FFF2-40B4-BE49-F238E27FC236}">
              <a16:creationId xmlns:a16="http://schemas.microsoft.com/office/drawing/2014/main" id="{00000000-0008-0000-0000-000003000000}"/>
            </a:ext>
          </a:extLst>
        </xdr:cNvPr>
        <xdr:cNvSpPr/>
      </xdr:nvSpPr>
      <xdr:spPr>
        <a:xfrm>
          <a:off x="2352675" y="1952625"/>
          <a:ext cx="1943100" cy="4953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4F4B829-14F2-43F2-B4CB-6ED5C10E16B0}" type="TxLink">
            <a:rPr lang="en-US" sz="1000" b="1" i="0" u="none" strike="noStrike">
              <a:solidFill>
                <a:schemeClr val="bg1"/>
              </a:solidFill>
              <a:latin typeface="+mn-lt"/>
              <a:cs typeface="Arial"/>
            </a:rPr>
            <a:pPr algn="ctr"/>
            <a:t>2024 EE Portfolio Information</a:t>
          </a:fld>
          <a:endParaRPr lang="en-US" sz="1000" b="1">
            <a:solidFill>
              <a:schemeClr val="bg1"/>
            </a:solidFill>
            <a:latin typeface="+mn-lt"/>
          </a:endParaRPr>
        </a:p>
      </xdr:txBody>
    </xdr:sp>
    <xdr:clientData/>
  </xdr:twoCellAnchor>
  <xdr:twoCellAnchor editAs="oneCell">
    <xdr:from>
      <xdr:col>1</xdr:col>
      <xdr:colOff>19050</xdr:colOff>
      <xdr:row>0</xdr:row>
      <xdr:rowOff>57150</xdr:rowOff>
    </xdr:from>
    <xdr:to>
      <xdr:col>13</xdr:col>
      <xdr:colOff>19050</xdr:colOff>
      <xdr:row>2</xdr:row>
      <xdr:rowOff>0</xdr:rowOff>
    </xdr:to>
    <xdr:pic>
      <xdr:nvPicPr>
        <xdr:cNvPr id="1461445" name="Picture 4" descr="C:\Users\KWheatley\Desktop\Arkansas State Seal.jpg">
          <a:extLst>
            <a:ext uri="{FF2B5EF4-FFF2-40B4-BE49-F238E27FC236}">
              <a16:creationId xmlns:a16="http://schemas.microsoft.com/office/drawing/2014/main" id="{00000000-0008-0000-0000-0000C54C16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5725" y="57150"/>
          <a:ext cx="1371600"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xdr:colOff>
      <xdr:row>4</xdr:row>
      <xdr:rowOff>152400</xdr:rowOff>
    </xdr:from>
    <xdr:to>
      <xdr:col>13</xdr:col>
      <xdr:colOff>1</xdr:colOff>
      <xdr:row>6</xdr:row>
      <xdr:rowOff>152399</xdr:rowOff>
    </xdr:to>
    <xdr:sp macro="" textlink="">
      <xdr:nvSpPr>
        <xdr:cNvPr id="5" name="Rounded Rectangle 4">
          <a:hlinkClick xmlns:r="http://schemas.openxmlformats.org/officeDocument/2006/relationships" r:id="rId4" tooltip="Click"/>
          <a:extLst>
            <a:ext uri="{FF2B5EF4-FFF2-40B4-BE49-F238E27FC236}">
              <a16:creationId xmlns:a16="http://schemas.microsoft.com/office/drawing/2014/main" id="{00000000-0008-0000-0000-000005000000}"/>
            </a:ext>
          </a:extLst>
        </xdr:cNvPr>
        <xdr:cNvSpPr/>
      </xdr:nvSpPr>
      <xdr:spPr>
        <a:xfrm>
          <a:off x="295276" y="1952625"/>
          <a:ext cx="1143000" cy="3238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Instructions</a:t>
          </a:r>
        </a:p>
      </xdr:txBody>
    </xdr:sp>
    <xdr:clientData/>
  </xdr:twoCellAnchor>
  <xdr:twoCellAnchor>
    <xdr:from>
      <xdr:col>3</xdr:col>
      <xdr:colOff>0</xdr:colOff>
      <xdr:row>7</xdr:row>
      <xdr:rowOff>152400</xdr:rowOff>
    </xdr:from>
    <xdr:to>
      <xdr:col>13</xdr:col>
      <xdr:colOff>3174</xdr:colOff>
      <xdr:row>9</xdr:row>
      <xdr:rowOff>152400</xdr:rowOff>
    </xdr:to>
    <xdr:sp macro="" textlink="">
      <xdr:nvSpPr>
        <xdr:cNvPr id="6" name="Rounded Rectangle 5">
          <a:hlinkClick xmlns:r="http://schemas.openxmlformats.org/officeDocument/2006/relationships" r:id="rId5" tooltip="Click"/>
          <a:extLst>
            <a:ext uri="{FF2B5EF4-FFF2-40B4-BE49-F238E27FC236}">
              <a16:creationId xmlns:a16="http://schemas.microsoft.com/office/drawing/2014/main" id="{00000000-0008-0000-0000-000006000000}"/>
            </a:ext>
          </a:extLst>
        </xdr:cNvPr>
        <xdr:cNvSpPr/>
      </xdr:nvSpPr>
      <xdr:spPr>
        <a:xfrm>
          <a:off x="295275" y="2438400"/>
          <a:ext cx="1142999" cy="3238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Glossary</a:t>
          </a:r>
        </a:p>
      </xdr:txBody>
    </xdr:sp>
    <xdr:clientData/>
  </xdr:twoCellAnchor>
  <xdr:twoCellAnchor>
    <xdr:from>
      <xdr:col>61</xdr:col>
      <xdr:colOff>0</xdr:colOff>
      <xdr:row>5</xdr:row>
      <xdr:rowOff>0</xdr:rowOff>
    </xdr:from>
    <xdr:to>
      <xdr:col>78</xdr:col>
      <xdr:colOff>3174</xdr:colOff>
      <xdr:row>8</xdr:row>
      <xdr:rowOff>0</xdr:rowOff>
    </xdr:to>
    <xdr:sp macro="" textlink="Titles!F10">
      <xdr:nvSpPr>
        <xdr:cNvPr id="7" name="Rounded Rectangle 6">
          <a:hlinkClick xmlns:r="http://schemas.openxmlformats.org/officeDocument/2006/relationships" r:id="rId6" tooltip="Click"/>
          <a:extLst>
            <a:ext uri="{FF2B5EF4-FFF2-40B4-BE49-F238E27FC236}">
              <a16:creationId xmlns:a16="http://schemas.microsoft.com/office/drawing/2014/main" id="{00000000-0008-0000-0000-000007000000}"/>
            </a:ext>
          </a:extLst>
        </xdr:cNvPr>
        <xdr:cNvSpPr/>
      </xdr:nvSpPr>
      <xdr:spPr>
        <a:xfrm>
          <a:off x="6924675" y="1962150"/>
          <a:ext cx="1943099" cy="4857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A19FDF8-2859-43FD-B5B5-7FD47FB21A0C}" type="TxLink">
            <a:rPr lang="en-US" sz="1000" b="1">
              <a:solidFill>
                <a:schemeClr val="bg1"/>
              </a:solidFill>
              <a:latin typeface="+mn-lt"/>
            </a:rPr>
            <a:pPr algn="ctr"/>
            <a:t>Historical Information</a:t>
          </a:fld>
          <a:endParaRPr lang="en-US" sz="1000" b="1">
            <a:solidFill>
              <a:schemeClr val="bg1"/>
            </a:solidFill>
            <a:latin typeface="+mn-lt"/>
          </a:endParaRPr>
        </a:p>
      </xdr:txBody>
    </xdr:sp>
    <xdr:clientData/>
  </xdr:twoCellAnchor>
  <xdr:twoCellAnchor>
    <xdr:from>
      <xdr:col>74</xdr:col>
      <xdr:colOff>0</xdr:colOff>
      <xdr:row>17</xdr:row>
      <xdr:rowOff>1</xdr:rowOff>
    </xdr:from>
    <xdr:to>
      <xdr:col>80</xdr:col>
      <xdr:colOff>0</xdr:colOff>
      <xdr:row>18</xdr:row>
      <xdr:rowOff>0</xdr:rowOff>
    </xdr:to>
    <xdr:sp macro="" textlink="">
      <xdr:nvSpPr>
        <xdr:cNvPr id="14" name="Rounded Rectangle 13">
          <a:hlinkClick xmlns:r="http://schemas.openxmlformats.org/officeDocument/2006/relationships" r:id="rId7" tooltip="Click"/>
          <a:extLst>
            <a:ext uri="{FF2B5EF4-FFF2-40B4-BE49-F238E27FC236}">
              <a16:creationId xmlns:a16="http://schemas.microsoft.com/office/drawing/2014/main" id="{00000000-0008-0000-0000-00000E000000}"/>
            </a:ext>
          </a:extLst>
        </xdr:cNvPr>
        <xdr:cNvSpPr/>
      </xdr:nvSpPr>
      <xdr:spPr>
        <a:xfrm>
          <a:off x="8175625" y="4476751"/>
          <a:ext cx="666750"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editAs="oneCell">
    <xdr:from>
      <xdr:col>18</xdr:col>
      <xdr:colOff>0</xdr:colOff>
      <xdr:row>9</xdr:row>
      <xdr:rowOff>0</xdr:rowOff>
    </xdr:from>
    <xdr:to>
      <xdr:col>80</xdr:col>
      <xdr:colOff>0</xdr:colOff>
      <xdr:row>10</xdr:row>
      <xdr:rowOff>79374</xdr:rowOff>
    </xdr:to>
    <xdr:sp macro="" textlink="'Utility Information'!D5">
      <xdr:nvSpPr>
        <xdr:cNvPr id="4" name="TextBox 3">
          <a:extLst>
            <a:ext uri="{FF2B5EF4-FFF2-40B4-BE49-F238E27FC236}">
              <a16:creationId xmlns:a16="http://schemas.microsoft.com/office/drawing/2014/main" id="{00000000-0008-0000-0000-000004000000}"/>
            </a:ext>
          </a:extLst>
        </xdr:cNvPr>
        <xdr:cNvSpPr txBox="1"/>
      </xdr:nvSpPr>
      <xdr:spPr>
        <a:xfrm>
          <a:off x="1952625" y="2595563"/>
          <a:ext cx="6889750" cy="206374"/>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2DC3AF3-0C29-4D6F-834C-41EC811455EF}" type="TxLink">
            <a:rPr lang="en-US" sz="1600" b="1" i="0" u="none" strike="noStrike">
              <a:solidFill>
                <a:srgbClr val="000000"/>
              </a:solidFill>
              <a:latin typeface="Calibri"/>
              <a:cs typeface="Calibri"/>
            </a:rPr>
            <a:pPr algn="ctr"/>
            <a:t>Black Hills Energy Arkansas, Inc.</a:t>
          </a:fld>
          <a:endParaRPr lang="en-US" sz="2000" b="1"/>
        </a:p>
      </xdr:txBody>
    </xdr:sp>
    <xdr:clientData/>
  </xdr:twoCellAnchor>
  <xdr:twoCellAnchor>
    <xdr:from>
      <xdr:col>66</xdr:col>
      <xdr:colOff>0</xdr:colOff>
      <xdr:row>17</xdr:row>
      <xdr:rowOff>1</xdr:rowOff>
    </xdr:from>
    <xdr:to>
      <xdr:col>71</xdr:col>
      <xdr:colOff>111124</xdr:colOff>
      <xdr:row>18</xdr:row>
      <xdr:rowOff>0</xdr:rowOff>
    </xdr:to>
    <xdr:sp macro="" textlink="">
      <xdr:nvSpPr>
        <xdr:cNvPr id="19" name="Rounded Rectangle 18">
          <a:hlinkClick xmlns:r="http://schemas.openxmlformats.org/officeDocument/2006/relationships" r:id="rId8" tooltip="Click"/>
          <a:extLst>
            <a:ext uri="{FF2B5EF4-FFF2-40B4-BE49-F238E27FC236}">
              <a16:creationId xmlns:a16="http://schemas.microsoft.com/office/drawing/2014/main" id="{00000000-0008-0000-0000-000013000000}"/>
            </a:ext>
          </a:extLst>
        </xdr:cNvPr>
        <xdr:cNvSpPr/>
      </xdr:nvSpPr>
      <xdr:spPr>
        <a:xfrm>
          <a:off x="7286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58</xdr:col>
      <xdr:colOff>0</xdr:colOff>
      <xdr:row>17</xdr:row>
      <xdr:rowOff>1</xdr:rowOff>
    </xdr:from>
    <xdr:to>
      <xdr:col>63</xdr:col>
      <xdr:colOff>111124</xdr:colOff>
      <xdr:row>18</xdr:row>
      <xdr:rowOff>0</xdr:rowOff>
    </xdr:to>
    <xdr:sp macro="" textlink="">
      <xdr:nvSpPr>
        <xdr:cNvPr id="20" name="Rounded Rectangle 19">
          <a:hlinkClick xmlns:r="http://schemas.openxmlformats.org/officeDocument/2006/relationships" r:id="rId9" tooltip="Click"/>
          <a:extLst>
            <a:ext uri="{FF2B5EF4-FFF2-40B4-BE49-F238E27FC236}">
              <a16:creationId xmlns:a16="http://schemas.microsoft.com/office/drawing/2014/main" id="{00000000-0008-0000-0000-000014000000}"/>
            </a:ext>
          </a:extLst>
        </xdr:cNvPr>
        <xdr:cNvSpPr/>
      </xdr:nvSpPr>
      <xdr:spPr>
        <a:xfrm>
          <a:off x="6397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50</xdr:col>
      <xdr:colOff>0</xdr:colOff>
      <xdr:row>17</xdr:row>
      <xdr:rowOff>0</xdr:rowOff>
    </xdr:from>
    <xdr:to>
      <xdr:col>55</xdr:col>
      <xdr:colOff>114299</xdr:colOff>
      <xdr:row>18</xdr:row>
      <xdr:rowOff>0</xdr:rowOff>
    </xdr:to>
    <xdr:sp macro="" textlink="">
      <xdr:nvSpPr>
        <xdr:cNvPr id="21" name="Rounded Rectangle 20">
          <a:hlinkClick xmlns:r="http://schemas.openxmlformats.org/officeDocument/2006/relationships" r:id="rId10" tooltip="Click"/>
          <a:extLst>
            <a:ext uri="{FF2B5EF4-FFF2-40B4-BE49-F238E27FC236}">
              <a16:creationId xmlns:a16="http://schemas.microsoft.com/office/drawing/2014/main" id="{00000000-0008-0000-0000-000015000000}"/>
            </a:ext>
          </a:extLst>
        </xdr:cNvPr>
        <xdr:cNvSpPr/>
      </xdr:nvSpPr>
      <xdr:spPr>
        <a:xfrm>
          <a:off x="5667375" y="4495800"/>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42</xdr:col>
      <xdr:colOff>0</xdr:colOff>
      <xdr:row>17</xdr:row>
      <xdr:rowOff>1</xdr:rowOff>
    </xdr:from>
    <xdr:to>
      <xdr:col>47</xdr:col>
      <xdr:colOff>114299</xdr:colOff>
      <xdr:row>18</xdr:row>
      <xdr:rowOff>0</xdr:rowOff>
    </xdr:to>
    <xdr:sp macro="" textlink="">
      <xdr:nvSpPr>
        <xdr:cNvPr id="22" name="Rounded Rectangle 21">
          <a:hlinkClick xmlns:r="http://schemas.openxmlformats.org/officeDocument/2006/relationships" r:id="rId11" tooltip="Click"/>
          <a:extLst>
            <a:ext uri="{FF2B5EF4-FFF2-40B4-BE49-F238E27FC236}">
              <a16:creationId xmlns:a16="http://schemas.microsoft.com/office/drawing/2014/main" id="{00000000-0008-0000-0000-000016000000}"/>
            </a:ext>
          </a:extLst>
        </xdr:cNvPr>
        <xdr:cNvSpPr/>
      </xdr:nvSpPr>
      <xdr:spPr>
        <a:xfrm>
          <a:off x="4752975" y="4495801"/>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34</xdr:col>
      <xdr:colOff>0</xdr:colOff>
      <xdr:row>16</xdr:row>
      <xdr:rowOff>161924</xdr:rowOff>
    </xdr:from>
    <xdr:to>
      <xdr:col>40</xdr:col>
      <xdr:colOff>0</xdr:colOff>
      <xdr:row>17</xdr:row>
      <xdr:rowOff>409574</xdr:rowOff>
    </xdr:to>
    <xdr:sp macro="" textlink="">
      <xdr:nvSpPr>
        <xdr:cNvPr id="23" name="Rounded Rectangle 22">
          <a:hlinkClick xmlns:r="http://schemas.openxmlformats.org/officeDocument/2006/relationships" r:id="rId12" tooltip="Click"/>
          <a:extLst>
            <a:ext uri="{FF2B5EF4-FFF2-40B4-BE49-F238E27FC236}">
              <a16:creationId xmlns:a16="http://schemas.microsoft.com/office/drawing/2014/main" id="{00000000-0008-0000-0000-000017000000}"/>
            </a:ext>
          </a:extLst>
        </xdr:cNvPr>
        <xdr:cNvSpPr/>
      </xdr:nvSpPr>
      <xdr:spPr>
        <a:xfrm>
          <a:off x="3838575" y="4495799"/>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26</xdr:col>
      <xdr:colOff>0</xdr:colOff>
      <xdr:row>16</xdr:row>
      <xdr:rowOff>161924</xdr:rowOff>
    </xdr:from>
    <xdr:to>
      <xdr:col>31</xdr:col>
      <xdr:colOff>114299</xdr:colOff>
      <xdr:row>17</xdr:row>
      <xdr:rowOff>409574</xdr:rowOff>
    </xdr:to>
    <xdr:sp macro="" textlink="">
      <xdr:nvSpPr>
        <xdr:cNvPr id="24" name="Rounded Rectangle 23">
          <a:hlinkClick xmlns:r="http://schemas.openxmlformats.org/officeDocument/2006/relationships" r:id="rId13" tooltip="Click"/>
          <a:extLst>
            <a:ext uri="{FF2B5EF4-FFF2-40B4-BE49-F238E27FC236}">
              <a16:creationId xmlns:a16="http://schemas.microsoft.com/office/drawing/2014/main" id="{00000000-0008-0000-0000-000018000000}"/>
            </a:ext>
          </a:extLst>
        </xdr:cNvPr>
        <xdr:cNvSpPr/>
      </xdr:nvSpPr>
      <xdr:spPr>
        <a:xfrm>
          <a:off x="2924175" y="4495799"/>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18</xdr:col>
      <xdr:colOff>0</xdr:colOff>
      <xdr:row>17</xdr:row>
      <xdr:rowOff>0</xdr:rowOff>
    </xdr:from>
    <xdr:to>
      <xdr:col>24</xdr:col>
      <xdr:colOff>0</xdr:colOff>
      <xdr:row>18</xdr:row>
      <xdr:rowOff>0</xdr:rowOff>
    </xdr:to>
    <xdr:sp macro="" textlink="">
      <xdr:nvSpPr>
        <xdr:cNvPr id="25" name="Rounded Rectangle 24">
          <a:hlinkClick xmlns:r="http://schemas.openxmlformats.org/officeDocument/2006/relationships" r:id="rId14" tooltip="Click"/>
          <a:extLst>
            <a:ext uri="{FF2B5EF4-FFF2-40B4-BE49-F238E27FC236}">
              <a16:creationId xmlns:a16="http://schemas.microsoft.com/office/drawing/2014/main" id="{00000000-0008-0000-0000-000019000000}"/>
            </a:ext>
          </a:extLst>
        </xdr:cNvPr>
        <xdr:cNvSpPr/>
      </xdr:nvSpPr>
      <xdr:spPr>
        <a:xfrm>
          <a:off x="2009775" y="4333875"/>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xdr:col>
      <xdr:colOff>0</xdr:colOff>
      <xdr:row>17</xdr:row>
      <xdr:rowOff>0</xdr:rowOff>
    </xdr:from>
    <xdr:to>
      <xdr:col>8</xdr:col>
      <xdr:colOff>0</xdr:colOff>
      <xdr:row>18</xdr:row>
      <xdr:rowOff>0</xdr:rowOff>
    </xdr:to>
    <xdr:sp macro="" textlink="">
      <xdr:nvSpPr>
        <xdr:cNvPr id="26" name="Rounded Rectangle 25">
          <a:hlinkClick xmlns:r="http://schemas.openxmlformats.org/officeDocument/2006/relationships" r:id="rId15" tooltip="Click"/>
          <a:extLst>
            <a:ext uri="{FF2B5EF4-FFF2-40B4-BE49-F238E27FC236}">
              <a16:creationId xmlns:a16="http://schemas.microsoft.com/office/drawing/2014/main" id="{00000000-0008-0000-0000-00001A000000}"/>
            </a:ext>
          </a:extLst>
        </xdr:cNvPr>
        <xdr:cNvSpPr/>
      </xdr:nvSpPr>
      <xdr:spPr>
        <a:xfrm>
          <a:off x="180975" y="4333875"/>
          <a:ext cx="685800" cy="4762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10</xdr:col>
      <xdr:colOff>0</xdr:colOff>
      <xdr:row>17</xdr:row>
      <xdr:rowOff>1</xdr:rowOff>
    </xdr:from>
    <xdr:to>
      <xdr:col>15</xdr:col>
      <xdr:colOff>114299</xdr:colOff>
      <xdr:row>18</xdr:row>
      <xdr:rowOff>0</xdr:rowOff>
    </xdr:to>
    <xdr:sp macro="" textlink="">
      <xdr:nvSpPr>
        <xdr:cNvPr id="27" name="Rounded Rectangle 26">
          <a:hlinkClick xmlns:r="http://schemas.openxmlformats.org/officeDocument/2006/relationships" r:id="rId16" tooltip="Click"/>
          <a:extLst>
            <a:ext uri="{FF2B5EF4-FFF2-40B4-BE49-F238E27FC236}">
              <a16:creationId xmlns:a16="http://schemas.microsoft.com/office/drawing/2014/main" id="{00000000-0008-0000-0000-00001B000000}"/>
            </a:ext>
          </a:extLst>
        </xdr:cNvPr>
        <xdr:cNvSpPr/>
      </xdr:nvSpPr>
      <xdr:spPr>
        <a:xfrm>
          <a:off x="1095375" y="4333876"/>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4</xdr:col>
      <xdr:colOff>209232</xdr:colOff>
      <xdr:row>1</xdr:row>
      <xdr:rowOff>321469</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4" name="Rounded Rectangle 6">
          <a:extLst>
            <a:ext uri="{FF2B5EF4-FFF2-40B4-BE49-F238E27FC236}">
              <a16:creationId xmlns:a16="http://schemas.microsoft.com/office/drawing/2014/main" id="{00000000-0008-0000-0900-000004000000}"/>
            </a:ext>
          </a:extLst>
        </xdr:cNvPr>
        <xdr:cNvSpPr>
          <a:spLocks noChangeArrowheads="1"/>
        </xdr:cNvSpPr>
      </xdr:nvSpPr>
      <xdr:spPr bwMode="auto">
        <a:xfrm>
          <a:off x="95250" y="547688"/>
          <a:ext cx="11060906"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external training.  To add additional rows select the far right cell in the last numbered row and press  the 'tab' button.</a:t>
          </a:r>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76200</xdr:colOff>
      <xdr:row>1</xdr:row>
      <xdr:rowOff>96679</xdr:rowOff>
    </xdr:from>
    <xdr:to>
      <xdr:col>4</xdr:col>
      <xdr:colOff>210502</xdr:colOff>
      <xdr:row>1</xdr:row>
      <xdr:rowOff>325279</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0A00-000002000000}"/>
            </a:ext>
          </a:extLst>
        </xdr:cNvPr>
        <xdr:cNvSpPr/>
      </xdr:nvSpPr>
      <xdr:spPr>
        <a:xfrm>
          <a:off x="142875" y="150019"/>
          <a:ext cx="1004887"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3" name="Rounded Rectangle 6">
          <a:extLst>
            <a:ext uri="{FF2B5EF4-FFF2-40B4-BE49-F238E27FC236}">
              <a16:creationId xmlns:a16="http://schemas.microsoft.com/office/drawing/2014/main" id="{00000000-0008-0000-0A00-000003000000}"/>
            </a:ext>
          </a:extLst>
        </xdr:cNvPr>
        <xdr:cNvSpPr>
          <a:spLocks noChangeArrowheads="1"/>
        </xdr:cNvSpPr>
      </xdr:nvSpPr>
      <xdr:spPr bwMode="auto">
        <a:xfrm>
          <a:off x="90487" y="542925"/>
          <a:ext cx="11072813"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internal training.  To add additional rows select the far right cell in the last numbered row and press  the 'tab' button.</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15</xdr:col>
      <xdr:colOff>0</xdr:colOff>
      <xdr:row>1</xdr:row>
      <xdr:rowOff>409575</xdr:rowOff>
    </xdr:to>
    <xdr:sp macro="" textlink="">
      <xdr:nvSpPr>
        <xdr:cNvPr id="1472681" name="Rectangle 365">
          <a:extLst>
            <a:ext uri="{FF2B5EF4-FFF2-40B4-BE49-F238E27FC236}">
              <a16:creationId xmlns:a16="http://schemas.microsoft.com/office/drawing/2014/main" id="{00000000-0008-0000-0B00-0000A97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3</xdr:col>
      <xdr:colOff>479998</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B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B387605-01DA-4316-9625-9969F897CA6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483870</xdr:colOff>
      <xdr:row>0</xdr:row>
      <xdr:rowOff>66675</xdr:rowOff>
    </xdr:from>
    <xdr:to>
      <xdr:col>5</xdr:col>
      <xdr:colOff>518160</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B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F4CC15E-132F-416A-BAE4-EC25B1CD3B7B}"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5</xdr:col>
      <xdr:colOff>529590</xdr:colOff>
      <xdr:row>0</xdr:row>
      <xdr:rowOff>66675</xdr:rowOff>
    </xdr:from>
    <xdr:to>
      <xdr:col>7</xdr:col>
      <xdr:colOff>563880</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B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DEF0D8E-DCB5-47A6-A6ED-4DF4F0BC25BC}"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7</xdr:col>
      <xdr:colOff>588645</xdr:colOff>
      <xdr:row>0</xdr:row>
      <xdr:rowOff>66675</xdr:rowOff>
    </xdr:from>
    <xdr:to>
      <xdr:col>10</xdr:col>
      <xdr:colOff>15247</xdr:colOff>
      <xdr:row>0</xdr:row>
      <xdr:rowOff>340995</xdr:rowOff>
    </xdr:to>
    <xdr:sp macro="" textlink="Titles!B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B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32F82DC-1A74-4FB1-BB15-70219EB5FE69}"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10</xdr:col>
      <xdr:colOff>28575</xdr:colOff>
      <xdr:row>0</xdr:row>
      <xdr:rowOff>66675</xdr:rowOff>
    </xdr:from>
    <xdr:to>
      <xdr:col>12</xdr:col>
      <xdr:colOff>158140</xdr:colOff>
      <xdr:row>0</xdr:row>
      <xdr:rowOff>340995</xdr:rowOff>
    </xdr:to>
    <xdr:sp macro="" textlink="Titles!B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0B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5481221-1105-4A53-B2EB-19751BEC6556}" type="TxLink">
            <a:rPr lang="en-US" sz="1000" b="1"/>
            <a:pPr algn="ctr"/>
            <a:t>Training</a:t>
          </a:fld>
          <a:endParaRPr lang="en-US" sz="1000" b="1"/>
        </a:p>
      </xdr:txBody>
    </xdr:sp>
    <xdr:clientData/>
  </xdr:twoCellAnchor>
  <xdr:twoCellAnchor editAs="absolute">
    <xdr:from>
      <xdr:col>12</xdr:col>
      <xdr:colOff>180974</xdr:colOff>
      <xdr:row>0</xdr:row>
      <xdr:rowOff>66675</xdr:rowOff>
    </xdr:from>
    <xdr:to>
      <xdr:col>15</xdr:col>
      <xdr:colOff>1924</xdr:colOff>
      <xdr:row>0</xdr:row>
      <xdr:rowOff>342900</xdr:rowOff>
    </xdr:to>
    <xdr:sp macro="" textlink="Titles!B7">
      <xdr:nvSpPr>
        <xdr:cNvPr id="8" name="Round Same Side Corner Rectangle 8">
          <a:extLst>
            <a:ext uri="{FF2B5EF4-FFF2-40B4-BE49-F238E27FC236}">
              <a16:creationId xmlns:a16="http://schemas.microsoft.com/office/drawing/2014/main" id="{00000000-0008-0000-0B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F6003520-FA2A-457C-AB35-6355C4BB7CF1}"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104775</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B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83820</xdr:colOff>
      <xdr:row>1</xdr:row>
      <xdr:rowOff>447674</xdr:rowOff>
    </xdr:from>
    <xdr:to>
      <xdr:col>14</xdr:col>
      <xdr:colOff>257180</xdr:colOff>
      <xdr:row>1</xdr:row>
      <xdr:rowOff>773472</xdr:rowOff>
    </xdr:to>
    <xdr:sp macro="" textlink="">
      <xdr:nvSpPr>
        <xdr:cNvPr id="10" name="Rounded Rectangle 6">
          <a:extLst>
            <a:ext uri="{FF2B5EF4-FFF2-40B4-BE49-F238E27FC236}">
              <a16:creationId xmlns:a16="http://schemas.microsoft.com/office/drawing/2014/main" id="{00000000-0008-0000-0B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sz="900"/>
        </a:p>
      </xdr:txBody>
    </xdr:sp>
    <xdr:clientData/>
  </xdr:twoCellAnchor>
  <xdr:twoCellAnchor editAs="absolute">
    <xdr:from>
      <xdr:col>3</xdr:col>
      <xdr:colOff>472440</xdr:colOff>
      <xdr:row>0</xdr:row>
      <xdr:rowOff>300021</xdr:rowOff>
    </xdr:from>
    <xdr:to>
      <xdr:col>12</xdr:col>
      <xdr:colOff>188597</xdr:colOff>
      <xdr:row>1</xdr:row>
      <xdr:rowOff>280857</xdr:rowOff>
    </xdr:to>
    <xdr:sp macro="" textlink="Titles!F5">
      <xdr:nvSpPr>
        <xdr:cNvPr id="11" name="TextBox 10">
          <a:extLst>
            <a:ext uri="{FF2B5EF4-FFF2-40B4-BE49-F238E27FC236}">
              <a16:creationId xmlns:a16="http://schemas.microsoft.com/office/drawing/2014/main" id="{00000000-0008-0000-0B00-00000B000000}"/>
            </a:ext>
          </a:extLst>
        </xdr:cNvPr>
        <xdr:cNvSpPr txBox="1"/>
      </xdr:nvSpPr>
      <xdr:spPr>
        <a:xfrm>
          <a:off x="1548765" y="300021"/>
          <a:ext cx="593598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296719BC-AF44-49B3-AE4C-637F0D5510CD}" type="TxLink">
            <a:rPr lang="en-US" sz="1600" b="1" i="1" u="none"/>
            <a:pPr algn="ctr"/>
            <a:t>BHEA - 2024 EE Portfolio Information</a:t>
          </a:fld>
          <a:endParaRPr lang="en-US" sz="1600" b="1" i="1" u="none"/>
        </a:p>
      </xdr:txBody>
    </xdr:sp>
    <xdr:clientData/>
  </xdr:twoCellAnchor>
  <xdr:twoCellAnchor editAs="absolute">
    <xdr:from>
      <xdr:col>4</xdr:col>
      <xdr:colOff>445770</xdr:colOff>
      <xdr:row>1</xdr:row>
      <xdr:rowOff>142875</xdr:rowOff>
    </xdr:from>
    <xdr:to>
      <xdr:col>11</xdr:col>
      <xdr:colOff>104778</xdr:colOff>
      <xdr:row>1</xdr:row>
      <xdr:rowOff>423080</xdr:rowOff>
    </xdr:to>
    <xdr:sp macro="" textlink="Titles!B7">
      <xdr:nvSpPr>
        <xdr:cNvPr id="12" name="TextBox 11">
          <a:extLst>
            <a:ext uri="{FF2B5EF4-FFF2-40B4-BE49-F238E27FC236}">
              <a16:creationId xmlns:a16="http://schemas.microsoft.com/office/drawing/2014/main" id="{00000000-0008-0000-0B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E496AC1-0A19-4F5D-A7F4-B760F3155650}" type="TxLink">
            <a:rPr lang="en-US" sz="1200" b="0"/>
            <a:pPr algn="ctr"/>
            <a:t>Not Used</a:t>
          </a:fld>
          <a:endParaRPr lang="en-US" sz="1200" b="0"/>
        </a:p>
      </xdr:txBody>
    </xdr:sp>
    <xdr:clientData/>
  </xdr:twoCellAnchor>
  <xdr:twoCellAnchor editAs="absolute">
    <xdr:from>
      <xdr:col>12</xdr:col>
      <xdr:colOff>247650</xdr:colOff>
      <xdr:row>1</xdr:row>
      <xdr:rowOff>95250</xdr:rowOff>
    </xdr:from>
    <xdr:to>
      <xdr:col>13</xdr:col>
      <xdr:colOff>173355</xdr:colOff>
      <xdr:row>1</xdr:row>
      <xdr:rowOff>316230</xdr:rowOff>
    </xdr:to>
    <xdr:sp macro="" textlink="">
      <xdr:nvSpPr>
        <xdr:cNvPr id="13" name="Rounded Rectangle 12">
          <a:hlinkClick xmlns:r="http://schemas.openxmlformats.org/officeDocument/2006/relationships" r:id="rId7" tooltip="Click"/>
          <a:extLst>
            <a:ext uri="{FF2B5EF4-FFF2-40B4-BE49-F238E27FC236}">
              <a16:creationId xmlns:a16="http://schemas.microsoft.com/office/drawing/2014/main" id="{00000000-0008-0000-0B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13</xdr:col>
      <xdr:colOff>219075</xdr:colOff>
      <xdr:row>1</xdr:row>
      <xdr:rowOff>95250</xdr:rowOff>
    </xdr:from>
    <xdr:to>
      <xdr:col>14</xdr:col>
      <xdr:colOff>249555</xdr:colOff>
      <xdr:row>1</xdr:row>
      <xdr:rowOff>316230</xdr:rowOff>
    </xdr:to>
    <xdr:sp macro="" textlink="">
      <xdr:nvSpPr>
        <xdr:cNvPr id="14" name="Rounded Rectangle 13">
          <a:hlinkClick xmlns:r="http://schemas.openxmlformats.org/officeDocument/2006/relationships" r:id="rId6" tooltip="Click"/>
          <a:extLst>
            <a:ext uri="{FF2B5EF4-FFF2-40B4-BE49-F238E27FC236}">
              <a16:creationId xmlns:a16="http://schemas.microsoft.com/office/drawing/2014/main" id="{00000000-0008-0000-0B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xdr:col>
      <xdr:colOff>19050</xdr:colOff>
      <xdr:row>1</xdr:row>
      <xdr:rowOff>0</xdr:rowOff>
    </xdr:from>
    <xdr:to>
      <xdr:col>11</xdr:col>
      <xdr:colOff>0</xdr:colOff>
      <xdr:row>1</xdr:row>
      <xdr:rowOff>401955</xdr:rowOff>
    </xdr:to>
    <xdr:sp macro="" textlink="">
      <xdr:nvSpPr>
        <xdr:cNvPr id="1474742" name="Rectangle 365">
          <a:extLst>
            <a:ext uri="{FF2B5EF4-FFF2-40B4-BE49-F238E27FC236}">
              <a16:creationId xmlns:a16="http://schemas.microsoft.com/office/drawing/2014/main" id="{00000000-0008-0000-0C00-0000B68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19050</xdr:colOff>
      <xdr:row>0</xdr:row>
      <xdr:rowOff>57149</xdr:rowOff>
    </xdr:from>
    <xdr:to>
      <xdr:col>2</xdr:col>
      <xdr:colOff>1240051</xdr:colOff>
      <xdr:row>0</xdr:row>
      <xdr:rowOff>340994</xdr:rowOff>
    </xdr:to>
    <xdr:sp macro="" textlink="Titles!B12">
      <xdr:nvSpPr>
        <xdr:cNvPr id="3" name="Round Same Side Corner Rectangle 2">
          <a:extLst>
            <a:ext uri="{FF2B5EF4-FFF2-40B4-BE49-F238E27FC236}">
              <a16:creationId xmlns:a16="http://schemas.microsoft.com/office/drawing/2014/main" id="{00000000-0008-0000-0C00-000003000000}"/>
            </a:ext>
          </a:extLst>
        </xdr:cNvPr>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D0194FD-9543-4CE5-8BAC-C22EE0B9A4FC}" type="TxLink">
            <a:rPr lang="en-US" sz="1000" b="1">
              <a:solidFill>
                <a:sysClr val="windowText" lastClr="000000"/>
              </a:solidFill>
              <a:latin typeface="+mn-lt"/>
              <a:ea typeface="+mn-ea"/>
              <a:cs typeface="+mn-cs"/>
            </a:rPr>
            <a:pPr marL="0" indent="0" algn="ctr"/>
            <a:t>Actual Expenses</a:t>
          </a:fld>
          <a:endParaRPr lang="en-US" sz="1000" b="1">
            <a:solidFill>
              <a:sysClr val="windowText" lastClr="000000"/>
            </a:solidFill>
            <a:latin typeface="+mn-lt"/>
            <a:ea typeface="+mn-ea"/>
            <a:cs typeface="+mn-cs"/>
          </a:endParaRPr>
        </a:p>
      </xdr:txBody>
    </xdr:sp>
    <xdr:clientData/>
  </xdr:twoCellAnchor>
  <xdr:twoCellAnchor editAs="absolute">
    <xdr:from>
      <xdr:col>2</xdr:col>
      <xdr:colOff>1236345</xdr:colOff>
      <xdr:row>0</xdr:row>
      <xdr:rowOff>59055</xdr:rowOff>
    </xdr:from>
    <xdr:to>
      <xdr:col>3</xdr:col>
      <xdr:colOff>285752</xdr:colOff>
      <xdr:row>0</xdr:row>
      <xdr:rowOff>340995</xdr:rowOff>
    </xdr:to>
    <xdr:sp macro="" textlink="Titles!B13">
      <xdr:nvSpPr>
        <xdr:cNvPr id="4" name="Round Same Side Corner Rectangle 3">
          <a:hlinkClick xmlns:r="http://schemas.openxmlformats.org/officeDocument/2006/relationships" r:id="rId1" tooltip="Click"/>
          <a:extLst>
            <a:ext uri="{FF2B5EF4-FFF2-40B4-BE49-F238E27FC236}">
              <a16:creationId xmlns:a16="http://schemas.microsoft.com/office/drawing/2014/main" id="{00000000-0008-0000-0C00-000004000000}"/>
            </a:ext>
          </a:extLst>
        </xdr:cNvPr>
        <xdr:cNvSpPr/>
      </xdr:nvSpPr>
      <xdr:spPr>
        <a:xfrm>
          <a:off x="156210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BB903B8-6F91-4099-84B6-C71FA8B07AD1}" type="TxLink">
            <a:rPr lang="en-US" sz="1000" b="1" i="0" u="none" strike="noStrike">
              <a:solidFill>
                <a:schemeClr val="bg1"/>
              </a:solidFill>
              <a:latin typeface="Calibri"/>
              <a:ea typeface="+mn-ea"/>
              <a:cs typeface="Calibri"/>
            </a:rPr>
            <a:pPr marL="0" indent="0" algn="ctr"/>
            <a:t>Evaluated Savings</a:t>
          </a:fld>
          <a:endParaRPr lang="en-US" sz="1000" b="1">
            <a:solidFill>
              <a:schemeClr val="bg1"/>
            </a:solidFill>
            <a:latin typeface="+mn-lt"/>
            <a:ea typeface="+mn-ea"/>
            <a:cs typeface="+mn-cs"/>
          </a:endParaRPr>
        </a:p>
      </xdr:txBody>
    </xdr:sp>
    <xdr:clientData/>
  </xdr:twoCellAnchor>
  <xdr:twoCellAnchor editAs="absolute">
    <xdr:from>
      <xdr:col>3</xdr:col>
      <xdr:colOff>283845</xdr:colOff>
      <xdr:row>0</xdr:row>
      <xdr:rowOff>59055</xdr:rowOff>
    </xdr:from>
    <xdr:to>
      <xdr:col>5</xdr:col>
      <xdr:colOff>91440</xdr:colOff>
      <xdr:row>0</xdr:row>
      <xdr:rowOff>340995</xdr:rowOff>
    </xdr:to>
    <xdr:sp macro="" textlink="Titles!B1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C00-000005000000}"/>
            </a:ext>
          </a:extLst>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C6CCE04-727A-4005-80B8-4FCA64A5BD2B}" type="TxLink">
            <a:rPr lang="en-US" sz="1000" b="1" i="0" u="none" strike="noStrike">
              <a:solidFill>
                <a:schemeClr val="bg1"/>
              </a:solidFill>
              <a:latin typeface="Calibri"/>
              <a:cs typeface="Calibri"/>
            </a:rPr>
            <a:pPr algn="ctr"/>
            <a:t>Cost-Benefits</a:t>
          </a:fld>
          <a:endParaRPr lang="en-US" sz="1000" b="1">
            <a:solidFill>
              <a:schemeClr val="bg1"/>
            </a:solidFill>
          </a:endParaRPr>
        </a:p>
      </xdr:txBody>
    </xdr:sp>
    <xdr:clientData/>
  </xdr:twoCellAnchor>
  <xdr:twoCellAnchor editAs="absolute">
    <xdr:from>
      <xdr:col>5</xdr:col>
      <xdr:colOff>91440</xdr:colOff>
      <xdr:row>0</xdr:row>
      <xdr:rowOff>59055</xdr:rowOff>
    </xdr:from>
    <xdr:to>
      <xdr:col>6</xdr:col>
      <xdr:colOff>706682</xdr:colOff>
      <xdr:row>0</xdr:row>
      <xdr:rowOff>340995</xdr:rowOff>
    </xdr:to>
    <xdr:sp macro="" textlink="Titles!B1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C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47E2B2B-6D87-43D4-B286-0E36277201F6}" type="TxLink">
            <a:rPr lang="en-US" sz="1000" b="1" i="0" u="none" strike="noStrike">
              <a:solidFill>
                <a:schemeClr val="bg1"/>
              </a:solidFill>
              <a:latin typeface="Calibri"/>
              <a:cs typeface="Calibri"/>
            </a:rPr>
            <a:pPr algn="ctr"/>
            <a:t>LCFC</a:t>
          </a:fld>
          <a:endParaRPr lang="en-US" sz="1000" b="1">
            <a:solidFill>
              <a:schemeClr val="bg1"/>
            </a:solidFill>
          </a:endParaRPr>
        </a:p>
      </xdr:txBody>
    </xdr:sp>
    <xdr:clientData/>
  </xdr:twoCellAnchor>
  <xdr:twoCellAnchor editAs="absolute">
    <xdr:from>
      <xdr:col>6</xdr:col>
      <xdr:colOff>706755</xdr:colOff>
      <xdr:row>0</xdr:row>
      <xdr:rowOff>59055</xdr:rowOff>
    </xdr:from>
    <xdr:to>
      <xdr:col>8</xdr:col>
      <xdr:colOff>476319</xdr:colOff>
      <xdr:row>0</xdr:row>
      <xdr:rowOff>340995</xdr:rowOff>
    </xdr:to>
    <xdr:sp macro="" textlink="Titles!B1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C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5004EA2-CE7A-4867-99E5-522D34BDA2D9}" type="TxLink">
            <a:rPr lang="en-US" sz="1000" b="1" i="0" u="none" strike="noStrike">
              <a:solidFill>
                <a:schemeClr val="bg1"/>
              </a:solidFill>
              <a:latin typeface="Calibri"/>
              <a:cs typeface="Calibri"/>
            </a:rPr>
            <a:pPr algn="ctr"/>
            <a:t>Incentives</a:t>
          </a:fld>
          <a:endParaRPr lang="en-US" sz="1000" b="1">
            <a:solidFill>
              <a:schemeClr val="bg1"/>
            </a:solidFill>
          </a:endParaRPr>
        </a:p>
      </xdr:txBody>
    </xdr:sp>
    <xdr:clientData/>
  </xdr:twoCellAnchor>
  <xdr:twoCellAnchor editAs="absolute">
    <xdr:from>
      <xdr:col>8</xdr:col>
      <xdr:colOff>480059</xdr:colOff>
      <xdr:row>0</xdr:row>
      <xdr:rowOff>59055</xdr:rowOff>
    </xdr:from>
    <xdr:to>
      <xdr:col>11</xdr:col>
      <xdr:colOff>69</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C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570BE6B6-A613-49BF-A244-95EA923D6AAD}"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857367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C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95250</xdr:colOff>
      <xdr:row>1</xdr:row>
      <xdr:rowOff>438149</xdr:rowOff>
    </xdr:from>
    <xdr:to>
      <xdr:col>10</xdr:col>
      <xdr:colOff>133350</xdr:colOff>
      <xdr:row>1</xdr:row>
      <xdr:rowOff>777282</xdr:rowOff>
    </xdr:to>
    <xdr:sp macro="" textlink="">
      <xdr:nvSpPr>
        <xdr:cNvPr id="10" name="Rounded Rectangle 6">
          <a:extLst>
            <a:ext uri="{FF2B5EF4-FFF2-40B4-BE49-F238E27FC236}">
              <a16:creationId xmlns:a16="http://schemas.microsoft.com/office/drawing/2014/main" id="{00000000-0008-0000-0C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actual PY expenditures, including Regulatory at bottom.  Provide an EECR Cost Reconciliation by clicking the "EECR Reconciliation" button.</a:t>
          </a:r>
          <a:endParaRPr lang="en-US"/>
        </a:p>
      </xdr:txBody>
    </xdr:sp>
    <xdr:clientData/>
  </xdr:twoCellAnchor>
  <xdr:twoCellAnchor editAs="absolute">
    <xdr:from>
      <xdr:col>2</xdr:col>
      <xdr:colOff>1234440</xdr:colOff>
      <xdr:row>0</xdr:row>
      <xdr:rowOff>289457</xdr:rowOff>
    </xdr:from>
    <xdr:to>
      <xdr:col>8</xdr:col>
      <xdr:colOff>510568</xdr:colOff>
      <xdr:row>1</xdr:row>
      <xdr:rowOff>283801</xdr:rowOff>
    </xdr:to>
    <xdr:sp macro="" textlink="Titles!F6">
      <xdr:nvSpPr>
        <xdr:cNvPr id="11" name="TextBox 10">
          <a:extLst>
            <a:ext uri="{FF2B5EF4-FFF2-40B4-BE49-F238E27FC236}">
              <a16:creationId xmlns:a16="http://schemas.microsoft.com/office/drawing/2014/main" id="{00000000-0008-0000-0C00-00000B000000}"/>
            </a:ext>
          </a:extLst>
        </xdr:cNvPr>
        <xdr:cNvSpPr txBox="1"/>
      </xdr:nvSpPr>
      <xdr:spPr>
        <a:xfrm>
          <a:off x="1558636" y="297077"/>
          <a:ext cx="609949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94BD13E-8CED-4B91-8709-38F81125FD6E}" type="TxLink">
            <a:rPr lang="en-US" sz="1600" b="1" i="1" u="none" strike="noStrike">
              <a:solidFill>
                <a:srgbClr val="000000"/>
              </a:solidFill>
              <a:latin typeface="+mn-lt"/>
              <a:cs typeface="Arial"/>
            </a:rPr>
            <a:pPr algn="ctr"/>
            <a:t>BHEA - 2024 Program Year Evaluation</a:t>
          </a:fld>
          <a:endParaRPr lang="en-US" sz="1600" b="1" i="1" u="none">
            <a:latin typeface="+mn-lt"/>
          </a:endParaRPr>
        </a:p>
      </xdr:txBody>
    </xdr:sp>
    <xdr:clientData/>
  </xdr:twoCellAnchor>
  <xdr:twoCellAnchor editAs="absolute">
    <xdr:from>
      <xdr:col>2</xdr:col>
      <xdr:colOff>1920240</xdr:colOff>
      <xdr:row>1</xdr:row>
      <xdr:rowOff>131445</xdr:rowOff>
    </xdr:from>
    <xdr:to>
      <xdr:col>7</xdr:col>
      <xdr:colOff>662993</xdr:colOff>
      <xdr:row>1</xdr:row>
      <xdr:rowOff>415460</xdr:rowOff>
    </xdr:to>
    <xdr:sp macro="" textlink="Titles!B12">
      <xdr:nvSpPr>
        <xdr:cNvPr id="12" name="TextBox 11">
          <a:extLst>
            <a:ext uri="{FF2B5EF4-FFF2-40B4-BE49-F238E27FC236}">
              <a16:creationId xmlns:a16="http://schemas.microsoft.com/office/drawing/2014/main" id="{00000000-0008-0000-0C00-00000C000000}"/>
            </a:ext>
          </a:extLst>
        </xdr:cNvPr>
        <xdr:cNvSpPr txBox="1"/>
      </xdr:nvSpPr>
      <xdr:spPr>
        <a:xfrm>
          <a:off x="2244436" y="498937"/>
          <a:ext cx="470020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94D7F56-B7FD-4AF3-90C1-83EBEF9A6D18}" type="TxLink">
            <a:rPr lang="en-US" sz="1200" b="0" i="0" u="none" strike="noStrike">
              <a:solidFill>
                <a:srgbClr val="000000"/>
              </a:solidFill>
              <a:latin typeface="+mn-lt"/>
              <a:cs typeface="Calibri"/>
            </a:rPr>
            <a:pPr algn="ctr"/>
            <a:t>Actual Expenses</a:t>
          </a:fld>
          <a:endParaRPr lang="en-US" sz="1200" b="0">
            <a:latin typeface="+mn-lt"/>
          </a:endParaRPr>
        </a:p>
      </xdr:txBody>
    </xdr:sp>
    <xdr:clientData/>
  </xdr:twoCellAnchor>
  <xdr:twoCellAnchor editAs="absolute">
    <xdr:from>
      <xdr:col>8</xdr:col>
      <xdr:colOff>554355</xdr:colOff>
      <xdr:row>1</xdr:row>
      <xdr:rowOff>91440</xdr:rowOff>
    </xdr:from>
    <xdr:to>
      <xdr:col>9</xdr:col>
      <xdr:colOff>363883</xdr:colOff>
      <xdr:row>1</xdr:row>
      <xdr:rowOff>320040</xdr:rowOff>
    </xdr:to>
    <xdr:sp macro="" textlink="">
      <xdr:nvSpPr>
        <xdr:cNvPr id="13" name="Rounded Rectangle 12">
          <a:hlinkClick xmlns:r="http://schemas.openxmlformats.org/officeDocument/2006/relationships" r:id="rId6" tooltip="Click"/>
          <a:extLst>
            <a:ext uri="{FF2B5EF4-FFF2-40B4-BE49-F238E27FC236}">
              <a16:creationId xmlns:a16="http://schemas.microsoft.com/office/drawing/2014/main" id="{00000000-0008-0000-0C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401955</xdr:colOff>
      <xdr:row>1</xdr:row>
      <xdr:rowOff>91440</xdr:rowOff>
    </xdr:from>
    <xdr:to>
      <xdr:col>10</xdr:col>
      <xdr:colOff>116196</xdr:colOff>
      <xdr:row>1</xdr:row>
      <xdr:rowOff>320040</xdr:rowOff>
    </xdr:to>
    <xdr:sp macro="" textlink="">
      <xdr:nvSpPr>
        <xdr:cNvPr id="14" name="Rounded Rectangle 13">
          <a:hlinkClick xmlns:r="http://schemas.openxmlformats.org/officeDocument/2006/relationships" r:id="rId1" tooltip="Click"/>
          <a:extLst>
            <a:ext uri="{FF2B5EF4-FFF2-40B4-BE49-F238E27FC236}">
              <a16:creationId xmlns:a16="http://schemas.microsoft.com/office/drawing/2014/main" id="{00000000-0008-0000-0C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643890</xdr:colOff>
      <xdr:row>3</xdr:row>
      <xdr:rowOff>15933</xdr:rowOff>
    </xdr:from>
    <xdr:to>
      <xdr:col>10</xdr:col>
      <xdr:colOff>95288</xdr:colOff>
      <xdr:row>3</xdr:row>
      <xdr:rowOff>168333</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C00-00000F000000}"/>
            </a:ext>
          </a:extLst>
        </xdr:cNvPr>
        <xdr:cNvSpPr/>
      </xdr:nvSpPr>
      <xdr:spPr>
        <a:xfrm>
          <a:off x="7640435" y="1293668"/>
          <a:ext cx="1216987"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baseline="0">
              <a:solidFill>
                <a:sysClr val="windowText" lastClr="000000"/>
              </a:solidFill>
            </a:rPr>
            <a:t>EECR Reconciliation</a:t>
          </a:r>
          <a:endParaRPr lang="en-US" sz="800" b="1">
            <a:solidFill>
              <a:sysClr val="windowText" lastClr="000000"/>
            </a:solidFill>
          </a:endParaRPr>
        </a:p>
      </xdr:txBody>
    </xdr:sp>
    <xdr:clientData/>
  </xdr:twoCellAnchor>
  <xdr:twoCellAnchor editAs="absolute">
    <xdr:from>
      <xdr:col>7</xdr:col>
      <xdr:colOff>0</xdr:colOff>
      <xdr:row>3</xdr:row>
      <xdr:rowOff>1</xdr:rowOff>
    </xdr:from>
    <xdr:to>
      <xdr:col>8</xdr:col>
      <xdr:colOff>15760</xdr:colOff>
      <xdr:row>3</xdr:row>
      <xdr:rowOff>174394</xdr:rowOff>
    </xdr:to>
    <xdr:sp macro="" textlink="">
      <xdr:nvSpPr>
        <xdr:cNvPr id="18" name="Rounded Rectangle 17">
          <a:hlinkClick xmlns:r="http://schemas.openxmlformats.org/officeDocument/2006/relationships" r:id="rId8" tooltip="Click"/>
          <a:extLst>
            <a:ext uri="{FF2B5EF4-FFF2-40B4-BE49-F238E27FC236}">
              <a16:creationId xmlns:a16="http://schemas.microsoft.com/office/drawing/2014/main" id="{00000000-0008-0000-0C00-000012000000}"/>
            </a:ext>
          </a:extLst>
        </xdr:cNvPr>
        <xdr:cNvSpPr/>
      </xdr:nvSpPr>
      <xdr:spPr>
        <a:xfrm>
          <a:off x="6147955" y="1281546"/>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1</xdr:col>
      <xdr:colOff>76200</xdr:colOff>
      <xdr:row>1</xdr:row>
      <xdr:rowOff>91440</xdr:rowOff>
    </xdr:from>
    <xdr:to>
      <xdr:col>3</xdr:col>
      <xdr:colOff>727639</xdr:colOff>
      <xdr:row>1</xdr:row>
      <xdr:rowOff>320040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49530</xdr:colOff>
      <xdr:row>2</xdr:row>
      <xdr:rowOff>11429</xdr:rowOff>
    </xdr:from>
    <xdr:to>
      <xdr:col>8</xdr:col>
      <xdr:colOff>152400</xdr:colOff>
      <xdr:row>2</xdr:row>
      <xdr:rowOff>403859</xdr:rowOff>
    </xdr:to>
    <xdr:sp macro="" textlink="">
      <xdr:nvSpPr>
        <xdr:cNvPr id="4" name="Rounded Rectangle 6">
          <a:extLst>
            <a:ext uri="{FF2B5EF4-FFF2-40B4-BE49-F238E27FC236}">
              <a16:creationId xmlns:a16="http://schemas.microsoft.com/office/drawing/2014/main" id="{00000000-0008-0000-0D00-000004000000}"/>
            </a:ext>
          </a:extLst>
        </xdr:cNvPr>
        <xdr:cNvSpPr>
          <a:spLocks noChangeArrowheads="1"/>
        </xdr:cNvSpPr>
      </xdr:nvSpPr>
      <xdr:spPr bwMode="auto">
        <a:xfrm>
          <a:off x="116898" y="555047"/>
          <a:ext cx="8781184" cy="39052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EECR Expenses is the expenses collected through the EECR for the Program Year being reported (the expense included in the PY True-up).  Provide an explanation if the Reported Expenditures are different than the expenses collected via the EECR.</a:t>
          </a:r>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11430</xdr:colOff>
      <xdr:row>1</xdr:row>
      <xdr:rowOff>0</xdr:rowOff>
    </xdr:from>
    <xdr:to>
      <xdr:col>10</xdr:col>
      <xdr:colOff>948690</xdr:colOff>
      <xdr:row>1</xdr:row>
      <xdr:rowOff>415290</xdr:rowOff>
    </xdr:to>
    <xdr:sp macro="" textlink="">
      <xdr:nvSpPr>
        <xdr:cNvPr id="1476790" name="Rectangle 365">
          <a:extLst>
            <a:ext uri="{FF2B5EF4-FFF2-40B4-BE49-F238E27FC236}">
              <a16:creationId xmlns:a16="http://schemas.microsoft.com/office/drawing/2014/main" id="{00000000-0008-0000-0E00-0000B68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11430</xdr:colOff>
      <xdr:row>0</xdr:row>
      <xdr:rowOff>64769</xdr:rowOff>
    </xdr:from>
    <xdr:to>
      <xdr:col>2</xdr:col>
      <xdr:colOff>1238146</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E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4D293E1-65BD-42D8-B764-E2C7383B69BA}"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1253490</xdr:colOff>
      <xdr:row>0</xdr:row>
      <xdr:rowOff>72390</xdr:rowOff>
    </xdr:from>
    <xdr:to>
      <xdr:col>3</xdr:col>
      <xdr:colOff>293298</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E00-000004000000}"/>
            </a:ext>
          </a:extLst>
        </xdr:cNvPr>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EEAAF38-BD27-43FD-8A5F-472D8AA97576}" type="TxLink">
            <a:rPr lang="en-US" sz="1000" b="1">
              <a:solidFill>
                <a:sysClr val="windowText" lastClr="000000"/>
              </a:solidFill>
            </a:rPr>
            <a:pPr algn="ctr"/>
            <a:t>Evaluated Savings</a:t>
          </a:fld>
          <a:endParaRPr lang="en-US" sz="1000" b="1">
            <a:solidFill>
              <a:sysClr val="windowText" lastClr="000000"/>
            </a:solidFill>
          </a:endParaRPr>
        </a:p>
      </xdr:txBody>
    </xdr:sp>
    <xdr:clientData/>
  </xdr:twoCellAnchor>
  <xdr:twoCellAnchor editAs="absolute">
    <xdr:from>
      <xdr:col>3</xdr:col>
      <xdr:colOff>316230</xdr:colOff>
      <xdr:row>0</xdr:row>
      <xdr:rowOff>72390</xdr:rowOff>
    </xdr:from>
    <xdr:to>
      <xdr:col>4</xdr:col>
      <xdr:colOff>841986</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E00-000005000000}"/>
            </a:ext>
          </a:extLst>
        </xdr:cNvPr>
        <xdr:cNvSpPr/>
      </xdr:nvSpPr>
      <xdr:spPr>
        <a:xfrm>
          <a:off x="3118485" y="66675"/>
          <a:ext cx="1514475"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4793F1E-404D-41D5-A083-57B89C30C0CF}" type="TxLink">
            <a:rPr lang="en-US" sz="1000" b="1">
              <a:solidFill>
                <a:schemeClr val="bg1"/>
              </a:solidFill>
              <a:latin typeface="+mn-lt"/>
              <a:ea typeface="+mn-ea"/>
              <a:cs typeface="+mn-cs"/>
            </a:rPr>
            <a:pPr marL="0" indent="0" algn="ctr"/>
            <a:t>Cost-Benefits</a:t>
          </a:fld>
          <a:endParaRPr lang="en-US" sz="1000" b="1">
            <a:solidFill>
              <a:schemeClr val="bg1"/>
            </a:solidFill>
            <a:latin typeface="+mn-lt"/>
            <a:ea typeface="+mn-ea"/>
            <a:cs typeface="+mn-cs"/>
          </a:endParaRPr>
        </a:p>
      </xdr:txBody>
    </xdr:sp>
    <xdr:clientData/>
  </xdr:twoCellAnchor>
  <xdr:twoCellAnchor editAs="absolute">
    <xdr:from>
      <xdr:col>4</xdr:col>
      <xdr:colOff>859155</xdr:colOff>
      <xdr:row>0</xdr:row>
      <xdr:rowOff>72390</xdr:rowOff>
    </xdr:from>
    <xdr:to>
      <xdr:col>6</xdr:col>
      <xdr:colOff>773440</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E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5A5ADE0-2D38-4DF1-813D-0D40730E1E06}" type="TxLink">
            <a:rPr lang="en-US" sz="1000" b="1"/>
            <a:pPr algn="ctr"/>
            <a:t>LCFC</a:t>
          </a:fld>
          <a:endParaRPr lang="en-US" sz="1000" b="1"/>
        </a:p>
      </xdr:txBody>
    </xdr:sp>
    <xdr:clientData/>
  </xdr:twoCellAnchor>
  <xdr:twoCellAnchor editAs="absolute">
    <xdr:from>
      <xdr:col>6</xdr:col>
      <xdr:colOff>782955</xdr:colOff>
      <xdr:row>0</xdr:row>
      <xdr:rowOff>72390</xdr:rowOff>
    </xdr:from>
    <xdr:to>
      <xdr:col>9</xdr:col>
      <xdr:colOff>79987</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0E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162D75-27A5-4356-AF78-A9B278CF5356}" type="TxLink">
            <a:rPr lang="en-US" sz="1000" b="1"/>
            <a:pPr algn="ctr"/>
            <a:t>Incentives</a:t>
          </a:fld>
          <a:endParaRPr lang="en-US" sz="1000" b="1"/>
        </a:p>
      </xdr:txBody>
    </xdr:sp>
    <xdr:clientData/>
  </xdr:twoCellAnchor>
  <xdr:twoCellAnchor editAs="absolute">
    <xdr:from>
      <xdr:col>9</xdr:col>
      <xdr:colOff>80009</xdr:colOff>
      <xdr:row>0</xdr:row>
      <xdr:rowOff>72390</xdr:rowOff>
    </xdr:from>
    <xdr:to>
      <xdr:col>10</xdr:col>
      <xdr:colOff>948728</xdr:colOff>
      <xdr:row>0</xdr:row>
      <xdr:rowOff>342900</xdr:rowOff>
    </xdr:to>
    <xdr:sp macro="" textlink="Titles!B17">
      <xdr:nvSpPr>
        <xdr:cNvPr id="8" name="Round Same Side Corner Rectangle 8">
          <a:hlinkClick xmlns:r="http://schemas.openxmlformats.org/officeDocument/2006/relationships" r:id="rId6" tooltip="Click"/>
          <a:extLst>
            <a:ext uri="{FF2B5EF4-FFF2-40B4-BE49-F238E27FC236}">
              <a16:creationId xmlns:a16="http://schemas.microsoft.com/office/drawing/2014/main" id="{00000000-0008-0000-0E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1DC08FF-1CFC-428D-83CD-2BCD48E32E08}"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872607</xdr:colOff>
      <xdr:row>1</xdr:row>
      <xdr:rowOff>304800</xdr:rowOff>
    </xdr:to>
    <xdr:sp macro="" textlink="">
      <xdr:nvSpPr>
        <xdr:cNvPr id="9" name="Rounded Rectangle 8">
          <a:hlinkClick xmlns:r="http://schemas.openxmlformats.org/officeDocument/2006/relationships" r:id="rId7" tooltip="Click"/>
          <a:extLst>
            <a:ext uri="{FF2B5EF4-FFF2-40B4-BE49-F238E27FC236}">
              <a16:creationId xmlns:a16="http://schemas.microsoft.com/office/drawing/2014/main" id="{00000000-0008-0000-0E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87630</xdr:colOff>
      <xdr:row>1</xdr:row>
      <xdr:rowOff>445769</xdr:rowOff>
    </xdr:from>
    <xdr:to>
      <xdr:col>10</xdr:col>
      <xdr:colOff>880104</xdr:colOff>
      <xdr:row>1</xdr:row>
      <xdr:rowOff>773472</xdr:rowOff>
    </xdr:to>
    <xdr:sp macro="" textlink="">
      <xdr:nvSpPr>
        <xdr:cNvPr id="10" name="Rounded Rectangle 6">
          <a:extLst>
            <a:ext uri="{FF2B5EF4-FFF2-40B4-BE49-F238E27FC236}">
              <a16:creationId xmlns:a16="http://schemas.microsoft.com/office/drawing/2014/main" id="{00000000-0008-0000-0E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evaluated net savings and participant results.  Provide the methodology for energy savings by clicking the "Methodology for Energy Savings" button.</a:t>
          </a:r>
          <a:endParaRPr lang="en-US"/>
        </a:p>
      </xdr:txBody>
    </xdr:sp>
    <xdr:clientData/>
  </xdr:twoCellAnchor>
  <xdr:twoCellAnchor editAs="absolute">
    <xdr:from>
      <xdr:col>2</xdr:col>
      <xdr:colOff>1230630</xdr:colOff>
      <xdr:row>0</xdr:row>
      <xdr:rowOff>283915</xdr:rowOff>
    </xdr:from>
    <xdr:to>
      <xdr:col>9</xdr:col>
      <xdr:colOff>110514</xdr:colOff>
      <xdr:row>1</xdr:row>
      <xdr:rowOff>283628</xdr:rowOff>
    </xdr:to>
    <xdr:sp macro="" textlink="Titles!F6">
      <xdr:nvSpPr>
        <xdr:cNvPr id="11" name="TextBox 10">
          <a:extLst>
            <a:ext uri="{FF2B5EF4-FFF2-40B4-BE49-F238E27FC236}">
              <a16:creationId xmlns:a16="http://schemas.microsoft.com/office/drawing/2014/main" id="{00000000-0008-0000-0E00-00000B000000}"/>
            </a:ext>
          </a:extLst>
        </xdr:cNvPr>
        <xdr:cNvSpPr txBox="1"/>
      </xdr:nvSpPr>
      <xdr:spPr>
        <a:xfrm>
          <a:off x="1541665" y="295345"/>
          <a:ext cx="614728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E184F71-AA4A-497D-BEB6-FDEA2B8253D5}" type="TxLink">
            <a:rPr lang="en-US" sz="1600" b="1" i="1" u="none"/>
            <a:pPr algn="ctr"/>
            <a:t>BHEA - 2024 Program Year Evaluation</a:t>
          </a:fld>
          <a:endParaRPr lang="en-US" sz="1600" b="1" i="1" u="none"/>
        </a:p>
      </xdr:txBody>
    </xdr:sp>
    <xdr:clientData/>
  </xdr:twoCellAnchor>
  <xdr:twoCellAnchor editAs="absolute">
    <xdr:from>
      <xdr:col>2</xdr:col>
      <xdr:colOff>1929765</xdr:colOff>
      <xdr:row>1</xdr:row>
      <xdr:rowOff>148590</xdr:rowOff>
    </xdr:from>
    <xdr:to>
      <xdr:col>8</xdr:col>
      <xdr:colOff>34337</xdr:colOff>
      <xdr:row>1</xdr:row>
      <xdr:rowOff>434510</xdr:rowOff>
    </xdr:to>
    <xdr:sp macro="" textlink="Titles!B13">
      <xdr:nvSpPr>
        <xdr:cNvPr id="12" name="TextBox 11">
          <a:extLst>
            <a:ext uri="{FF2B5EF4-FFF2-40B4-BE49-F238E27FC236}">
              <a16:creationId xmlns:a16="http://schemas.microsoft.com/office/drawing/2014/main" id="{00000000-0008-0000-0E00-00000C000000}"/>
            </a:ext>
          </a:extLst>
        </xdr:cNvPr>
        <xdr:cNvSpPr txBox="1"/>
      </xdr:nvSpPr>
      <xdr:spPr>
        <a:xfrm>
          <a:off x="2257771" y="512272"/>
          <a:ext cx="4547975"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5D3E01B8-0755-4FE9-B464-8711962D59FD}" type="TxLink">
            <a:rPr lang="en-US" sz="1200" b="0" i="0" u="none" strike="noStrike">
              <a:solidFill>
                <a:srgbClr val="000000"/>
              </a:solidFill>
              <a:latin typeface="+mn-lt"/>
              <a:cs typeface="Calibri"/>
            </a:rPr>
            <a:pPr algn="ctr"/>
            <a:t>Evaluated Savings</a:t>
          </a:fld>
          <a:endParaRPr lang="en-US" sz="1800" b="0">
            <a:latin typeface="+mn-lt"/>
          </a:endParaRPr>
        </a:p>
      </xdr:txBody>
    </xdr:sp>
    <xdr:clientData/>
  </xdr:twoCellAnchor>
  <xdr:twoCellAnchor editAs="absolute">
    <xdr:from>
      <xdr:col>9</xdr:col>
      <xdr:colOff>163830</xdr:colOff>
      <xdr:row>1</xdr:row>
      <xdr:rowOff>100965</xdr:rowOff>
    </xdr:from>
    <xdr:to>
      <xdr:col>10</xdr:col>
      <xdr:colOff>190500</xdr:colOff>
      <xdr:row>1</xdr:row>
      <xdr:rowOff>316230</xdr:rowOff>
    </xdr:to>
    <xdr:sp macro="" textlink="">
      <xdr:nvSpPr>
        <xdr:cNvPr id="13" name="Rounded Rectangle 12">
          <a:hlinkClick xmlns:r="http://schemas.openxmlformats.org/officeDocument/2006/relationships" r:id="rId1" tooltip="Click"/>
          <a:extLst>
            <a:ext uri="{FF2B5EF4-FFF2-40B4-BE49-F238E27FC236}">
              <a16:creationId xmlns:a16="http://schemas.microsoft.com/office/drawing/2014/main" id="{00000000-0008-0000-0E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240030</xdr:colOff>
      <xdr:row>1</xdr:row>
      <xdr:rowOff>100965</xdr:rowOff>
    </xdr:from>
    <xdr:to>
      <xdr:col>10</xdr:col>
      <xdr:colOff>879998</xdr:colOff>
      <xdr:row>1</xdr:row>
      <xdr:rowOff>329565</xdr:rowOff>
    </xdr:to>
    <xdr:sp macro="" textlink="">
      <xdr:nvSpPr>
        <xdr:cNvPr id="14" name="Rounded Rectangle 13">
          <a:hlinkClick xmlns:r="http://schemas.openxmlformats.org/officeDocument/2006/relationships" r:id="rId3" tooltip="Click"/>
          <a:extLst>
            <a:ext uri="{FF2B5EF4-FFF2-40B4-BE49-F238E27FC236}">
              <a16:creationId xmlns:a16="http://schemas.microsoft.com/office/drawing/2014/main" id="{00000000-0008-0000-0E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415636</xdr:colOff>
      <xdr:row>2</xdr:row>
      <xdr:rowOff>116032</xdr:rowOff>
    </xdr:from>
    <xdr:to>
      <xdr:col>10</xdr:col>
      <xdr:colOff>888084</xdr:colOff>
      <xdr:row>3</xdr:row>
      <xdr:rowOff>177858</xdr:rowOff>
    </xdr:to>
    <xdr:sp macro="" textlink="">
      <xdr:nvSpPr>
        <xdr:cNvPr id="15" name="Rounded Rectangle 14">
          <a:hlinkClick xmlns:r="http://schemas.openxmlformats.org/officeDocument/2006/relationships" r:id="rId8" tooltip="Click"/>
          <a:extLst>
            <a:ext uri="{FF2B5EF4-FFF2-40B4-BE49-F238E27FC236}">
              <a16:creationId xmlns:a16="http://schemas.microsoft.com/office/drawing/2014/main" id="{00000000-0008-0000-0E00-00000F000000}"/>
            </a:ext>
          </a:extLst>
        </xdr:cNvPr>
        <xdr:cNvSpPr/>
      </xdr:nvSpPr>
      <xdr:spPr>
        <a:xfrm>
          <a:off x="7175615" y="1302327"/>
          <a:ext cx="1692341" cy="231198"/>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Methodology</a:t>
          </a:r>
          <a:r>
            <a:rPr lang="en-US" sz="800" b="1" baseline="0">
              <a:solidFill>
                <a:sysClr val="windowText" lastClr="000000"/>
              </a:solidFill>
            </a:rPr>
            <a:t> for Energy Savings</a:t>
          </a:r>
        </a:p>
        <a:p>
          <a:pPr algn="ctr"/>
          <a:endParaRPr lang="en-US" sz="800" b="1">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F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xdr:col>
      <xdr:colOff>15240</xdr:colOff>
      <xdr:row>1</xdr:row>
      <xdr:rowOff>0</xdr:rowOff>
    </xdr:from>
    <xdr:to>
      <xdr:col>12</xdr:col>
      <xdr:colOff>209550</xdr:colOff>
      <xdr:row>1</xdr:row>
      <xdr:rowOff>398145</xdr:rowOff>
    </xdr:to>
    <xdr:sp macro="" textlink="">
      <xdr:nvSpPr>
        <xdr:cNvPr id="1478851" name="Rectangle 365">
          <a:extLst>
            <a:ext uri="{FF2B5EF4-FFF2-40B4-BE49-F238E27FC236}">
              <a16:creationId xmlns:a16="http://schemas.microsoft.com/office/drawing/2014/main" id="{00000000-0008-0000-1000-0000C39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15240</xdr:colOff>
      <xdr:row>0</xdr:row>
      <xdr:rowOff>60959</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0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218C69A-6659-40A4-A383-FC107167CB47}"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1240155</xdr:colOff>
      <xdr:row>0</xdr:row>
      <xdr:rowOff>55245</xdr:rowOff>
    </xdr:from>
    <xdr:to>
      <xdr:col>3</xdr:col>
      <xdr:colOff>320165</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0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A0FB71B-05A6-47E7-83C2-6653FCB8E4E5}" type="TxLink">
            <a:rPr lang="en-US" sz="1000" b="1"/>
            <a:pPr algn="ctr"/>
            <a:t>Evaluated Savings</a:t>
          </a:fld>
          <a:endParaRPr lang="en-US" sz="1000" b="1"/>
        </a:p>
      </xdr:txBody>
    </xdr:sp>
    <xdr:clientData/>
  </xdr:twoCellAnchor>
  <xdr:twoCellAnchor editAs="absolute">
    <xdr:from>
      <xdr:col>3</xdr:col>
      <xdr:colOff>325755</xdr:colOff>
      <xdr:row>0</xdr:row>
      <xdr:rowOff>55245</xdr:rowOff>
    </xdr:from>
    <xdr:to>
      <xdr:col>5</xdr:col>
      <xdr:colOff>398145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000-000005000000}"/>
            </a:ext>
          </a:extLst>
        </xdr:cNvPr>
        <xdr:cNvSpPr/>
      </xdr:nvSpPr>
      <xdr:spPr>
        <a:xfrm>
          <a:off x="3122295" y="66675"/>
          <a:ext cx="1533525"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8B495C3-4F12-4699-8AB0-1546BEF8A415}" type="TxLink">
            <a:rPr lang="en-US" sz="1000" b="1">
              <a:solidFill>
                <a:sysClr val="windowText" lastClr="000000"/>
              </a:solidFill>
            </a:rPr>
            <a:pPr algn="ctr"/>
            <a:t>Cost-Benefits</a:t>
          </a:fld>
          <a:endParaRPr lang="en-US" sz="1000" b="1">
            <a:solidFill>
              <a:sysClr val="windowText" lastClr="000000"/>
            </a:solidFill>
          </a:endParaRPr>
        </a:p>
      </xdr:txBody>
    </xdr:sp>
    <xdr:clientData/>
  </xdr:twoCellAnchor>
  <xdr:twoCellAnchor editAs="absolute">
    <xdr:from>
      <xdr:col>5</xdr:col>
      <xdr:colOff>398145</xdr:colOff>
      <xdr:row>0</xdr:row>
      <xdr:rowOff>55245</xdr:rowOff>
    </xdr:from>
    <xdr:to>
      <xdr:col>7</xdr:col>
      <xdr:colOff>253365</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000-000006000000}"/>
            </a:ext>
          </a:extLst>
        </xdr:cNvPr>
        <xdr:cNvSpPr/>
      </xdr:nvSpPr>
      <xdr:spPr>
        <a:xfrm>
          <a:off x="4524375"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73AAB0-810E-4197-A276-1B3AA90F295F}" type="TxLink">
            <a:rPr lang="en-US" sz="1000" b="1">
              <a:solidFill>
                <a:schemeClr val="bg1"/>
              </a:solidFill>
              <a:latin typeface="+mn-lt"/>
              <a:ea typeface="+mn-ea"/>
              <a:cs typeface="+mn-cs"/>
            </a:rPr>
            <a:pPr marL="0" indent="0" algn="ctr"/>
            <a:t>LCFC</a:t>
          </a:fld>
          <a:endParaRPr lang="en-US" sz="1000" b="1">
            <a:solidFill>
              <a:schemeClr val="bg1"/>
            </a:solidFill>
            <a:latin typeface="+mn-lt"/>
            <a:ea typeface="+mn-ea"/>
            <a:cs typeface="+mn-cs"/>
          </a:endParaRPr>
        </a:p>
      </xdr:txBody>
    </xdr:sp>
    <xdr:clientData/>
  </xdr:twoCellAnchor>
  <xdr:twoCellAnchor editAs="absolute">
    <xdr:from>
      <xdr:col>7</xdr:col>
      <xdr:colOff>285750</xdr:colOff>
      <xdr:row>0</xdr:row>
      <xdr:rowOff>55245</xdr:rowOff>
    </xdr:from>
    <xdr:to>
      <xdr:col>9</xdr:col>
      <xdr:colOff>243840</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10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EE85EB-4F71-412A-A2BA-F3553DA45247}" type="TxLink">
            <a:rPr lang="en-US" sz="1000" b="1"/>
            <a:pPr algn="ctr"/>
            <a:t>Incentives</a:t>
          </a:fld>
          <a:endParaRPr lang="en-US" sz="1000" b="1"/>
        </a:p>
      </xdr:txBody>
    </xdr:sp>
    <xdr:clientData/>
  </xdr:twoCellAnchor>
  <xdr:twoCellAnchor editAs="absolute">
    <xdr:from>
      <xdr:col>9</xdr:col>
      <xdr:colOff>264794</xdr:colOff>
      <xdr:row>0</xdr:row>
      <xdr:rowOff>55245</xdr:rowOff>
    </xdr:from>
    <xdr:to>
      <xdr:col>12</xdr:col>
      <xdr:colOff>207644</xdr:colOff>
      <xdr:row>0</xdr:row>
      <xdr:rowOff>342900</xdr:rowOff>
    </xdr:to>
    <xdr:sp macro="" textlink="Titles!B17">
      <xdr:nvSpPr>
        <xdr:cNvPr id="8" name="Round Same Side Corner Rectangle 8">
          <a:hlinkClick xmlns:r="http://schemas.openxmlformats.org/officeDocument/2006/relationships" r:id="rId6" tooltip="Click"/>
          <a:extLst>
            <a:ext uri="{FF2B5EF4-FFF2-40B4-BE49-F238E27FC236}">
              <a16:creationId xmlns:a16="http://schemas.microsoft.com/office/drawing/2014/main" id="{00000000-0008-0000-10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5B15236-2B4E-4E81-88FF-64BCB4C27D4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853557</xdr:colOff>
      <xdr:row>1</xdr:row>
      <xdr:rowOff>304800</xdr:rowOff>
    </xdr:to>
    <xdr:sp macro="" textlink="">
      <xdr:nvSpPr>
        <xdr:cNvPr id="9" name="Rounded Rectangle 8">
          <a:hlinkClick xmlns:r="http://schemas.openxmlformats.org/officeDocument/2006/relationships" r:id="rId7" tooltip="Click"/>
          <a:extLst>
            <a:ext uri="{FF2B5EF4-FFF2-40B4-BE49-F238E27FC236}">
              <a16:creationId xmlns:a16="http://schemas.microsoft.com/office/drawing/2014/main" id="{00000000-0008-0000-10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91440</xdr:colOff>
      <xdr:row>1</xdr:row>
      <xdr:rowOff>441959</xdr:rowOff>
    </xdr:from>
    <xdr:to>
      <xdr:col>12</xdr:col>
      <xdr:colOff>150495</xdr:colOff>
      <xdr:row>1</xdr:row>
      <xdr:rowOff>781092</xdr:rowOff>
    </xdr:to>
    <xdr:sp macro="" textlink="">
      <xdr:nvSpPr>
        <xdr:cNvPr id="10" name="Rounded Rectangle 6">
          <a:extLst>
            <a:ext uri="{FF2B5EF4-FFF2-40B4-BE49-F238E27FC236}">
              <a16:creationId xmlns:a16="http://schemas.microsoft.com/office/drawing/2014/main" id="{00000000-0008-0000-10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required TRC components.  Provide "Key Assumptions" , "NEBs", and "Other Cost-Benefit Test" by clicking on the action buttons.</a:t>
          </a:r>
          <a:endParaRPr lang="en-US"/>
        </a:p>
      </xdr:txBody>
    </xdr:sp>
    <xdr:clientData/>
  </xdr:twoCellAnchor>
  <xdr:twoCellAnchor editAs="absolute">
    <xdr:from>
      <xdr:col>2</xdr:col>
      <xdr:colOff>1234440</xdr:colOff>
      <xdr:row>0</xdr:row>
      <xdr:rowOff>299155</xdr:rowOff>
    </xdr:from>
    <xdr:to>
      <xdr:col>9</xdr:col>
      <xdr:colOff>283836</xdr:colOff>
      <xdr:row>1</xdr:row>
      <xdr:rowOff>281723</xdr:rowOff>
    </xdr:to>
    <xdr:sp macro="" textlink="Titles!F6">
      <xdr:nvSpPr>
        <xdr:cNvPr id="11" name="TextBox 10">
          <a:extLst>
            <a:ext uri="{FF2B5EF4-FFF2-40B4-BE49-F238E27FC236}">
              <a16:creationId xmlns:a16="http://schemas.microsoft.com/office/drawing/2014/main" id="{00000000-0008-0000-1000-00000B000000}"/>
            </a:ext>
          </a:extLst>
        </xdr:cNvPr>
        <xdr:cNvSpPr txBox="1"/>
      </xdr:nvSpPr>
      <xdr:spPr>
        <a:xfrm>
          <a:off x="1553095" y="299155"/>
          <a:ext cx="61359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4BDCE8DC-CBCD-4C00-A216-4B8954D26EF7}" type="TxLink">
            <a:rPr lang="en-US" sz="1600" b="1" i="1" u="none"/>
            <a:pPr algn="ctr"/>
            <a:t>BHEA - 2024 Program Year Evaluation</a:t>
          </a:fld>
          <a:endParaRPr lang="en-US" sz="1600" b="1" i="1" u="none"/>
        </a:p>
      </xdr:txBody>
    </xdr:sp>
    <xdr:clientData/>
  </xdr:twoCellAnchor>
  <xdr:twoCellAnchor editAs="absolute">
    <xdr:from>
      <xdr:col>2</xdr:col>
      <xdr:colOff>1920240</xdr:colOff>
      <xdr:row>1</xdr:row>
      <xdr:rowOff>131445</xdr:rowOff>
    </xdr:from>
    <xdr:to>
      <xdr:col>8</xdr:col>
      <xdr:colOff>325899</xdr:colOff>
      <xdr:row>1</xdr:row>
      <xdr:rowOff>411650</xdr:rowOff>
    </xdr:to>
    <xdr:sp macro="" textlink="Titles!B14">
      <xdr:nvSpPr>
        <xdr:cNvPr id="12" name="TextBox 11">
          <a:extLst>
            <a:ext uri="{FF2B5EF4-FFF2-40B4-BE49-F238E27FC236}">
              <a16:creationId xmlns:a16="http://schemas.microsoft.com/office/drawing/2014/main" id="{00000000-0008-0000-1000-00000C000000}"/>
            </a:ext>
          </a:extLst>
        </xdr:cNvPr>
        <xdr:cNvSpPr txBox="1"/>
      </xdr:nvSpPr>
      <xdr:spPr>
        <a:xfrm>
          <a:off x="2238895" y="491663"/>
          <a:ext cx="473025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77CB7A2-9882-4BB1-BEB2-FBCD1D059766}" type="TxLink">
            <a:rPr lang="en-US" sz="1200" b="0" i="0" u="none" strike="noStrike">
              <a:solidFill>
                <a:srgbClr val="000000"/>
              </a:solidFill>
              <a:latin typeface="+mn-lt"/>
              <a:cs typeface="Calibri"/>
            </a:rPr>
            <a:pPr algn="ctr"/>
            <a:t>Cost-Benefits</a:t>
          </a:fld>
          <a:endParaRPr lang="en-US" sz="1800" b="0">
            <a:latin typeface="+mn-lt"/>
          </a:endParaRPr>
        </a:p>
      </xdr:txBody>
    </xdr:sp>
    <xdr:clientData/>
  </xdr:twoCellAnchor>
  <xdr:twoCellAnchor editAs="absolute">
    <xdr:from>
      <xdr:col>9</xdr:col>
      <xdr:colOff>325755</xdr:colOff>
      <xdr:row>1</xdr:row>
      <xdr:rowOff>95250</xdr:rowOff>
    </xdr:from>
    <xdr:to>
      <xdr:col>11</xdr:col>
      <xdr:colOff>360045</xdr:colOff>
      <xdr:row>1</xdr:row>
      <xdr:rowOff>323850</xdr:rowOff>
    </xdr:to>
    <xdr:sp macro="" textlink="">
      <xdr:nvSpPr>
        <xdr:cNvPr id="13" name="Rounded Rectangle 12">
          <a:hlinkClick xmlns:r="http://schemas.openxmlformats.org/officeDocument/2006/relationships" r:id="rId2" tooltip="Click"/>
          <a:extLst>
            <a:ext uri="{FF2B5EF4-FFF2-40B4-BE49-F238E27FC236}">
              <a16:creationId xmlns:a16="http://schemas.microsoft.com/office/drawing/2014/main" id="{00000000-0008-0000-10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11</xdr:col>
      <xdr:colOff>417195</xdr:colOff>
      <xdr:row>1</xdr:row>
      <xdr:rowOff>95250</xdr:rowOff>
    </xdr:from>
    <xdr:to>
      <xdr:col>12</xdr:col>
      <xdr:colOff>131445</xdr:colOff>
      <xdr:row>1</xdr:row>
      <xdr:rowOff>323850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10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xdr:from>
      <xdr:col>2</xdr:col>
      <xdr:colOff>1034761</xdr:colOff>
      <xdr:row>3</xdr:row>
      <xdr:rowOff>77932</xdr:rowOff>
    </xdr:from>
    <xdr:to>
      <xdr:col>2</xdr:col>
      <xdr:colOff>2286000</xdr:colOff>
      <xdr:row>4</xdr:row>
      <xdr:rowOff>277090</xdr:rowOff>
    </xdr:to>
    <xdr:sp macro="" textlink="">
      <xdr:nvSpPr>
        <xdr:cNvPr id="15" name="Rounded Rectangle 14">
          <a:hlinkClick xmlns:r="http://schemas.openxmlformats.org/officeDocument/2006/relationships" r:id="rId8" tooltip="Click"/>
          <a:extLst>
            <a:ext uri="{FF2B5EF4-FFF2-40B4-BE49-F238E27FC236}">
              <a16:creationId xmlns:a16="http://schemas.microsoft.com/office/drawing/2014/main" id="{00000000-0008-0000-1000-00000F000000}"/>
            </a:ext>
          </a:extLst>
        </xdr:cNvPr>
        <xdr:cNvSpPr/>
      </xdr:nvSpPr>
      <xdr:spPr>
        <a:xfrm>
          <a:off x="1355147" y="1454727"/>
          <a:ext cx="1251239" cy="46759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Other</a:t>
          </a:r>
          <a:r>
            <a:rPr lang="en-US" sz="1000" b="1" baseline="0">
              <a:solidFill>
                <a:sysClr val="windowText" lastClr="000000"/>
              </a:solidFill>
            </a:rPr>
            <a:t> Cost-Benefit Test</a:t>
          </a:r>
          <a:endParaRPr lang="en-US" sz="1000" b="1">
            <a:solidFill>
              <a:sysClr val="windowText" lastClr="000000"/>
            </a:solidFill>
          </a:endParaRPr>
        </a:p>
      </xdr:txBody>
    </xdr:sp>
    <xdr:clientData/>
  </xdr:twoCellAnchor>
  <xdr:twoCellAnchor>
    <xdr:from>
      <xdr:col>2</xdr:col>
      <xdr:colOff>1</xdr:colOff>
      <xdr:row>3</xdr:row>
      <xdr:rowOff>95250</xdr:rowOff>
    </xdr:from>
    <xdr:to>
      <xdr:col>2</xdr:col>
      <xdr:colOff>948779</xdr:colOff>
      <xdr:row>4</xdr:row>
      <xdr:rowOff>34637</xdr:rowOff>
    </xdr:to>
    <xdr:sp macro="" textlink="">
      <xdr:nvSpPr>
        <xdr:cNvPr id="16" name="Rounded Rectangle 15">
          <a:hlinkClick xmlns:r="http://schemas.openxmlformats.org/officeDocument/2006/relationships" r:id="rId9" tooltip="Click"/>
          <a:extLst>
            <a:ext uri="{FF2B5EF4-FFF2-40B4-BE49-F238E27FC236}">
              <a16:creationId xmlns:a16="http://schemas.microsoft.com/office/drawing/2014/main" id="{00000000-0008-0000-1000-000010000000}"/>
            </a:ext>
          </a:extLst>
        </xdr:cNvPr>
        <xdr:cNvSpPr/>
      </xdr:nvSpPr>
      <xdr:spPr>
        <a:xfrm>
          <a:off x="320387" y="1472045"/>
          <a:ext cx="948778" cy="2078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Key</a:t>
          </a:r>
          <a:r>
            <a:rPr lang="en-US" sz="800" b="1" baseline="0">
              <a:solidFill>
                <a:sysClr val="windowText" lastClr="000000"/>
              </a:solidFill>
            </a:rPr>
            <a:t> Assumptions</a:t>
          </a:r>
          <a:endParaRPr lang="en-US" sz="800" b="1">
            <a:solidFill>
              <a:sysClr val="windowText" lastClr="000000"/>
            </a:solidFill>
          </a:endParaRPr>
        </a:p>
      </xdr:txBody>
    </xdr:sp>
    <xdr:clientData/>
  </xdr:twoCellAnchor>
  <xdr:twoCellAnchor>
    <xdr:from>
      <xdr:col>2</xdr:col>
      <xdr:colOff>1</xdr:colOff>
      <xdr:row>4</xdr:row>
      <xdr:rowOff>77932</xdr:rowOff>
    </xdr:from>
    <xdr:to>
      <xdr:col>2</xdr:col>
      <xdr:colOff>952501</xdr:colOff>
      <xdr:row>4</xdr:row>
      <xdr:rowOff>268432</xdr:rowOff>
    </xdr:to>
    <xdr:sp macro="" textlink="">
      <xdr:nvSpPr>
        <xdr:cNvPr id="18" name="Rounded Rectangle 17">
          <a:hlinkClick xmlns:r="http://schemas.openxmlformats.org/officeDocument/2006/relationships" r:id="rId10" tooltip="Click"/>
          <a:extLst>
            <a:ext uri="{FF2B5EF4-FFF2-40B4-BE49-F238E27FC236}">
              <a16:creationId xmlns:a16="http://schemas.microsoft.com/office/drawing/2014/main" id="{00000000-0008-0000-1000-000012000000}"/>
            </a:ext>
          </a:extLst>
        </xdr:cNvPr>
        <xdr:cNvSpPr/>
      </xdr:nvSpPr>
      <xdr:spPr>
        <a:xfrm>
          <a:off x="320387" y="1723159"/>
          <a:ext cx="952500" cy="190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900" b="1">
              <a:solidFill>
                <a:sysClr val="windowText" lastClr="000000"/>
              </a:solidFill>
            </a:rPr>
            <a:t>NEBs</a:t>
          </a: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1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107156</xdr:colOff>
      <xdr:row>2</xdr:row>
      <xdr:rowOff>19051</xdr:rowOff>
    </xdr:from>
    <xdr:to>
      <xdr:col>11</xdr:col>
      <xdr:colOff>0</xdr:colOff>
      <xdr:row>2</xdr:row>
      <xdr:rowOff>457200</xdr:rowOff>
    </xdr:to>
    <xdr:sp macro="" textlink="">
      <xdr:nvSpPr>
        <xdr:cNvPr id="4" name="Rounded Rectangle 6">
          <a:extLst>
            <a:ext uri="{FF2B5EF4-FFF2-40B4-BE49-F238E27FC236}">
              <a16:creationId xmlns:a16="http://schemas.microsoft.com/office/drawing/2014/main" id="{00000000-0008-0000-1100-000004000000}"/>
            </a:ext>
          </a:extLst>
        </xdr:cNvPr>
        <xdr:cNvSpPr>
          <a:spLocks noChangeArrowheads="1"/>
        </xdr:cNvSpPr>
      </xdr:nvSpPr>
      <xdr:spPr bwMode="auto">
        <a:xfrm>
          <a:off x="173831" y="561976"/>
          <a:ext cx="11446669" cy="438149"/>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200" b="1" i="0" u="none" strike="noStrike" baseline="0">
              <a:solidFill>
                <a:srgbClr val="000000"/>
              </a:solidFill>
              <a:latin typeface="Calibri"/>
              <a:cs typeface="Calibri"/>
            </a:rPr>
            <a:t>Instructions:  </a:t>
          </a:r>
          <a:r>
            <a:rPr lang="en-US" sz="1050" b="0" i="0" baseline="0">
              <a:effectLst/>
              <a:latin typeface="Calibri" panose="020F0502020204030204" pitchFamily="34" charset="0"/>
              <a:ea typeface="+mn-ea"/>
              <a:cs typeface="Calibri" panose="020F0502020204030204" pitchFamily="34" charset="0"/>
            </a:rPr>
            <a:t>Provide the Key Assumptions used in the Cost-Effectiveness Test.  If information is by class, provide the class levels.  For each assumption provide a reference to the source document., if applicable.</a:t>
          </a:r>
          <a:endParaRPr lang="en-US" sz="1050">
            <a:effectLst/>
            <a:latin typeface="Calibri" panose="020F0502020204030204" pitchFamily="34" charset="0"/>
            <a:cs typeface="Calibri" panose="020F050202020403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51954</xdr:colOff>
      <xdr:row>2</xdr:row>
      <xdr:rowOff>28575</xdr:rowOff>
    </xdr:from>
    <xdr:to>
      <xdr:col>14</xdr:col>
      <xdr:colOff>51954</xdr:colOff>
      <xdr:row>2</xdr:row>
      <xdr:rowOff>363682</xdr:rowOff>
    </xdr:to>
    <xdr:sp macro="" textlink="">
      <xdr:nvSpPr>
        <xdr:cNvPr id="2" name="Rounded Rectangle 6">
          <a:extLst>
            <a:ext uri="{FF2B5EF4-FFF2-40B4-BE49-F238E27FC236}">
              <a16:creationId xmlns:a16="http://schemas.microsoft.com/office/drawing/2014/main" id="{00000000-0008-0000-1200-000002000000}"/>
            </a:ext>
          </a:extLst>
        </xdr:cNvPr>
        <xdr:cNvSpPr>
          <a:spLocks noChangeArrowheads="1"/>
        </xdr:cNvSpPr>
      </xdr:nvSpPr>
      <xdr:spPr bwMode="auto">
        <a:xfrm>
          <a:off x="121227" y="574098"/>
          <a:ext cx="10261022" cy="33510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000" b="1" i="0" u="none" strike="noStrike" baseline="0">
              <a:solidFill>
                <a:srgbClr val="000000"/>
              </a:solidFill>
              <a:latin typeface="Calibri"/>
              <a:cs typeface="Calibri"/>
            </a:rPr>
            <a:t>Instructions:  </a:t>
          </a:r>
          <a:r>
            <a:rPr lang="en-US" sz="800" b="0" i="0" baseline="0">
              <a:effectLst/>
              <a:latin typeface="Calibri" panose="020F0502020204030204" pitchFamily="34" charset="0"/>
              <a:ea typeface="+mn-ea"/>
              <a:cs typeface="Calibri" panose="020F0502020204030204" pitchFamily="34" charset="0"/>
            </a:rPr>
            <a:t>Provide the TRC NEB units (kWh, Therms, Gallons) and monetized benefits at the porgram level for each program.   In the notes  section below provide the  annual report page reference for NEBs.  </a:t>
          </a:r>
          <a:endParaRPr lang="en-US" sz="800">
            <a:effectLst/>
            <a:latin typeface="Calibri" panose="020F0502020204030204" pitchFamily="34" charset="0"/>
            <a:cs typeface="Calibri" panose="020F0502020204030204" pitchFamily="34" charset="0"/>
          </a:endParaRPr>
        </a:p>
      </xdr:txBody>
    </xdr:sp>
    <xdr:clientData/>
  </xdr:twoCellAnchor>
  <xdr:twoCellAnchor editAs="absolute">
    <xdr:from>
      <xdr:col>1</xdr:col>
      <xdr:colOff>51955</xdr:colOff>
      <xdr:row>1</xdr:row>
      <xdr:rowOff>112568</xdr:rowOff>
    </xdr:from>
    <xdr:to>
      <xdr:col>2</xdr:col>
      <xdr:colOff>778770</xdr:colOff>
      <xdr:row>1</xdr:row>
      <xdr:rowOff>341168</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200-000003000000}"/>
            </a:ext>
          </a:extLst>
        </xdr:cNvPr>
        <xdr:cNvSpPr/>
      </xdr:nvSpPr>
      <xdr:spPr>
        <a:xfrm>
          <a:off x="121228" y="173182"/>
          <a:ext cx="1003906"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431717</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1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fPrintsWithSheet="0"/>
  </xdr:twoCellAnchor>
  <xdr:twoCellAnchor>
    <xdr:from>
      <xdr:col>4</xdr:col>
      <xdr:colOff>4563341</xdr:colOff>
      <xdr:row>53</xdr:row>
      <xdr:rowOff>0</xdr:rowOff>
    </xdr:from>
    <xdr:to>
      <xdr:col>4</xdr:col>
      <xdr:colOff>5565374</xdr:colOff>
      <xdr:row>54</xdr:row>
      <xdr:rowOff>0</xdr:rowOff>
    </xdr:to>
    <xdr:sp macro="" textlink="">
      <xdr:nvSpPr>
        <xdr:cNvPr id="6" name="Rounded Rectangle 5">
          <a:hlinkClick xmlns:r="http://schemas.openxmlformats.org/officeDocument/2006/relationships" r:id="rId2" tooltip="Click"/>
          <a:extLst>
            <a:ext uri="{FF2B5EF4-FFF2-40B4-BE49-F238E27FC236}">
              <a16:creationId xmlns:a16="http://schemas.microsoft.com/office/drawing/2014/main" id="{00000000-0008-0000-0100-000006000000}"/>
            </a:ext>
          </a:extLst>
        </xdr:cNvPr>
        <xdr:cNvSpPr/>
      </xdr:nvSpPr>
      <xdr:spPr>
        <a:xfrm>
          <a:off x="5922818" y="10668000"/>
          <a:ext cx="1002033" cy="33770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List</a:t>
          </a:r>
        </a:p>
      </xdr:txBody>
    </xdr:sp>
    <xdr:clientData/>
  </xdr:twoCellAnchor>
  <xdr:twoCellAnchor>
    <xdr:from>
      <xdr:col>4</xdr:col>
      <xdr:colOff>5717945</xdr:colOff>
      <xdr:row>53</xdr:row>
      <xdr:rowOff>8659</xdr:rowOff>
    </xdr:from>
    <xdr:to>
      <xdr:col>4</xdr:col>
      <xdr:colOff>6719978</xdr:colOff>
      <xdr:row>54</xdr:row>
      <xdr:rowOff>8660</xdr:rowOff>
    </xdr:to>
    <xdr:sp macro="" textlink="">
      <xdr:nvSpPr>
        <xdr:cNvPr id="7" name="Rounded Rectangle 6">
          <a:hlinkClick xmlns:r="http://schemas.openxmlformats.org/officeDocument/2006/relationships" r:id="rId3" tooltip="Click"/>
          <a:extLst>
            <a:ext uri="{FF2B5EF4-FFF2-40B4-BE49-F238E27FC236}">
              <a16:creationId xmlns:a16="http://schemas.microsoft.com/office/drawing/2014/main" id="{00000000-0008-0000-0100-000007000000}"/>
            </a:ext>
          </a:extLst>
        </xdr:cNvPr>
        <xdr:cNvSpPr/>
      </xdr:nvSpPr>
      <xdr:spPr>
        <a:xfrm>
          <a:off x="7042786" y="10676659"/>
          <a:ext cx="1002033" cy="225137"/>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Cost</a:t>
          </a: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3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1</xdr:col>
      <xdr:colOff>19050</xdr:colOff>
      <xdr:row>1</xdr:row>
      <xdr:rowOff>0</xdr:rowOff>
    </xdr:from>
    <xdr:to>
      <xdr:col>11</xdr:col>
      <xdr:colOff>587779</xdr:colOff>
      <xdr:row>1</xdr:row>
      <xdr:rowOff>401955</xdr:rowOff>
    </xdr:to>
    <xdr:sp macro="" textlink="">
      <xdr:nvSpPr>
        <xdr:cNvPr id="1481897" name="Rectangle 365">
          <a:extLst>
            <a:ext uri="{FF2B5EF4-FFF2-40B4-BE49-F238E27FC236}">
              <a16:creationId xmlns:a16="http://schemas.microsoft.com/office/drawing/2014/main" id="{00000000-0008-0000-1400-0000A99C1600}"/>
            </a:ext>
          </a:extLst>
        </xdr:cNvPr>
        <xdr:cNvSpPr>
          <a:spLocks noChangeArrowheads="1"/>
        </xdr:cNvSpPr>
      </xdr:nvSpPr>
      <xdr:spPr bwMode="auto">
        <a:xfrm>
          <a:off x="78798" y="363682"/>
          <a:ext cx="8874702"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19050</xdr:colOff>
      <xdr:row>0</xdr:row>
      <xdr:rowOff>57149</xdr:rowOff>
    </xdr:from>
    <xdr:to>
      <xdr:col>2</xdr:col>
      <xdr:colOff>1240051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4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0A74888-D21B-4C9D-B9E1-2CF00989E305}"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1236345</xdr:colOff>
      <xdr:row>0</xdr:row>
      <xdr:rowOff>59055</xdr:rowOff>
    </xdr:from>
    <xdr:to>
      <xdr:col>3</xdr:col>
      <xdr:colOff>323975</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4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EECC451-2F39-478D-8F57-1A9F7FA7A507}" type="TxLink">
            <a:rPr lang="en-US" sz="1000" b="1"/>
            <a:pPr algn="ctr"/>
            <a:t>Evaluated Savings</a:t>
          </a:fld>
          <a:endParaRPr lang="en-US" sz="1000" b="1"/>
        </a:p>
      </xdr:txBody>
    </xdr:sp>
    <xdr:clientData/>
  </xdr:twoCellAnchor>
  <xdr:twoCellAnchor editAs="absolute">
    <xdr:from>
      <xdr:col>3</xdr:col>
      <xdr:colOff>321945</xdr:colOff>
      <xdr:row>0</xdr:row>
      <xdr:rowOff>59055</xdr:rowOff>
    </xdr:from>
    <xdr:to>
      <xdr:col>5</xdr:col>
      <xdr:colOff>188595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400-000005000000}"/>
            </a:ext>
          </a:extLst>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A811221-A2EF-4161-9D5A-99E710140451}" type="TxLink">
            <a:rPr lang="en-US" sz="1000" b="1"/>
            <a:pPr algn="ctr"/>
            <a:t>Cost-Benefits</a:t>
          </a:fld>
          <a:endParaRPr lang="en-US" sz="1000" b="1"/>
        </a:p>
      </xdr:txBody>
    </xdr:sp>
    <xdr:clientData/>
  </xdr:twoCellAnchor>
  <xdr:twoCellAnchor editAs="absolute">
    <xdr:from>
      <xdr:col>5</xdr:col>
      <xdr:colOff>205740</xdr:colOff>
      <xdr:row>0</xdr:row>
      <xdr:rowOff>59055</xdr:rowOff>
    </xdr:from>
    <xdr:to>
      <xdr:col>7</xdr:col>
      <xdr:colOff>173355</xdr:colOff>
      <xdr:row>0</xdr:row>
      <xdr:rowOff>340995</xdr:rowOff>
    </xdr:to>
    <xdr:sp macro="" textlink="Titles!B15">
      <xdr:nvSpPr>
        <xdr:cNvPr id="6" name="Round Same Side Corner Rectangle 5">
          <a:extLst>
            <a:ext uri="{FF2B5EF4-FFF2-40B4-BE49-F238E27FC236}">
              <a16:creationId xmlns:a16="http://schemas.microsoft.com/office/drawing/2014/main" id="{00000000-0008-0000-1400-000006000000}"/>
            </a:ext>
          </a:extLst>
        </xdr:cNvPr>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E648A2B-0E64-4D2C-8F11-C9B2773E14B4}" type="TxLink">
            <a:rPr lang="en-US" sz="1000" b="1">
              <a:solidFill>
                <a:sysClr val="windowText" lastClr="000000"/>
              </a:solidFill>
            </a:rPr>
            <a:pPr algn="ctr"/>
            <a:t>LCFC</a:t>
          </a:fld>
          <a:endParaRPr lang="en-US" sz="1000" b="1">
            <a:solidFill>
              <a:sysClr val="windowText" lastClr="000000"/>
            </a:solidFill>
          </a:endParaRPr>
        </a:p>
      </xdr:txBody>
    </xdr:sp>
    <xdr:clientData/>
  </xdr:twoCellAnchor>
  <xdr:twoCellAnchor editAs="absolute">
    <xdr:from>
      <xdr:col>7</xdr:col>
      <xdr:colOff>205740</xdr:colOff>
      <xdr:row>0</xdr:row>
      <xdr:rowOff>59055</xdr:rowOff>
    </xdr:from>
    <xdr:to>
      <xdr:col>9</xdr:col>
      <xdr:colOff>57157</xdr:colOff>
      <xdr:row>0</xdr:row>
      <xdr:rowOff>340995</xdr:rowOff>
    </xdr:to>
    <xdr:sp macro="" textlink="Titles!B1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1400-000007000000}"/>
            </a:ext>
          </a:extLst>
        </xdr:cNvPr>
        <xdr:cNvSpPr/>
      </xdr:nvSpPr>
      <xdr:spPr>
        <a:xfrm>
          <a:off x="600075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ED848C8B-03E4-4AF8-918D-E99E9AB74831}" type="TxLink">
            <a:rPr lang="en-US" sz="1000" b="1">
              <a:solidFill>
                <a:schemeClr val="bg1"/>
              </a:solidFill>
              <a:latin typeface="+mn-lt"/>
              <a:ea typeface="+mn-ea"/>
              <a:cs typeface="+mn-cs"/>
            </a:rPr>
            <a:pPr marL="0" indent="0" algn="ctr"/>
            <a:t>Incentives</a:t>
          </a:fld>
          <a:endParaRPr lang="en-US" sz="1000" b="1">
            <a:solidFill>
              <a:schemeClr val="bg1"/>
            </a:solidFill>
            <a:latin typeface="+mn-lt"/>
            <a:ea typeface="+mn-ea"/>
            <a:cs typeface="+mn-cs"/>
          </a:endParaRPr>
        </a:p>
      </xdr:txBody>
    </xdr:sp>
    <xdr:clientData/>
  </xdr:twoCellAnchor>
  <xdr:twoCellAnchor editAs="absolute">
    <xdr:from>
      <xdr:col>9</xdr:col>
      <xdr:colOff>55244</xdr:colOff>
      <xdr:row>0</xdr:row>
      <xdr:rowOff>59055</xdr:rowOff>
    </xdr:from>
    <xdr:to>
      <xdr:col>11</xdr:col>
      <xdr:colOff>588644</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14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7CF8B830-5202-4A05-969A-C3CC86E470C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857367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4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95250</xdr:colOff>
      <xdr:row>1</xdr:row>
      <xdr:rowOff>438149</xdr:rowOff>
    </xdr:from>
    <xdr:to>
      <xdr:col>11</xdr:col>
      <xdr:colOff>529595</xdr:colOff>
      <xdr:row>1</xdr:row>
      <xdr:rowOff>1086196</xdr:rowOff>
    </xdr:to>
    <xdr:sp macro="" textlink="">
      <xdr:nvSpPr>
        <xdr:cNvPr id="10" name="Rounded Rectangle 6">
          <a:extLst>
            <a:ext uri="{FF2B5EF4-FFF2-40B4-BE49-F238E27FC236}">
              <a16:creationId xmlns:a16="http://schemas.microsoft.com/office/drawing/2014/main" id="{00000000-0008-0000-1400-00000A000000}"/>
            </a:ext>
          </a:extLst>
        </xdr:cNvPr>
        <xdr:cNvSpPr>
          <a:spLocks noChangeArrowheads="1"/>
        </xdr:cNvSpPr>
      </xdr:nvSpPr>
      <xdr:spPr bwMode="auto">
        <a:xfrm>
          <a:off x="154998" y="811356"/>
          <a:ext cx="8747938" cy="63471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t"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LCFC Energy Savings and Cost Recovery for the PY's .  The LCFC Cost Recovery should be directly related to the LCFC Energy Savings.  The LCFC Cost Recovery ($) should reflect the LCFC $'s  based on the actual evaluated energy savings for the reporting year.   Total LCFC $ should directly tie to the actual LCFC cliamed in the EECR True-up for the reporting year.</a:t>
          </a:r>
          <a:endParaRPr lang="en-US"/>
        </a:p>
      </xdr:txBody>
    </xdr:sp>
    <xdr:clientData/>
  </xdr:twoCellAnchor>
  <xdr:twoCellAnchor editAs="absolute">
    <xdr:from>
      <xdr:col>2</xdr:col>
      <xdr:colOff>1238250</xdr:colOff>
      <xdr:row>0</xdr:row>
      <xdr:rowOff>289457</xdr:rowOff>
    </xdr:from>
    <xdr:to>
      <xdr:col>9</xdr:col>
      <xdr:colOff>59079</xdr:colOff>
      <xdr:row>1</xdr:row>
      <xdr:rowOff>283801</xdr:rowOff>
    </xdr:to>
    <xdr:sp macro="" textlink="Titles!F6">
      <xdr:nvSpPr>
        <xdr:cNvPr id="11" name="TextBox 10">
          <a:extLst>
            <a:ext uri="{FF2B5EF4-FFF2-40B4-BE49-F238E27FC236}">
              <a16:creationId xmlns:a16="http://schemas.microsoft.com/office/drawing/2014/main" id="{00000000-0008-0000-1400-00000B000000}"/>
            </a:ext>
          </a:extLst>
        </xdr:cNvPr>
        <xdr:cNvSpPr txBox="1"/>
      </xdr:nvSpPr>
      <xdr:spPr>
        <a:xfrm>
          <a:off x="1554826" y="297077"/>
          <a:ext cx="61204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6270AF41-1584-43CE-8DD7-7CEFD5D4B0A7}" type="TxLink">
            <a:rPr lang="en-US" sz="1600" b="1" i="1" u="none"/>
            <a:pPr algn="ctr"/>
            <a:t>BHEA - 2024 Program Year Evaluation</a:t>
          </a:fld>
          <a:endParaRPr lang="en-US" sz="1600" b="1" i="1" u="none"/>
        </a:p>
      </xdr:txBody>
    </xdr:sp>
    <xdr:clientData/>
  </xdr:twoCellAnchor>
  <xdr:twoCellAnchor editAs="absolute">
    <xdr:from>
      <xdr:col>2</xdr:col>
      <xdr:colOff>1924050</xdr:colOff>
      <xdr:row>1</xdr:row>
      <xdr:rowOff>135255</xdr:rowOff>
    </xdr:from>
    <xdr:to>
      <xdr:col>8</xdr:col>
      <xdr:colOff>173381</xdr:colOff>
      <xdr:row>1</xdr:row>
      <xdr:rowOff>398315</xdr:rowOff>
    </xdr:to>
    <xdr:sp macro="" textlink="Titles!C15">
      <xdr:nvSpPr>
        <xdr:cNvPr id="12" name="TextBox 11">
          <a:extLst>
            <a:ext uri="{FF2B5EF4-FFF2-40B4-BE49-F238E27FC236}">
              <a16:creationId xmlns:a16="http://schemas.microsoft.com/office/drawing/2014/main" id="{00000000-0008-0000-1400-00000C000000}"/>
            </a:ext>
          </a:extLst>
        </xdr:cNvPr>
        <xdr:cNvSpPr txBox="1"/>
      </xdr:nvSpPr>
      <xdr:spPr>
        <a:xfrm>
          <a:off x="2240626" y="495127"/>
          <a:ext cx="4717672"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897DEFC6-DC36-478C-A0E9-B788EA3675D3}" type="TxLink">
            <a:rPr lang="en-US" sz="1200" b="0" i="0" u="none" strike="noStrike">
              <a:solidFill>
                <a:srgbClr val="000000"/>
              </a:solidFill>
              <a:latin typeface="+mn-lt"/>
              <a:cs typeface="Arial"/>
            </a:rPr>
            <a:pPr algn="ctr"/>
            <a:t>Lost Contributions to Fixed Cost</a:t>
          </a:fld>
          <a:endParaRPr lang="en-US" sz="1200" b="0">
            <a:latin typeface="+mn-lt"/>
          </a:endParaRPr>
        </a:p>
      </xdr:txBody>
    </xdr:sp>
    <xdr:clientData/>
  </xdr:twoCellAnchor>
  <xdr:twoCellAnchor editAs="absolute">
    <xdr:from>
      <xdr:col>9</xdr:col>
      <xdr:colOff>129540</xdr:colOff>
      <xdr:row>1</xdr:row>
      <xdr:rowOff>91440</xdr:rowOff>
    </xdr:from>
    <xdr:to>
      <xdr:col>9</xdr:col>
      <xdr:colOff>779033</xdr:colOff>
      <xdr:row>1</xdr:row>
      <xdr:rowOff>320040</xdr:rowOff>
    </xdr:to>
    <xdr:sp macro="" textlink="">
      <xdr:nvSpPr>
        <xdr:cNvPr id="13" name="Rounded Rectangle 12">
          <a:hlinkClick xmlns:r="http://schemas.openxmlformats.org/officeDocument/2006/relationships" r:id="rId3" tooltip="Click"/>
          <a:extLst>
            <a:ext uri="{FF2B5EF4-FFF2-40B4-BE49-F238E27FC236}">
              <a16:creationId xmlns:a16="http://schemas.microsoft.com/office/drawing/2014/main" id="{00000000-0008-0000-14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91440</xdr:rowOff>
    </xdr:from>
    <xdr:to>
      <xdr:col>11</xdr:col>
      <xdr:colOff>512500</xdr:colOff>
      <xdr:row>1</xdr:row>
      <xdr:rowOff>320040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14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1</xdr:col>
      <xdr:colOff>19050</xdr:colOff>
      <xdr:row>1</xdr:row>
      <xdr:rowOff>0</xdr:rowOff>
    </xdr:from>
    <xdr:to>
      <xdr:col>11</xdr:col>
      <xdr:colOff>59055</xdr:colOff>
      <xdr:row>1</xdr:row>
      <xdr:rowOff>401955</xdr:rowOff>
    </xdr:to>
    <xdr:sp macro="" textlink="">
      <xdr:nvSpPr>
        <xdr:cNvPr id="1482928" name="Rectangle 365">
          <a:extLst>
            <a:ext uri="{FF2B5EF4-FFF2-40B4-BE49-F238E27FC236}">
              <a16:creationId xmlns:a16="http://schemas.microsoft.com/office/drawing/2014/main" id="{00000000-0008-0000-1500-0000B0A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19050</xdr:colOff>
      <xdr:row>0</xdr:row>
      <xdr:rowOff>57149</xdr:rowOff>
    </xdr:from>
    <xdr:to>
      <xdr:col>2</xdr:col>
      <xdr:colOff>1240051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5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32693CA-466B-4786-AAA4-7E065E8001C8}"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1243965</xdr:colOff>
      <xdr:row>0</xdr:row>
      <xdr:rowOff>59055</xdr:rowOff>
    </xdr:from>
    <xdr:to>
      <xdr:col>3</xdr:col>
      <xdr:colOff>817207</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5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2575A9-AE56-492A-81BB-BD5D86944E7A}" type="TxLink">
            <a:rPr lang="en-US" sz="1000" b="1"/>
            <a:pPr algn="ctr"/>
            <a:t>Evaluated Savings</a:t>
          </a:fld>
          <a:endParaRPr lang="en-US" sz="1000" b="1"/>
        </a:p>
      </xdr:txBody>
    </xdr:sp>
    <xdr:clientData/>
  </xdr:twoCellAnchor>
  <xdr:twoCellAnchor editAs="absolute">
    <xdr:from>
      <xdr:col>4</xdr:col>
      <xdr:colOff>15240</xdr:colOff>
      <xdr:row>0</xdr:row>
      <xdr:rowOff>59055</xdr:rowOff>
    </xdr:from>
    <xdr:to>
      <xdr:col>5</xdr:col>
      <xdr:colOff>670535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500-000005000000}"/>
            </a:ext>
          </a:extLst>
        </xdr:cNvPr>
        <xdr:cNvSpPr/>
      </xdr:nvSpPr>
      <xdr:spPr>
        <a:xfrm>
          <a:off x="3116580" y="66675"/>
          <a:ext cx="1508759"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36282E7D-3581-4450-A7F7-7EAD9F53AB94}" type="TxLink">
            <a:rPr lang="en-US" sz="1000" b="1"/>
            <a:pPr algn="ctr"/>
            <a:t>Cost-Benefits</a:t>
          </a:fld>
          <a:endParaRPr lang="en-US" sz="1000" b="1"/>
        </a:p>
      </xdr:txBody>
    </xdr:sp>
    <xdr:clientData/>
  </xdr:twoCellAnchor>
  <xdr:twoCellAnchor editAs="absolute">
    <xdr:from>
      <xdr:col>5</xdr:col>
      <xdr:colOff>681990</xdr:colOff>
      <xdr:row>0</xdr:row>
      <xdr:rowOff>59055</xdr:rowOff>
    </xdr:from>
    <xdr:to>
      <xdr:col>7</xdr:col>
      <xdr:colOff>1087666</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5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3D3029-A510-490C-A90F-BA8A935CD503}" type="TxLink">
            <a:rPr lang="en-US" sz="1000" b="1"/>
            <a:pPr algn="ctr"/>
            <a:t>LCFC</a:t>
          </a:fld>
          <a:endParaRPr lang="en-US" sz="1000" b="1"/>
        </a:p>
      </xdr:txBody>
    </xdr:sp>
    <xdr:clientData/>
  </xdr:twoCellAnchor>
  <xdr:twoCellAnchor editAs="absolute">
    <xdr:from>
      <xdr:col>7</xdr:col>
      <xdr:colOff>1091565</xdr:colOff>
      <xdr:row>0</xdr:row>
      <xdr:rowOff>59055</xdr:rowOff>
    </xdr:from>
    <xdr:to>
      <xdr:col>9</xdr:col>
      <xdr:colOff>211609</xdr:colOff>
      <xdr:row>0</xdr:row>
      <xdr:rowOff>340995</xdr:rowOff>
    </xdr:to>
    <xdr:sp macro="" textlink="Titles!B16">
      <xdr:nvSpPr>
        <xdr:cNvPr id="7" name="Round Same Side Corner Rectangle 6">
          <a:extLst>
            <a:ext uri="{FF2B5EF4-FFF2-40B4-BE49-F238E27FC236}">
              <a16:creationId xmlns:a16="http://schemas.microsoft.com/office/drawing/2014/main" id="{00000000-0008-0000-1500-000007000000}"/>
            </a:ext>
          </a:extLst>
        </xdr:cNvPr>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B855DBE-2131-4B46-B850-9E398764B517}" type="TxLink">
            <a:rPr lang="en-US" sz="1000" b="1">
              <a:solidFill>
                <a:sysClr val="windowText" lastClr="000000"/>
              </a:solidFill>
            </a:rPr>
            <a:pPr algn="ctr"/>
            <a:t>Incentives</a:t>
          </a:fld>
          <a:endParaRPr lang="en-US" sz="1000" b="1">
            <a:solidFill>
              <a:sysClr val="windowText" lastClr="000000"/>
            </a:solidFill>
          </a:endParaRPr>
        </a:p>
      </xdr:txBody>
    </xdr:sp>
    <xdr:clientData/>
  </xdr:twoCellAnchor>
  <xdr:twoCellAnchor editAs="absolute">
    <xdr:from>
      <xdr:col>9</xdr:col>
      <xdr:colOff>226694</xdr:colOff>
      <xdr:row>0</xdr:row>
      <xdr:rowOff>59055</xdr:rowOff>
    </xdr:from>
    <xdr:to>
      <xdr:col>11</xdr:col>
      <xdr:colOff>59077</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15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DBCDA040-4234-464B-BA0A-47E89459FB6F}" type="TxLink">
            <a:rPr lang="en-US" sz="1000" b="1">
              <a:solidFill>
                <a:schemeClr val="bg1"/>
              </a:solidFill>
              <a:latin typeface="+mn-lt"/>
              <a:ea typeface="+mn-ea"/>
              <a:cs typeface="+mn-cs"/>
            </a:rPr>
            <a:pPr marL="0" indent="0" algn="ctr" rtl="0">
              <a:defRPr sz="1000"/>
            </a:pPr>
            <a:t>Not Used</a:t>
          </a:fld>
          <a:endParaRPr lang="en-US" sz="1000" b="1">
            <a:solidFill>
              <a:schemeClr val="bg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857367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5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95250</xdr:colOff>
      <xdr:row>1</xdr:row>
      <xdr:rowOff>438149</xdr:rowOff>
    </xdr:from>
    <xdr:to>
      <xdr:col>11</xdr:col>
      <xdr:colOff>19050</xdr:colOff>
      <xdr:row>1</xdr:row>
      <xdr:rowOff>777282</xdr:rowOff>
    </xdr:to>
    <xdr:sp macro="" textlink="">
      <xdr:nvSpPr>
        <xdr:cNvPr id="10" name="Rounded Rectangle 6">
          <a:extLst>
            <a:ext uri="{FF2B5EF4-FFF2-40B4-BE49-F238E27FC236}">
              <a16:creationId xmlns:a16="http://schemas.microsoft.com/office/drawing/2014/main" id="{00000000-0008-0000-15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Energy Sales Baseline information and Portfolio Level Summary detail.</a:t>
          </a:r>
          <a:endParaRPr lang="en-US"/>
        </a:p>
      </xdr:txBody>
    </xdr:sp>
    <xdr:clientData/>
  </xdr:twoCellAnchor>
  <xdr:twoCellAnchor editAs="absolute">
    <xdr:from>
      <xdr:col>2</xdr:col>
      <xdr:colOff>1238250</xdr:colOff>
      <xdr:row>0</xdr:row>
      <xdr:rowOff>294306</xdr:rowOff>
    </xdr:from>
    <xdr:to>
      <xdr:col>9</xdr:col>
      <xdr:colOff>241926</xdr:colOff>
      <xdr:row>1</xdr:row>
      <xdr:rowOff>284667</xdr:rowOff>
    </xdr:to>
    <xdr:sp macro="" textlink="Titles!F6">
      <xdr:nvSpPr>
        <xdr:cNvPr id="11" name="TextBox 10">
          <a:extLst>
            <a:ext uri="{FF2B5EF4-FFF2-40B4-BE49-F238E27FC236}">
              <a16:creationId xmlns:a16="http://schemas.microsoft.com/office/drawing/2014/main" id="{00000000-0008-0000-1500-00000B000000}"/>
            </a:ext>
          </a:extLst>
        </xdr:cNvPr>
        <xdr:cNvSpPr txBox="1"/>
      </xdr:nvSpPr>
      <xdr:spPr>
        <a:xfrm>
          <a:off x="1543050" y="300021"/>
          <a:ext cx="594168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D02934BD-7379-4830-8367-07245616B792}" type="TxLink">
            <a:rPr lang="en-US" sz="1600" b="1" i="1" u="none"/>
            <a:pPr algn="ctr"/>
            <a:t>BHEA - 2024 Program Year Evaluation</a:t>
          </a:fld>
          <a:endParaRPr lang="en-US" sz="1600" b="1" i="1" u="none"/>
        </a:p>
      </xdr:txBody>
    </xdr:sp>
    <xdr:clientData/>
  </xdr:twoCellAnchor>
  <xdr:twoCellAnchor editAs="absolute">
    <xdr:from>
      <xdr:col>3</xdr:col>
      <xdr:colOff>15240</xdr:colOff>
      <xdr:row>1</xdr:row>
      <xdr:rowOff>135255</xdr:rowOff>
    </xdr:from>
    <xdr:to>
      <xdr:col>8</xdr:col>
      <xdr:colOff>358152</xdr:colOff>
      <xdr:row>1</xdr:row>
      <xdr:rowOff>415460</xdr:rowOff>
    </xdr:to>
    <xdr:sp macro="" textlink="Titles!C16">
      <xdr:nvSpPr>
        <xdr:cNvPr id="12" name="TextBox 11">
          <a:extLst>
            <a:ext uri="{FF2B5EF4-FFF2-40B4-BE49-F238E27FC236}">
              <a16:creationId xmlns:a16="http://schemas.microsoft.com/office/drawing/2014/main" id="{00000000-0008-0000-1500-00000C000000}"/>
            </a:ext>
          </a:extLst>
        </xdr:cNvPr>
        <xdr:cNvSpPr txBox="1"/>
      </xdr:nvSpPr>
      <xdr:spPr>
        <a:xfrm>
          <a:off x="2294313" y="495473"/>
          <a:ext cx="4686312"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9954A85-D0D5-4370-92CD-B45661AB919B}" type="TxLink">
            <a:rPr lang="en-US" sz="1200" b="0" i="0" u="none" strike="noStrike">
              <a:solidFill>
                <a:srgbClr val="000000"/>
              </a:solidFill>
              <a:latin typeface="+mn-lt"/>
              <a:cs typeface="Arial"/>
            </a:rPr>
            <a:pPr algn="ctr"/>
            <a:t>Utility Performance Incentives</a:t>
          </a:fld>
          <a:endParaRPr lang="en-US" sz="1800" b="0">
            <a:latin typeface="+mn-lt"/>
          </a:endParaRPr>
        </a:p>
      </xdr:txBody>
    </xdr:sp>
    <xdr:clientData/>
  </xdr:twoCellAnchor>
  <xdr:twoCellAnchor editAs="absolute">
    <xdr:from>
      <xdr:col>9</xdr:col>
      <xdr:colOff>283845</xdr:colOff>
      <xdr:row>1</xdr:row>
      <xdr:rowOff>91440</xdr:rowOff>
    </xdr:from>
    <xdr:to>
      <xdr:col>10</xdr:col>
      <xdr:colOff>129568</xdr:colOff>
      <xdr:row>1</xdr:row>
      <xdr:rowOff>320040</xdr:rowOff>
    </xdr:to>
    <xdr:sp macro="" textlink="">
      <xdr:nvSpPr>
        <xdr:cNvPr id="13" name="Rounded Rectangle 12">
          <a:hlinkClick xmlns:r="http://schemas.openxmlformats.org/officeDocument/2006/relationships" r:id="rId4" tooltip="Click"/>
          <a:extLst>
            <a:ext uri="{FF2B5EF4-FFF2-40B4-BE49-F238E27FC236}">
              <a16:creationId xmlns:a16="http://schemas.microsoft.com/office/drawing/2014/main" id="{00000000-0008-0000-15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167640</xdr:colOff>
      <xdr:row>1</xdr:row>
      <xdr:rowOff>91440</xdr:rowOff>
    </xdr:from>
    <xdr:to>
      <xdr:col>11</xdr:col>
      <xdr:colOff>1905</xdr:colOff>
      <xdr:row>1</xdr:row>
      <xdr:rowOff>320040</xdr:rowOff>
    </xdr:to>
    <xdr:sp macro="" textlink="">
      <xdr:nvSpPr>
        <xdr:cNvPr id="14" name="Rounded Rectangle 13">
          <a:hlinkClick xmlns:r="http://schemas.openxmlformats.org/officeDocument/2006/relationships" r:id="rId5" tooltip="Click"/>
          <a:extLst>
            <a:ext uri="{FF2B5EF4-FFF2-40B4-BE49-F238E27FC236}">
              <a16:creationId xmlns:a16="http://schemas.microsoft.com/office/drawing/2014/main" id="{00000000-0008-0000-15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73705" name="Rectangle 365">
          <a:extLst>
            <a:ext uri="{FF2B5EF4-FFF2-40B4-BE49-F238E27FC236}">
              <a16:creationId xmlns:a16="http://schemas.microsoft.com/office/drawing/2014/main" id="{00000000-0008-0000-1600-0000A97C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4</xdr:col>
      <xdr:colOff>43839</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600-000003000000}"/>
            </a:ext>
          </a:extLst>
        </xdr:cNvPr>
        <xdr:cNvSpPr/>
      </xdr:nvSpPr>
      <xdr:spPr>
        <a:xfrm>
          <a:off x="76200" y="66674"/>
          <a:ext cx="148209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4D31445-8497-4880-AAC0-19B562499AE5}" type="TxLink">
            <a:rPr lang="en-US" sz="1000" b="1">
              <a:solidFill>
                <a:schemeClr val="bg1"/>
              </a:solidFill>
            </a:rPr>
            <a:pPr algn="ctr"/>
            <a:t>Actual Expenses</a:t>
          </a:fld>
          <a:endParaRPr lang="en-US" sz="1000" b="1">
            <a:solidFill>
              <a:schemeClr val="bg1"/>
            </a:solidFill>
          </a:endParaRPr>
        </a:p>
      </xdr:txBody>
    </xdr:sp>
    <xdr:clientData/>
  </xdr:twoCellAnchor>
  <xdr:twoCellAnchor editAs="absolute">
    <xdr:from>
      <xdr:col>4</xdr:col>
      <xdr:colOff>57150</xdr:colOff>
      <xdr:row>0</xdr:row>
      <xdr:rowOff>66675</xdr:rowOff>
    </xdr:from>
    <xdr:to>
      <xdr:col>5</xdr:col>
      <xdr:colOff>318091</xdr:colOff>
      <xdr:row>0</xdr:row>
      <xdr:rowOff>340995</xdr:rowOff>
    </xdr:to>
    <xdr:sp macro="" textlink="Titles!B13">
      <xdr:nvSpPr>
        <xdr:cNvPr id="4" name="Round Same Side Corner Rectangle 3">
          <a:hlinkClick xmlns:r="http://schemas.openxmlformats.org/officeDocument/2006/relationships" r:id="rId2"/>
          <a:extLst>
            <a:ext uri="{FF2B5EF4-FFF2-40B4-BE49-F238E27FC236}">
              <a16:creationId xmlns:a16="http://schemas.microsoft.com/office/drawing/2014/main" id="{00000000-0008-0000-16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F136889-824B-4B8E-B49C-50A5B1B2E56B}" type="TxLink">
            <a:rPr lang="en-US" sz="1000" b="1"/>
            <a:pPr algn="ctr"/>
            <a:t>Evaluated Savings</a:t>
          </a:fld>
          <a:endParaRPr lang="en-US" sz="1000" b="1"/>
        </a:p>
      </xdr:txBody>
    </xdr:sp>
    <xdr:clientData/>
  </xdr:twoCellAnchor>
  <xdr:twoCellAnchor editAs="absolute">
    <xdr:from>
      <xdr:col>5</xdr:col>
      <xdr:colOff>331470</xdr:colOff>
      <xdr:row>0</xdr:row>
      <xdr:rowOff>66675</xdr:rowOff>
    </xdr:from>
    <xdr:to>
      <xdr:col>6</xdr:col>
      <xdr:colOff>613373</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600-000005000000}"/>
            </a:ext>
          </a:extLst>
        </xdr:cNvPr>
        <xdr:cNvSpPr/>
      </xdr:nvSpPr>
      <xdr:spPr>
        <a:xfrm>
          <a:off x="3122295" y="66675"/>
          <a:ext cx="152590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0927478-2913-4BA0-BD02-A541C1EAB120}" type="TxLink">
            <a:rPr lang="en-US" sz="1000" b="1"/>
            <a:pPr algn="ctr"/>
            <a:t>Cost-Benefits</a:t>
          </a:fld>
          <a:endParaRPr lang="en-US" sz="1000" b="1"/>
        </a:p>
      </xdr:txBody>
    </xdr:sp>
    <xdr:clientData/>
  </xdr:twoCellAnchor>
  <xdr:twoCellAnchor editAs="absolute">
    <xdr:from>
      <xdr:col>6</xdr:col>
      <xdr:colOff>622935</xdr:colOff>
      <xdr:row>0</xdr:row>
      <xdr:rowOff>66675</xdr:rowOff>
    </xdr:from>
    <xdr:to>
      <xdr:col>8</xdr:col>
      <xdr:colOff>120108</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6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FDC13C-62A0-44EF-B2D6-AD4E3B42638F}" type="TxLink">
            <a:rPr lang="en-US" sz="1000" b="1"/>
            <a:pPr algn="ctr"/>
            <a:t>LCFC</a:t>
          </a:fld>
          <a:endParaRPr lang="en-US" sz="1000" b="1"/>
        </a:p>
      </xdr:txBody>
    </xdr:sp>
    <xdr:clientData/>
  </xdr:twoCellAnchor>
  <xdr:twoCellAnchor editAs="absolute">
    <xdr:from>
      <xdr:col>8</xdr:col>
      <xdr:colOff>142875</xdr:colOff>
      <xdr:row>0</xdr:row>
      <xdr:rowOff>66675</xdr:rowOff>
    </xdr:from>
    <xdr:to>
      <xdr:col>10</xdr:col>
      <xdr:colOff>232447</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16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E27CACDB-6225-448A-8306-E3FA93828CAE}" type="TxLink">
            <a:rPr lang="en-US" sz="1000" b="1"/>
            <a:pPr algn="ctr"/>
            <a:t>Incentives</a:t>
          </a:fld>
          <a:endParaRPr lang="en-US" sz="1000" b="1"/>
        </a:p>
      </xdr:txBody>
    </xdr:sp>
    <xdr:clientData/>
  </xdr:twoCellAnchor>
  <xdr:twoCellAnchor editAs="absolute">
    <xdr:from>
      <xdr:col>10</xdr:col>
      <xdr:colOff>238124</xdr:colOff>
      <xdr:row>0</xdr:row>
      <xdr:rowOff>66675</xdr:rowOff>
    </xdr:from>
    <xdr:to>
      <xdr:col>10</xdr:col>
      <xdr:colOff>1703117</xdr:colOff>
      <xdr:row>0</xdr:row>
      <xdr:rowOff>342900</xdr:rowOff>
    </xdr:to>
    <xdr:sp macro="" textlink="Titles!B17">
      <xdr:nvSpPr>
        <xdr:cNvPr id="8" name="Round Same Side Corner Rectangle 8">
          <a:extLst>
            <a:ext uri="{FF2B5EF4-FFF2-40B4-BE49-F238E27FC236}">
              <a16:creationId xmlns:a16="http://schemas.microsoft.com/office/drawing/2014/main" id="{00000000-0008-0000-16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C8EF86F4-B3A8-461D-AF60-A6A2917F7BF4}"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341013</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6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1645930</xdr:colOff>
      <xdr:row>1</xdr:row>
      <xdr:rowOff>773472</xdr:rowOff>
    </xdr:to>
    <xdr:sp macro="" textlink="">
      <xdr:nvSpPr>
        <xdr:cNvPr id="10" name="Rounded Rectangle 6">
          <a:extLst>
            <a:ext uri="{FF2B5EF4-FFF2-40B4-BE49-F238E27FC236}">
              <a16:creationId xmlns:a16="http://schemas.microsoft.com/office/drawing/2014/main" id="{00000000-0008-0000-16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a:p>
      </xdr:txBody>
    </xdr:sp>
    <xdr:clientData/>
  </xdr:twoCellAnchor>
  <xdr:twoCellAnchor editAs="absolute">
    <xdr:from>
      <xdr:col>4</xdr:col>
      <xdr:colOff>38100</xdr:colOff>
      <xdr:row>0</xdr:row>
      <xdr:rowOff>300021</xdr:rowOff>
    </xdr:from>
    <xdr:to>
      <xdr:col>10</xdr:col>
      <xdr:colOff>255271</xdr:colOff>
      <xdr:row>1</xdr:row>
      <xdr:rowOff>280857</xdr:rowOff>
    </xdr:to>
    <xdr:sp macro="" textlink="Titles!F6">
      <xdr:nvSpPr>
        <xdr:cNvPr id="11" name="TextBox 10">
          <a:extLst>
            <a:ext uri="{FF2B5EF4-FFF2-40B4-BE49-F238E27FC236}">
              <a16:creationId xmlns:a16="http://schemas.microsoft.com/office/drawing/2014/main" id="{00000000-0008-0000-1600-00000B000000}"/>
            </a:ext>
          </a:extLst>
        </xdr:cNvPr>
        <xdr:cNvSpPr txBox="1"/>
      </xdr:nvSpPr>
      <xdr:spPr>
        <a:xfrm>
          <a:off x="1543050" y="300021"/>
          <a:ext cx="59416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E764DA70-B6A0-4D33-950A-EE7450A6C8A2}" type="TxLink">
            <a:rPr lang="en-US" sz="1600" b="1" i="1" u="none"/>
            <a:pPr algn="ctr"/>
            <a:t>BHEA - 2024 Program Year Evaluation</a:t>
          </a:fld>
          <a:endParaRPr lang="en-US" sz="1600" b="1" i="1" u="none"/>
        </a:p>
      </xdr:txBody>
    </xdr:sp>
    <xdr:clientData/>
  </xdr:twoCellAnchor>
  <xdr:twoCellAnchor editAs="absolute">
    <xdr:from>
      <xdr:col>4</xdr:col>
      <xdr:colOff>737235</xdr:colOff>
      <xdr:row>1</xdr:row>
      <xdr:rowOff>142875</xdr:rowOff>
    </xdr:from>
    <xdr:to>
      <xdr:col>9</xdr:col>
      <xdr:colOff>171461</xdr:colOff>
      <xdr:row>1</xdr:row>
      <xdr:rowOff>423080</xdr:rowOff>
    </xdr:to>
    <xdr:sp macro="" textlink="Titles!B17">
      <xdr:nvSpPr>
        <xdr:cNvPr id="12" name="TextBox 11">
          <a:extLst>
            <a:ext uri="{FF2B5EF4-FFF2-40B4-BE49-F238E27FC236}">
              <a16:creationId xmlns:a16="http://schemas.microsoft.com/office/drawing/2014/main" id="{00000000-0008-0000-1600-00000C000000}"/>
            </a:ext>
          </a:extLst>
        </xdr:cNvPr>
        <xdr:cNvSpPr txBox="1"/>
      </xdr:nvSpPr>
      <xdr:spPr>
        <a:xfrm>
          <a:off x="2242185" y="504825"/>
          <a:ext cx="454915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86ADD89-1A36-481A-ABEC-575BE4DAEA81}" type="TxLink">
            <a:rPr lang="en-US" sz="1200" b="0" i="0" u="none" strike="noStrike">
              <a:solidFill>
                <a:srgbClr val="000000"/>
              </a:solidFill>
              <a:latin typeface="+mn-lt"/>
              <a:cs typeface="Calibri"/>
            </a:rPr>
            <a:pPr algn="ctr"/>
            <a:t>Not Used</a:t>
          </a:fld>
          <a:endParaRPr lang="en-US" sz="1800" b="0">
            <a:latin typeface="+mn-lt"/>
          </a:endParaRPr>
        </a:p>
      </xdr:txBody>
    </xdr:sp>
    <xdr:clientData/>
  </xdr:twoCellAnchor>
  <xdr:twoCellAnchor editAs="absolute">
    <xdr:from>
      <xdr:col>10</xdr:col>
      <xdr:colOff>312420</xdr:colOff>
      <xdr:row>1</xdr:row>
      <xdr:rowOff>95250</xdr:rowOff>
    </xdr:from>
    <xdr:to>
      <xdr:col>10</xdr:col>
      <xdr:colOff>958103</xdr:colOff>
      <xdr:row>1</xdr:row>
      <xdr:rowOff>323850</xdr:rowOff>
    </xdr:to>
    <xdr:sp macro="" textlink="">
      <xdr:nvSpPr>
        <xdr:cNvPr id="13" name="Rounded Rectangle 12">
          <a:hlinkClick xmlns:r="http://schemas.openxmlformats.org/officeDocument/2006/relationships" r:id="rId5" tooltip="Click"/>
          <a:extLst>
            <a:ext uri="{FF2B5EF4-FFF2-40B4-BE49-F238E27FC236}">
              <a16:creationId xmlns:a16="http://schemas.microsoft.com/office/drawing/2014/main" id="{00000000-0008-0000-16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1002030</xdr:colOff>
      <xdr:row>1</xdr:row>
      <xdr:rowOff>95250</xdr:rowOff>
    </xdr:from>
    <xdr:to>
      <xdr:col>10</xdr:col>
      <xdr:colOff>1638355</xdr:colOff>
      <xdr:row>1</xdr:row>
      <xdr:rowOff>323850</xdr:rowOff>
    </xdr:to>
    <xdr:sp macro="" textlink="">
      <xdr:nvSpPr>
        <xdr:cNvPr id="14" name="Rounded Rectangle 13">
          <a:hlinkClick xmlns:r="http://schemas.openxmlformats.org/officeDocument/2006/relationships" r:id="rId6" tooltip="Click"/>
          <a:extLst>
            <a:ext uri="{FF2B5EF4-FFF2-40B4-BE49-F238E27FC236}">
              <a16:creationId xmlns:a16="http://schemas.microsoft.com/office/drawing/2014/main" id="{00000000-0008-0000-16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1</xdr:col>
      <xdr:colOff>76200</xdr:colOff>
      <xdr:row>1</xdr:row>
      <xdr:rowOff>91440</xdr:rowOff>
    </xdr:from>
    <xdr:to>
      <xdr:col>2</xdr:col>
      <xdr:colOff>819756</xdr:colOff>
      <xdr:row>1</xdr:row>
      <xdr:rowOff>320040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7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2</xdr:col>
      <xdr:colOff>0</xdr:colOff>
      <xdr:row>4</xdr:row>
      <xdr:rowOff>0</xdr:rowOff>
    </xdr:from>
    <xdr:to>
      <xdr:col>2</xdr:col>
      <xdr:colOff>1326091</xdr:colOff>
      <xdr:row>5</xdr:row>
      <xdr:rowOff>0</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1700-000005000000}"/>
            </a:ext>
          </a:extLst>
        </xdr:cNvPr>
        <xdr:cNvSpPr/>
      </xdr:nvSpPr>
      <xdr:spPr>
        <a:xfrm>
          <a:off x="328083" y="1238250"/>
          <a:ext cx="1326091" cy="317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Portfolio</a:t>
          </a:r>
          <a:r>
            <a:rPr lang="en-US" b="1" baseline="0">
              <a:solidFill>
                <a:sysClr val="windowText" lastClr="000000"/>
              </a:solidFill>
            </a:rPr>
            <a:t> Data</a:t>
          </a:r>
          <a:endParaRPr lang="en-US" b="1">
            <a:solidFill>
              <a:sysClr val="windowText" lastClr="000000"/>
            </a:solidFill>
          </a:endParaRPr>
        </a:p>
      </xdr:txBody>
    </xdr:sp>
    <xdr:clientData/>
  </xdr:twoCellAnchor>
  <xdr:twoCellAnchor>
    <xdr:from>
      <xdr:col>1</xdr:col>
      <xdr:colOff>38100</xdr:colOff>
      <xdr:row>2</xdr:row>
      <xdr:rowOff>28574</xdr:rowOff>
    </xdr:from>
    <xdr:to>
      <xdr:col>23</xdr:col>
      <xdr:colOff>635000</xdr:colOff>
      <xdr:row>3</xdr:row>
      <xdr:rowOff>158750</xdr:rowOff>
    </xdr:to>
    <xdr:sp macro="" textlink="">
      <xdr:nvSpPr>
        <xdr:cNvPr id="6" name="Rounded Rectangle 6">
          <a:extLst>
            <a:ext uri="{FF2B5EF4-FFF2-40B4-BE49-F238E27FC236}">
              <a16:creationId xmlns:a16="http://schemas.microsoft.com/office/drawing/2014/main" id="{00000000-0008-0000-1700-000006000000}"/>
            </a:ext>
          </a:extLst>
        </xdr:cNvPr>
        <xdr:cNvSpPr>
          <a:spLocks noChangeArrowheads="1"/>
        </xdr:cNvSpPr>
      </xdr:nvSpPr>
      <xdr:spPr bwMode="auto">
        <a:xfrm>
          <a:off x="101600" y="568324"/>
          <a:ext cx="15498233" cy="105092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listed below  for the past two years for each program being reported in the primary program year.  Any discontinued programs that provided saivings in the prior two years  are to be reported at the bottom in the "Discontinued Programs" section.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NOTE: This information can be copied from the previous years workbook'Next Annual Report Load Data' section.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Use the 'Portfolio Data' button to input prior Company Statistic Data.  </a:t>
          </a:r>
          <a:endParaRPr lang="en-US"/>
        </a:p>
      </xdr:txBody>
    </xdr:sp>
    <xdr:clientData/>
  </xdr:twoCellAnchor>
</xdr:wsDr>
</file>

<file path=xl/drawings/drawing25.xml><?xml version="1.0" encoding="utf-8"?>
<xdr:wsDr xmlns:xdr="http://schemas.openxmlformats.org/drawingml/2006/spreadsheetDrawing" xmlns:a="http://schemas.openxmlformats.org/drawingml/2006/main">
  <xdr:twoCellAnchor editAs="absolute">
    <xdr:from>
      <xdr:col>8</xdr:col>
      <xdr:colOff>971435</xdr:colOff>
      <xdr:row>1</xdr:row>
      <xdr:rowOff>134966</xdr:rowOff>
    </xdr:from>
    <xdr:to>
      <xdr:col>10</xdr:col>
      <xdr:colOff>171940</xdr:colOff>
      <xdr:row>1</xdr:row>
      <xdr:rowOff>363566</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1800-000002000000}"/>
            </a:ext>
          </a:extLst>
        </xdr:cNvPr>
        <xdr:cNvSpPr/>
      </xdr:nvSpPr>
      <xdr:spPr>
        <a:xfrm>
          <a:off x="6457950" y="190500"/>
          <a:ext cx="100217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20088</xdr:colOff>
      <xdr:row>2</xdr:row>
      <xdr:rowOff>22569</xdr:rowOff>
    </xdr:from>
    <xdr:to>
      <xdr:col>10</xdr:col>
      <xdr:colOff>321251</xdr:colOff>
      <xdr:row>5</xdr:row>
      <xdr:rowOff>2597</xdr:rowOff>
    </xdr:to>
    <xdr:sp macro="" textlink="">
      <xdr:nvSpPr>
        <xdr:cNvPr id="4" name="Rounded Rectangle 6">
          <a:extLst>
            <a:ext uri="{FF2B5EF4-FFF2-40B4-BE49-F238E27FC236}">
              <a16:creationId xmlns:a16="http://schemas.microsoft.com/office/drawing/2014/main" id="{00000000-0008-0000-1800-000004000000}"/>
            </a:ext>
          </a:extLst>
        </xdr:cNvPr>
        <xdr:cNvSpPr>
          <a:spLocks noChangeArrowheads="1"/>
        </xdr:cNvSpPr>
      </xdr:nvSpPr>
      <xdr:spPr bwMode="auto">
        <a:xfrm>
          <a:off x="77931" y="580157"/>
          <a:ext cx="7533409" cy="45893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for the Years listed below</a:t>
          </a:r>
          <a:r>
            <a:rPr lang="en-US" sz="900" b="0" i="0" u="none" strike="noStrike" baseline="0">
              <a:solidFill>
                <a:srgbClr val="000000"/>
              </a:solidFill>
              <a:latin typeface="Calibri"/>
              <a:cs typeface="Calibri"/>
            </a:rPr>
            <a:t>.  </a:t>
          </a:r>
          <a:r>
            <a:rPr lang="en-US" sz="1000" b="0" i="0" baseline="0">
              <a:effectLst/>
              <a:latin typeface="+mn-lt"/>
              <a:ea typeface="+mn-ea"/>
              <a:cs typeface="+mn-cs"/>
            </a:rPr>
            <a:t>This information can be copied from the previous years workbook'Next Annual Report Load Data' section.</a:t>
          </a:r>
          <a:endParaRPr lang="en-US"/>
        </a:p>
      </xdr:txBody>
    </xdr:sp>
    <xdr:clientData/>
  </xdr:twoCellAnchor>
  <xdr:twoCellAnchor editAs="absolute">
    <xdr:from>
      <xdr:col>2</xdr:col>
      <xdr:colOff>17318</xdr:colOff>
      <xdr:row>1</xdr:row>
      <xdr:rowOff>130752</xdr:rowOff>
    </xdr:from>
    <xdr:to>
      <xdr:col>3</xdr:col>
      <xdr:colOff>57948</xdr:colOff>
      <xdr:row>1</xdr:row>
      <xdr:rowOff>359352</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1800-000005000000}"/>
            </a:ext>
          </a:extLst>
        </xdr:cNvPr>
        <xdr:cNvSpPr/>
      </xdr:nvSpPr>
      <xdr:spPr>
        <a:xfrm>
          <a:off x="190500" y="181841"/>
          <a:ext cx="1001789"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A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1B00-000002000000}"/>
            </a:ext>
          </a:extLst>
        </xdr:cNvPr>
        <xdr:cNvSpPr/>
      </xdr:nvSpPr>
      <xdr:spPr>
        <a:xfrm>
          <a:off x="142875" y="1524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9.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C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19050</xdr:colOff>
      <xdr:row>1</xdr:row>
      <xdr:rowOff>0</xdr:rowOff>
    </xdr:from>
    <xdr:to>
      <xdr:col>11</xdr:col>
      <xdr:colOff>0</xdr:colOff>
      <xdr:row>1</xdr:row>
      <xdr:rowOff>401955</xdr:rowOff>
    </xdr:to>
    <xdr:sp macro="" textlink="">
      <xdr:nvSpPr>
        <xdr:cNvPr id="1317309" name="Rectangle 365">
          <a:extLst>
            <a:ext uri="{FF2B5EF4-FFF2-40B4-BE49-F238E27FC236}">
              <a16:creationId xmlns:a16="http://schemas.microsoft.com/office/drawing/2014/main" id="{00000000-0008-0000-0200-0000BD1914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19050</xdr:colOff>
      <xdr:row>0</xdr:row>
      <xdr:rowOff>57149</xdr:rowOff>
    </xdr:from>
    <xdr:to>
      <xdr:col>2</xdr:col>
      <xdr:colOff>1240051</xdr:colOff>
      <xdr:row>0</xdr:row>
      <xdr:rowOff>340994</xdr:rowOff>
    </xdr:to>
    <xdr:sp macro="" textlink="Titles!B2">
      <xdr:nvSpPr>
        <xdr:cNvPr id="3" name="Round Same Side Corner Rectangle 2">
          <a:extLst>
            <a:ext uri="{FF2B5EF4-FFF2-40B4-BE49-F238E27FC236}">
              <a16:creationId xmlns:a16="http://schemas.microsoft.com/office/drawing/2014/main" id="{00000000-0008-0000-0200-000003000000}"/>
            </a:ext>
          </a:extLst>
        </xdr:cNvPr>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1B8E440-EE25-4FED-9FE1-CCD8B80D1473}" type="TxLink">
            <a:rPr lang="en-US" sz="1000" b="1">
              <a:solidFill>
                <a:sysClr val="windowText" lastClr="000000"/>
              </a:solidFill>
            </a:rPr>
            <a:pPr algn="ctr"/>
            <a:t>Utility Information</a:t>
          </a:fld>
          <a:endParaRPr lang="en-US" sz="1000" b="1">
            <a:solidFill>
              <a:sysClr val="windowText" lastClr="000000"/>
            </a:solidFill>
          </a:endParaRPr>
        </a:p>
      </xdr:txBody>
    </xdr:sp>
    <xdr:clientData/>
  </xdr:twoCellAnchor>
  <xdr:twoCellAnchor editAs="absolute">
    <xdr:from>
      <xdr:col>2</xdr:col>
      <xdr:colOff>1243965</xdr:colOff>
      <xdr:row>0</xdr:row>
      <xdr:rowOff>59055</xdr:rowOff>
    </xdr:from>
    <xdr:to>
      <xdr:col>3</xdr:col>
      <xdr:colOff>967759</xdr:colOff>
      <xdr:row>0</xdr:row>
      <xdr:rowOff>340995</xdr:rowOff>
    </xdr:to>
    <xdr:sp macro="" textlink="Titles!B3">
      <xdr:nvSpPr>
        <xdr:cNvPr id="4" name="Round Same Side Corner Rectangle 3">
          <a:hlinkClick xmlns:r="http://schemas.openxmlformats.org/officeDocument/2006/relationships" r:id="rId1" tooltip="Click"/>
          <a:extLst>
            <a:ext uri="{FF2B5EF4-FFF2-40B4-BE49-F238E27FC236}">
              <a16:creationId xmlns:a16="http://schemas.microsoft.com/office/drawing/2014/main" id="{00000000-0008-0000-02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FEAE6AE-6855-4F1C-A89A-4184A06C2915}" type="TxLink">
            <a:rPr lang="en-US" sz="1000" b="1"/>
            <a:pPr algn="ctr"/>
            <a:t>Program Descriptions</a:t>
          </a:fld>
          <a:endParaRPr lang="en-US" sz="1000" b="1"/>
        </a:p>
      </xdr:txBody>
    </xdr:sp>
    <xdr:clientData/>
  </xdr:twoCellAnchor>
  <xdr:twoCellAnchor editAs="absolute">
    <xdr:from>
      <xdr:col>3</xdr:col>
      <xdr:colOff>992505</xdr:colOff>
      <xdr:row>0</xdr:row>
      <xdr:rowOff>59055</xdr:rowOff>
    </xdr:from>
    <xdr:to>
      <xdr:col>4</xdr:col>
      <xdr:colOff>393841</xdr:colOff>
      <xdr:row>0</xdr:row>
      <xdr:rowOff>340995</xdr:rowOff>
    </xdr:to>
    <xdr:sp macro="" textlink="Titles!B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2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85F8AA7-07EA-460B-913C-29C73991E499}" type="TxLink">
            <a:rPr lang="en-US" sz="1000" b="1"/>
            <a:pPr algn="ctr"/>
            <a:t>Budgets</a:t>
          </a:fld>
          <a:endParaRPr lang="en-US" sz="1000" b="1"/>
        </a:p>
      </xdr:txBody>
    </xdr:sp>
    <xdr:clientData/>
  </xdr:twoCellAnchor>
  <xdr:twoCellAnchor editAs="absolute">
    <xdr:from>
      <xdr:col>4</xdr:col>
      <xdr:colOff>417195</xdr:colOff>
      <xdr:row>0</xdr:row>
      <xdr:rowOff>59055</xdr:rowOff>
    </xdr:from>
    <xdr:to>
      <xdr:col>6</xdr:col>
      <xdr:colOff>508000</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2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409C77F-2989-431D-9C12-E20D0377F3D1}" type="TxLink">
            <a:rPr lang="en-US" sz="1000" b="1"/>
            <a:pPr algn="ctr"/>
            <a:t>Savings &amp; Participants</a:t>
          </a:fld>
          <a:endParaRPr lang="en-US" sz="1000" b="1"/>
        </a:p>
      </xdr:txBody>
    </xdr:sp>
    <xdr:clientData/>
  </xdr:twoCellAnchor>
  <xdr:twoCellAnchor editAs="absolute">
    <xdr:from>
      <xdr:col>6</xdr:col>
      <xdr:colOff>512445</xdr:colOff>
      <xdr:row>0</xdr:row>
      <xdr:rowOff>59055</xdr:rowOff>
    </xdr:from>
    <xdr:to>
      <xdr:col>9</xdr:col>
      <xdr:colOff>172085</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2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F1419D5-117E-4896-B48F-4EA5342B5A46}" type="TxLink">
            <a:rPr lang="en-US" sz="1000" b="1"/>
            <a:pPr algn="ctr"/>
            <a:t>Training</a:t>
          </a:fld>
          <a:endParaRPr lang="en-US" sz="1000" b="1"/>
        </a:p>
      </xdr:txBody>
    </xdr:sp>
    <xdr:clientData/>
  </xdr:twoCellAnchor>
  <xdr:twoCellAnchor editAs="absolute">
    <xdr:from>
      <xdr:col>9</xdr:col>
      <xdr:colOff>169544</xdr:colOff>
      <xdr:row>0</xdr:row>
      <xdr:rowOff>59055</xdr:rowOff>
    </xdr:from>
    <xdr:to>
      <xdr:col>11</xdr:col>
      <xdr:colOff>1956</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2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85CD6D4-5FC0-4F06-894F-E1D65E39981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859907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2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95250</xdr:colOff>
      <xdr:row>1</xdr:row>
      <xdr:rowOff>438149</xdr:rowOff>
    </xdr:from>
    <xdr:to>
      <xdr:col>10</xdr:col>
      <xdr:colOff>973449</xdr:colOff>
      <xdr:row>1</xdr:row>
      <xdr:rowOff>777282</xdr:rowOff>
    </xdr:to>
    <xdr:sp macro="" textlink="">
      <xdr:nvSpPr>
        <xdr:cNvPr id="12" name="Rounded Rectangle 6">
          <a:extLst>
            <a:ext uri="{FF2B5EF4-FFF2-40B4-BE49-F238E27FC236}">
              <a16:creationId xmlns:a16="http://schemas.microsoft.com/office/drawing/2014/main" id="{00000000-0008-0000-0200-00000C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Provide  the requested information.  Select Company's Utility Type from the dropdown menu. </a:t>
          </a:r>
          <a:endParaRPr lang="en-US"/>
        </a:p>
      </xdr:txBody>
    </xdr:sp>
    <xdr:clientData/>
  </xdr:twoCellAnchor>
  <xdr:twoCellAnchor editAs="absolute">
    <xdr:from>
      <xdr:col>2</xdr:col>
      <xdr:colOff>1234440</xdr:colOff>
      <xdr:row>0</xdr:row>
      <xdr:rowOff>291679</xdr:rowOff>
    </xdr:from>
    <xdr:to>
      <xdr:col>9</xdr:col>
      <xdr:colOff>169569</xdr:colOff>
      <xdr:row>1</xdr:row>
      <xdr:rowOff>274593</xdr:rowOff>
    </xdr:to>
    <xdr:sp macro="" textlink="Titles!F5">
      <xdr:nvSpPr>
        <xdr:cNvPr id="13" name="TextBox 12">
          <a:extLst>
            <a:ext uri="{FF2B5EF4-FFF2-40B4-BE49-F238E27FC236}">
              <a16:creationId xmlns:a16="http://schemas.microsoft.com/office/drawing/2014/main" id="{00000000-0008-0000-0200-00000D000000}"/>
            </a:ext>
          </a:extLst>
        </xdr:cNvPr>
        <xdr:cNvSpPr txBox="1"/>
      </xdr:nvSpPr>
      <xdr:spPr>
        <a:xfrm>
          <a:off x="1558636" y="293584"/>
          <a:ext cx="613949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25AE150-F334-436F-B2A1-C1842A1307B5}" type="TxLink">
            <a:rPr lang="en-US" sz="1600" b="1" i="1" u="none"/>
            <a:pPr algn="ctr"/>
            <a:t>BHEA - 2024 EE Portfolio Information</a:t>
          </a:fld>
          <a:endParaRPr lang="en-US" sz="1600" b="1" i="1" u="none"/>
        </a:p>
      </xdr:txBody>
    </xdr:sp>
    <xdr:clientData/>
  </xdr:twoCellAnchor>
  <xdr:twoCellAnchor editAs="absolute">
    <xdr:from>
      <xdr:col>3</xdr:col>
      <xdr:colOff>188595</xdr:colOff>
      <xdr:row>1</xdr:row>
      <xdr:rowOff>131445</xdr:rowOff>
    </xdr:from>
    <xdr:to>
      <xdr:col>8</xdr:col>
      <xdr:colOff>95259</xdr:colOff>
      <xdr:row>1</xdr:row>
      <xdr:rowOff>419270</xdr:rowOff>
    </xdr:to>
    <xdr:sp macro="" textlink="Titles!B2">
      <xdr:nvSpPr>
        <xdr:cNvPr id="14" name="TextBox 13">
          <a:extLst>
            <a:ext uri="{FF2B5EF4-FFF2-40B4-BE49-F238E27FC236}">
              <a16:creationId xmlns:a16="http://schemas.microsoft.com/office/drawing/2014/main" id="{00000000-0008-0000-0200-00000E000000}"/>
            </a:ext>
          </a:extLst>
        </xdr:cNvPr>
        <xdr:cNvSpPr txBox="1"/>
      </xdr:nvSpPr>
      <xdr:spPr>
        <a:xfrm>
          <a:off x="2292754" y="502747"/>
          <a:ext cx="469514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776F284F-2463-45BA-9530-42F4B4E75BD4}" type="TxLink">
            <a:rPr lang="en-US" sz="1200" b="0"/>
            <a:pPr algn="ctr"/>
            <a:t>Utility Information</a:t>
          </a:fld>
          <a:endParaRPr lang="en-US" sz="1200" b="0"/>
        </a:p>
      </xdr:txBody>
    </xdr:sp>
    <xdr:clientData/>
  </xdr:twoCellAnchor>
  <xdr:twoCellAnchor editAs="absolute">
    <xdr:from>
      <xdr:col>9</xdr:col>
      <xdr:colOff>243840</xdr:colOff>
      <xdr:row>1</xdr:row>
      <xdr:rowOff>91440</xdr:rowOff>
    </xdr:from>
    <xdr:to>
      <xdr:col>10</xdr:col>
      <xdr:colOff>266700</xdr:colOff>
      <xdr:row>1</xdr:row>
      <xdr:rowOff>320040</xdr:rowOff>
    </xdr:to>
    <xdr:sp macro="" textlink="">
      <xdr:nvSpPr>
        <xdr:cNvPr id="15" name="Rounded Rectangle 14">
          <a:hlinkClick xmlns:r="http://schemas.openxmlformats.org/officeDocument/2006/relationships" r:id="rId6" tooltip="Click"/>
          <a:extLst>
            <a:ext uri="{FF2B5EF4-FFF2-40B4-BE49-F238E27FC236}">
              <a16:creationId xmlns:a16="http://schemas.microsoft.com/office/drawing/2014/main" id="{00000000-0008-0000-0200-00000F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321310</xdr:colOff>
      <xdr:row>1</xdr:row>
      <xdr:rowOff>91440</xdr:rowOff>
    </xdr:from>
    <xdr:to>
      <xdr:col>10</xdr:col>
      <xdr:colOff>972240</xdr:colOff>
      <xdr:row>1</xdr:row>
      <xdr:rowOff>320040</xdr:rowOff>
    </xdr:to>
    <xdr:sp macro="" textlink="">
      <xdr:nvSpPr>
        <xdr:cNvPr id="16" name="Rounded Rectangle 15">
          <a:hlinkClick xmlns:r="http://schemas.openxmlformats.org/officeDocument/2006/relationships" r:id="rId1" tooltip="Click"/>
          <a:extLst>
            <a:ext uri="{FF2B5EF4-FFF2-40B4-BE49-F238E27FC236}">
              <a16:creationId xmlns:a16="http://schemas.microsoft.com/office/drawing/2014/main" id="{00000000-0008-0000-0200-000010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1.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E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2.xml><?xml version="1.0" encoding="utf-8"?>
<xdr:wsDr xmlns:xdr="http://schemas.openxmlformats.org/drawingml/2006/spreadsheetDrawing" xmlns:a="http://schemas.openxmlformats.org/drawingml/2006/main">
  <xdr:twoCellAnchor editAs="absolute">
    <xdr:from>
      <xdr:col>2</xdr:col>
      <xdr:colOff>2741295</xdr:colOff>
      <xdr:row>1</xdr:row>
      <xdr:rowOff>114300</xdr:rowOff>
    </xdr:from>
    <xdr:to>
      <xdr:col>2</xdr:col>
      <xdr:colOff>4314825</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F00-000003000000}"/>
            </a:ext>
          </a:extLst>
        </xdr:cNvPr>
        <xdr:cNvSpPr/>
      </xdr:nvSpPr>
      <xdr:spPr>
        <a:xfrm>
          <a:off x="7256145" y="171450"/>
          <a:ext cx="157353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Instructions</a:t>
          </a:r>
        </a:p>
      </xdr:txBody>
    </xdr:sp>
    <xdr:clientData/>
  </xdr:twoCellAnchor>
  <xdr:twoCellAnchor editAs="absolute">
    <xdr:from>
      <xdr:col>1</xdr:col>
      <xdr:colOff>66675</xdr:colOff>
      <xdr:row>1</xdr:row>
      <xdr:rowOff>95250</xdr:rowOff>
    </xdr:from>
    <xdr:to>
      <xdr:col>1</xdr:col>
      <xdr:colOff>1381125</xdr:colOff>
      <xdr:row>1</xdr:row>
      <xdr:rowOff>333375</xdr:rowOff>
    </xdr:to>
    <xdr:sp macro="" textlink="">
      <xdr:nvSpPr>
        <xdr:cNvPr id="4" name="Rounded Rectangle 3">
          <a:hlinkClick xmlns:r="http://schemas.openxmlformats.org/officeDocument/2006/relationships" r:id="rId2" tooltip="Click"/>
          <a:extLst>
            <a:ext uri="{FF2B5EF4-FFF2-40B4-BE49-F238E27FC236}">
              <a16:creationId xmlns:a16="http://schemas.microsoft.com/office/drawing/2014/main" id="{00000000-0008-0000-1F00-000004000000}"/>
            </a:ext>
          </a:extLst>
        </xdr:cNvPr>
        <xdr:cNvSpPr/>
      </xdr:nvSpPr>
      <xdr:spPr>
        <a:xfrm>
          <a:off x="133350" y="152400"/>
          <a:ext cx="131445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Budgets</a:t>
          </a:r>
        </a:p>
      </xdr:txBody>
    </xdr:sp>
    <xdr:clientData/>
  </xdr:twoCellAnchor>
  <xdr:twoCellAnchor editAs="absolute">
    <xdr:from>
      <xdr:col>1</xdr:col>
      <xdr:colOff>1457325</xdr:colOff>
      <xdr:row>1</xdr:row>
      <xdr:rowOff>95250</xdr:rowOff>
    </xdr:from>
    <xdr:to>
      <xdr:col>1</xdr:col>
      <xdr:colOff>2781300</xdr:colOff>
      <xdr:row>1</xdr:row>
      <xdr:rowOff>333375</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1F00-000006000000}"/>
            </a:ext>
          </a:extLst>
        </xdr:cNvPr>
        <xdr:cNvSpPr/>
      </xdr:nvSpPr>
      <xdr:spPr>
        <a:xfrm>
          <a:off x="1524000" y="152400"/>
          <a:ext cx="1323975"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Expenses</a:t>
          </a:r>
        </a:p>
      </xdr:txBody>
    </xdr:sp>
    <xdr:clientData/>
  </xdr:twoCellAnchor>
</xdr:wsDr>
</file>

<file path=xl/drawings/drawing3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0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xdr:col>
      <xdr:colOff>19050</xdr:colOff>
      <xdr:row>1</xdr:row>
      <xdr:rowOff>123825</xdr:rowOff>
    </xdr:from>
    <xdr:to>
      <xdr:col>2</xdr:col>
      <xdr:colOff>169563</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400-000003000000}"/>
            </a:ext>
          </a:extLst>
        </xdr:cNvPr>
        <xdr:cNvSpPr/>
      </xdr:nvSpPr>
      <xdr:spPr>
        <a:xfrm>
          <a:off x="85725" y="180975"/>
          <a:ext cx="9982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10</xdr:col>
      <xdr:colOff>568555</xdr:colOff>
      <xdr:row>1</xdr:row>
      <xdr:rowOff>105641</xdr:rowOff>
    </xdr:from>
    <xdr:to>
      <xdr:col>11</xdr:col>
      <xdr:colOff>437319</xdr:colOff>
      <xdr:row>1</xdr:row>
      <xdr:rowOff>334241</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400-000005000000}"/>
            </a:ext>
          </a:extLst>
        </xdr:cNvPr>
        <xdr:cNvSpPr/>
      </xdr:nvSpPr>
      <xdr:spPr>
        <a:xfrm>
          <a:off x="7772919" y="166255"/>
          <a:ext cx="63942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xdr:col>
      <xdr:colOff>15240</xdr:colOff>
      <xdr:row>1</xdr:row>
      <xdr:rowOff>129540</xdr:rowOff>
    </xdr:from>
    <xdr:to>
      <xdr:col>1</xdr:col>
      <xdr:colOff>1007748</xdr:colOff>
      <xdr:row>1</xdr:row>
      <xdr:rowOff>358140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500-000003000000}"/>
            </a:ext>
          </a:extLst>
        </xdr:cNvPr>
        <xdr:cNvSpPr/>
      </xdr:nvSpPr>
      <xdr:spPr>
        <a:xfrm>
          <a:off x="85725" y="1905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7</xdr:col>
      <xdr:colOff>28575</xdr:colOff>
      <xdr:row>1</xdr:row>
      <xdr:rowOff>104775</xdr:rowOff>
    </xdr:from>
    <xdr:to>
      <xdr:col>8</xdr:col>
      <xdr:colOff>626454</xdr:colOff>
      <xdr:row>1</xdr:row>
      <xdr:rowOff>325755</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500-000005000000}"/>
            </a:ext>
          </a:extLst>
        </xdr:cNvPr>
        <xdr:cNvSpPr/>
      </xdr:nvSpPr>
      <xdr:spPr>
        <a:xfrm>
          <a:off x="76104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112568</xdr:colOff>
      <xdr:row>1</xdr:row>
      <xdr:rowOff>112568</xdr:rowOff>
    </xdr:from>
    <xdr:to>
      <xdr:col>6</xdr:col>
      <xdr:colOff>758251</xdr:colOff>
      <xdr:row>1</xdr:row>
      <xdr:rowOff>341168</xdr:rowOff>
    </xdr:to>
    <xdr:sp macro="" textlink="">
      <xdr:nvSpPr>
        <xdr:cNvPr id="4" name="Rounded Rectangle 3">
          <a:hlinkClick xmlns:r="http://schemas.openxmlformats.org/officeDocument/2006/relationships" r:id="rId3" tooltip="Click"/>
          <a:extLst>
            <a:ext uri="{FF2B5EF4-FFF2-40B4-BE49-F238E27FC236}">
              <a16:creationId xmlns:a16="http://schemas.microsoft.com/office/drawing/2014/main" id="{00000000-0008-0000-2500-000004000000}"/>
            </a:ext>
          </a:extLst>
        </xdr:cNvPr>
        <xdr:cNvSpPr/>
      </xdr:nvSpPr>
      <xdr:spPr>
        <a:xfrm>
          <a:off x="6840682" y="173182"/>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6.xml><?xml version="1.0" encoding="utf-8"?>
<xdr:wsDr xmlns:xdr="http://schemas.openxmlformats.org/drawingml/2006/spreadsheetDrawing" xmlns:a="http://schemas.openxmlformats.org/drawingml/2006/main">
  <xdr:twoCellAnchor editAs="absolute">
    <xdr:from>
      <xdr:col>1</xdr:col>
      <xdr:colOff>28575</xdr:colOff>
      <xdr:row>1</xdr:row>
      <xdr:rowOff>123825</xdr:rowOff>
    </xdr:from>
    <xdr:to>
      <xdr:col>1</xdr:col>
      <xdr:colOff>1030608</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600-000003000000}"/>
            </a:ext>
          </a:extLst>
        </xdr:cNvPr>
        <xdr:cNvSpPr/>
      </xdr:nvSpPr>
      <xdr:spPr>
        <a:xfrm>
          <a:off x="95250" y="180975"/>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15</xdr:row>
      <xdr:rowOff>19050</xdr:rowOff>
    </xdr:from>
    <xdr:to>
      <xdr:col>7</xdr:col>
      <xdr:colOff>0</xdr:colOff>
      <xdr:row>34</xdr:row>
      <xdr:rowOff>66675</xdr:rowOff>
    </xdr:to>
    <xdr:graphicFrame macro="">
      <xdr:nvGraphicFramePr>
        <xdr:cNvPr id="1487940" name="Chart 1">
          <a:extLst>
            <a:ext uri="{FF2B5EF4-FFF2-40B4-BE49-F238E27FC236}">
              <a16:creationId xmlns:a16="http://schemas.microsoft.com/office/drawing/2014/main" id="{00000000-0008-0000-2600-000044B4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681991</xdr:colOff>
      <xdr:row>1</xdr:row>
      <xdr:rowOff>94237</xdr:rowOff>
    </xdr:from>
    <xdr:to>
      <xdr:col>6</xdr:col>
      <xdr:colOff>476331</xdr:colOff>
      <xdr:row>1</xdr:row>
      <xdr:rowOff>322837</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2600-000006000000}"/>
            </a:ext>
          </a:extLst>
        </xdr:cNvPr>
        <xdr:cNvSpPr/>
      </xdr:nvSpPr>
      <xdr:spPr>
        <a:xfrm>
          <a:off x="4772026" y="151387"/>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4</xdr:col>
      <xdr:colOff>805295</xdr:colOff>
      <xdr:row>1</xdr:row>
      <xdr:rowOff>95250</xdr:rowOff>
    </xdr:from>
    <xdr:to>
      <xdr:col>5</xdr:col>
      <xdr:colOff>602387</xdr:colOff>
      <xdr:row>1</xdr:row>
      <xdr:rowOff>323850</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600-000007000000}"/>
            </a:ext>
          </a:extLst>
        </xdr:cNvPr>
        <xdr:cNvSpPr/>
      </xdr:nvSpPr>
      <xdr:spPr>
        <a:xfrm>
          <a:off x="4043795" y="155864"/>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7.xml><?xml version="1.0" encoding="utf-8"?>
<xdr:wsDr xmlns:xdr="http://schemas.openxmlformats.org/drawingml/2006/spreadsheetDrawing" xmlns:a="http://schemas.openxmlformats.org/drawingml/2006/main">
  <xdr:twoCellAnchor editAs="absolute">
    <xdr:from>
      <xdr:col>1</xdr:col>
      <xdr:colOff>28575</xdr:colOff>
      <xdr:row>1</xdr:row>
      <xdr:rowOff>133350</xdr:rowOff>
    </xdr:from>
    <xdr:to>
      <xdr:col>3</xdr:col>
      <xdr:colOff>321949</xdr:colOff>
      <xdr:row>1</xdr:row>
      <xdr:rowOff>361950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700-000003000000}"/>
            </a:ext>
          </a:extLst>
        </xdr:cNvPr>
        <xdr:cNvSpPr/>
      </xdr:nvSpPr>
      <xdr:spPr>
        <a:xfrm>
          <a:off x="95250" y="190500"/>
          <a:ext cx="99822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0</xdr:col>
      <xdr:colOff>57150</xdr:colOff>
      <xdr:row>14</xdr:row>
      <xdr:rowOff>9525</xdr:rowOff>
    </xdr:from>
    <xdr:to>
      <xdr:col>14</xdr:col>
      <xdr:colOff>0</xdr:colOff>
      <xdr:row>27</xdr:row>
      <xdr:rowOff>103909</xdr:rowOff>
    </xdr:to>
    <xdr:graphicFrame macro="">
      <xdr:nvGraphicFramePr>
        <xdr:cNvPr id="1489988" name="Chart 5">
          <a:extLst>
            <a:ext uri="{FF2B5EF4-FFF2-40B4-BE49-F238E27FC236}">
              <a16:creationId xmlns:a16="http://schemas.microsoft.com/office/drawing/2014/main" id="{00000000-0008-0000-2700-000044BC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491490</xdr:colOff>
      <xdr:row>1</xdr:row>
      <xdr:rowOff>104775</xdr:rowOff>
    </xdr:from>
    <xdr:to>
      <xdr:col>13</xdr:col>
      <xdr:colOff>400130</xdr:colOff>
      <xdr:row>1</xdr:row>
      <xdr:rowOff>333375</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2700-000006000000}"/>
            </a:ext>
          </a:extLst>
        </xdr:cNvPr>
        <xdr:cNvSpPr/>
      </xdr:nvSpPr>
      <xdr:spPr>
        <a:xfrm>
          <a:off x="66960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11</xdr:col>
      <xdr:colOff>225136</xdr:colOff>
      <xdr:row>1</xdr:row>
      <xdr:rowOff>112569</xdr:rowOff>
    </xdr:from>
    <xdr:to>
      <xdr:col>12</xdr:col>
      <xdr:colOff>359933</xdr:colOff>
      <xdr:row>1</xdr:row>
      <xdr:rowOff>341169</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700-000007000000}"/>
            </a:ext>
          </a:extLst>
        </xdr:cNvPr>
        <xdr:cNvSpPr/>
      </xdr:nvSpPr>
      <xdr:spPr>
        <a:xfrm>
          <a:off x="5931477" y="173183"/>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8.xml><?xml version="1.0" encoding="utf-8"?>
<xdr:wsDr xmlns:xdr="http://schemas.openxmlformats.org/drawingml/2006/spreadsheetDrawing" xmlns:a="http://schemas.openxmlformats.org/drawingml/2006/main">
  <xdr:twoCellAnchor editAs="absolute">
    <xdr:from>
      <xdr:col>1</xdr:col>
      <xdr:colOff>76200</xdr:colOff>
      <xdr:row>1</xdr:row>
      <xdr:rowOff>100965</xdr:rowOff>
    </xdr:from>
    <xdr:to>
      <xdr:col>1</xdr:col>
      <xdr:colOff>1088393</xdr:colOff>
      <xdr:row>1</xdr:row>
      <xdr:rowOff>329565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8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12</xdr:row>
      <xdr:rowOff>9525</xdr:rowOff>
    </xdr:from>
    <xdr:to>
      <xdr:col>14</xdr:col>
      <xdr:colOff>0</xdr:colOff>
      <xdr:row>28</xdr:row>
      <xdr:rowOff>8659</xdr:rowOff>
    </xdr:to>
    <xdr:graphicFrame macro="">
      <xdr:nvGraphicFramePr>
        <xdr:cNvPr id="193473" name="Chart 1">
          <a:extLst>
            <a:ext uri="{FF2B5EF4-FFF2-40B4-BE49-F238E27FC236}">
              <a16:creationId xmlns:a16="http://schemas.microsoft.com/office/drawing/2014/main" id="{00000000-0008-0000-2800-0000C1F30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337705</xdr:colOff>
      <xdr:row>1</xdr:row>
      <xdr:rowOff>112567</xdr:rowOff>
    </xdr:from>
    <xdr:to>
      <xdr:col>13</xdr:col>
      <xdr:colOff>292566</xdr:colOff>
      <xdr:row>1</xdr:row>
      <xdr:rowOff>341167</xdr:rowOff>
    </xdr:to>
    <xdr:sp macro="" textlink="">
      <xdr:nvSpPr>
        <xdr:cNvPr id="4" name="Rounded Rectangle 3">
          <a:hlinkClick xmlns:r="http://schemas.openxmlformats.org/officeDocument/2006/relationships" r:id="rId3" tooltip="Click"/>
          <a:extLst>
            <a:ext uri="{FF2B5EF4-FFF2-40B4-BE49-F238E27FC236}">
              <a16:creationId xmlns:a16="http://schemas.microsoft.com/office/drawing/2014/main" id="{00000000-0008-0000-2800-000004000000}"/>
            </a:ext>
          </a:extLst>
        </xdr:cNvPr>
        <xdr:cNvSpPr/>
      </xdr:nvSpPr>
      <xdr:spPr>
        <a:xfrm>
          <a:off x="8044296" y="173181"/>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9.xml><?xml version="1.0" encoding="utf-8"?>
<xdr:wsDr xmlns:xdr="http://schemas.openxmlformats.org/drawingml/2006/spreadsheetDrawing" xmlns:a="http://schemas.openxmlformats.org/drawingml/2006/main">
  <xdr:twoCellAnchor editAs="absolute">
    <xdr:from>
      <xdr:col>1</xdr:col>
      <xdr:colOff>76200</xdr:colOff>
      <xdr:row>1</xdr:row>
      <xdr:rowOff>96371</xdr:rowOff>
    </xdr:from>
    <xdr:to>
      <xdr:col>1</xdr:col>
      <xdr:colOff>1070377</xdr:colOff>
      <xdr:row>1</xdr:row>
      <xdr:rowOff>324971</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4234</xdr:colOff>
      <xdr:row>30</xdr:row>
      <xdr:rowOff>50800</xdr:rowOff>
    </xdr:from>
    <xdr:to>
      <xdr:col>4</xdr:col>
      <xdr:colOff>620184</xdr:colOff>
      <xdr:row>56</xdr:row>
      <xdr:rowOff>50800</xdr:rowOff>
    </xdr:to>
    <xdr:graphicFrame macro="">
      <xdr:nvGraphicFramePr>
        <xdr:cNvPr id="1493073" name="Chart 1">
          <a:extLst>
            <a:ext uri="{FF2B5EF4-FFF2-40B4-BE49-F238E27FC236}">
              <a16:creationId xmlns:a16="http://schemas.microsoft.com/office/drawing/2014/main" id="{00000000-0008-0000-2900-000051C8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662516</xdr:colOff>
      <xdr:row>30</xdr:row>
      <xdr:rowOff>49742</xdr:rowOff>
    </xdr:from>
    <xdr:to>
      <xdr:col>12</xdr:col>
      <xdr:colOff>452966</xdr:colOff>
      <xdr:row>56</xdr:row>
      <xdr:rowOff>59267</xdr:rowOff>
    </xdr:to>
    <xdr:graphicFrame macro="">
      <xdr:nvGraphicFramePr>
        <xdr:cNvPr id="1493074" name="Chart 4">
          <a:extLst>
            <a:ext uri="{FF2B5EF4-FFF2-40B4-BE49-F238E27FC236}">
              <a16:creationId xmlns:a16="http://schemas.microsoft.com/office/drawing/2014/main" id="{00000000-0008-0000-2900-000052C8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23432</xdr:colOff>
      <xdr:row>1</xdr:row>
      <xdr:rowOff>100293</xdr:rowOff>
    </xdr:from>
    <xdr:to>
      <xdr:col>12</xdr:col>
      <xdr:colOff>261893</xdr:colOff>
      <xdr:row>1</xdr:row>
      <xdr:rowOff>328893</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900-000007000000}"/>
            </a:ext>
          </a:extLst>
        </xdr:cNvPr>
        <xdr:cNvSpPr/>
      </xdr:nvSpPr>
      <xdr:spPr>
        <a:xfrm>
          <a:off x="9567582" y="156322"/>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7620</xdr:colOff>
      <xdr:row>1</xdr:row>
      <xdr:rowOff>0</xdr:rowOff>
    </xdr:from>
    <xdr:to>
      <xdr:col>8</xdr:col>
      <xdr:colOff>641812</xdr:colOff>
      <xdr:row>1</xdr:row>
      <xdr:rowOff>411480</xdr:rowOff>
    </xdr:to>
    <xdr:sp macro="" textlink="">
      <xdr:nvSpPr>
        <xdr:cNvPr id="1464516" name="Rectangle 365">
          <a:extLst>
            <a:ext uri="{FF2B5EF4-FFF2-40B4-BE49-F238E27FC236}">
              <a16:creationId xmlns:a16="http://schemas.microsoft.com/office/drawing/2014/main" id="{00000000-0008-0000-0300-0000C45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7620</xdr:colOff>
      <xdr:row>0</xdr:row>
      <xdr:rowOff>68579</xdr:rowOff>
    </xdr:from>
    <xdr:to>
      <xdr:col>3</xdr:col>
      <xdr:colOff>1218922</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3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9737414-2531-49F5-82E8-307B67CC7DCE}"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1230456</xdr:colOff>
      <xdr:row>0</xdr:row>
      <xdr:rowOff>68580</xdr:rowOff>
    </xdr:from>
    <xdr:to>
      <xdr:col>4</xdr:col>
      <xdr:colOff>308519</xdr:colOff>
      <xdr:row>0</xdr:row>
      <xdr:rowOff>340995</xdr:rowOff>
    </xdr:to>
    <xdr:sp macro="" textlink="Titles!B3">
      <xdr:nvSpPr>
        <xdr:cNvPr id="4" name="Round Same Side Corner Rectangle 3">
          <a:extLst>
            <a:ext uri="{FF2B5EF4-FFF2-40B4-BE49-F238E27FC236}">
              <a16:creationId xmlns:a16="http://schemas.microsoft.com/office/drawing/2014/main" id="{00000000-0008-0000-0300-000004000000}"/>
            </a:ext>
          </a:extLst>
        </xdr:cNvPr>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397BDF8-556C-4ED1-A2A6-6F97A4E9A51C}" type="TxLink">
            <a:rPr lang="en-US" sz="1000" b="1">
              <a:solidFill>
                <a:sysClr val="windowText" lastClr="000000"/>
              </a:solidFill>
              <a:latin typeface="+mn-lt"/>
              <a:ea typeface="+mn-ea"/>
              <a:cs typeface="+mn-cs"/>
            </a:rPr>
            <a:pPr marL="0" indent="0" algn="ctr"/>
            <a:t>Program Descriptions</a:t>
          </a:fld>
          <a:endParaRPr lang="en-US" sz="1000" b="1">
            <a:solidFill>
              <a:sysClr val="windowText" lastClr="000000"/>
            </a:solidFill>
            <a:latin typeface="+mn-lt"/>
            <a:ea typeface="+mn-ea"/>
            <a:cs typeface="+mn-cs"/>
          </a:endParaRPr>
        </a:p>
      </xdr:txBody>
    </xdr:sp>
    <xdr:clientData/>
  </xdr:twoCellAnchor>
  <xdr:twoCellAnchor editAs="absolute">
    <xdr:from>
      <xdr:col>4</xdr:col>
      <xdr:colOff>327486</xdr:colOff>
      <xdr:row>0</xdr:row>
      <xdr:rowOff>68580</xdr:rowOff>
    </xdr:from>
    <xdr:to>
      <xdr:col>5</xdr:col>
      <xdr:colOff>338907</xdr:colOff>
      <xdr:row>0</xdr:row>
      <xdr:rowOff>340995</xdr:rowOff>
    </xdr:to>
    <xdr:sp macro="" textlink="Titles!B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3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BD78D32-E0FA-4B1A-9298-8952311446EC}" type="TxLink">
            <a:rPr lang="en-US" sz="1000" b="1"/>
            <a:pPr algn="ctr"/>
            <a:t>Budgets</a:t>
          </a:fld>
          <a:endParaRPr lang="en-US" sz="1000" b="1"/>
        </a:p>
      </xdr:txBody>
    </xdr:sp>
    <xdr:clientData/>
  </xdr:twoCellAnchor>
  <xdr:twoCellAnchor editAs="absolute">
    <xdr:from>
      <xdr:col>5</xdr:col>
      <xdr:colOff>350347</xdr:colOff>
      <xdr:row>0</xdr:row>
      <xdr:rowOff>68580</xdr:rowOff>
    </xdr:from>
    <xdr:to>
      <xdr:col>6</xdr:col>
      <xdr:colOff>158011</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3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56CCD9A-6F96-4562-810C-641B72AC6BCC}" type="TxLink">
            <a:rPr lang="en-US" sz="1000" b="1"/>
            <a:pPr algn="ctr"/>
            <a:t>Savings &amp; Participants</a:t>
          </a:fld>
          <a:endParaRPr lang="en-US" sz="1000" b="1"/>
        </a:p>
      </xdr:txBody>
    </xdr:sp>
    <xdr:clientData/>
  </xdr:twoCellAnchor>
  <xdr:twoCellAnchor editAs="absolute">
    <xdr:from>
      <xdr:col>6</xdr:col>
      <xdr:colOff>175087</xdr:colOff>
      <xdr:row>0</xdr:row>
      <xdr:rowOff>68580</xdr:rowOff>
    </xdr:from>
    <xdr:to>
      <xdr:col>6</xdr:col>
      <xdr:colOff>1633979</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3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D3E0DAC-08ED-463D-86E8-A85339CE52C3}" type="TxLink">
            <a:rPr lang="en-US" sz="1000" b="1"/>
            <a:pPr algn="ctr"/>
            <a:t>Training</a:t>
          </a:fld>
          <a:endParaRPr lang="en-US" sz="1000" b="1"/>
        </a:p>
      </xdr:txBody>
    </xdr:sp>
    <xdr:clientData/>
  </xdr:twoCellAnchor>
  <xdr:twoCellAnchor editAs="absolute">
    <xdr:from>
      <xdr:col>6</xdr:col>
      <xdr:colOff>1645746</xdr:colOff>
      <xdr:row>0</xdr:row>
      <xdr:rowOff>68580</xdr:rowOff>
    </xdr:from>
    <xdr:to>
      <xdr:col>8</xdr:col>
      <xdr:colOff>643811</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3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BC08E5AE-CBD3-4B8B-B7BB-C2257C0381FA}"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841953</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3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xdr:from>
      <xdr:col>1</xdr:col>
      <xdr:colOff>85725</xdr:colOff>
      <xdr:row>1</xdr:row>
      <xdr:rowOff>447675</xdr:rowOff>
    </xdr:from>
    <xdr:to>
      <xdr:col>8</xdr:col>
      <xdr:colOff>578949</xdr:colOff>
      <xdr:row>1</xdr:row>
      <xdr:rowOff>1160319</xdr:rowOff>
    </xdr:to>
    <xdr:sp macro="" textlink="">
      <xdr:nvSpPr>
        <xdr:cNvPr id="10" name="Rounded Rectangle 6">
          <a:extLst>
            <a:ext uri="{FF2B5EF4-FFF2-40B4-BE49-F238E27FC236}">
              <a16:creationId xmlns:a16="http://schemas.microsoft.com/office/drawing/2014/main" id="{00000000-0008-0000-0300-00000A000000}"/>
            </a:ext>
          </a:extLst>
        </xdr:cNvPr>
        <xdr:cNvSpPr>
          <a:spLocks noChangeArrowheads="1"/>
        </xdr:cNvSpPr>
      </xdr:nvSpPr>
      <xdr:spPr bwMode="auto">
        <a:xfrm>
          <a:off x="154998" y="811357"/>
          <a:ext cx="8719360" cy="712644"/>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following details  for each program: Program Name, Target Sector, Program Type, and Delivery Channel . Provide additional detail for each program by clicking on the "Program Detail" button.  </a:t>
          </a:r>
        </a:p>
        <a:p>
          <a:pPr algn="l" rtl="0">
            <a:defRPr sz="1000"/>
          </a:pPr>
          <a:endParaRPr lang="en-US" sz="900" b="0" i="0" u="none" strike="noStrike" baseline="0">
            <a:solidFill>
              <a:srgbClr val="000000"/>
            </a:solidFill>
            <a:latin typeface="Calibri"/>
            <a:cs typeface="Calibri"/>
          </a:endParaRPr>
        </a:p>
        <a:p>
          <a:pPr algn="l" rtl="0">
            <a:defRPr sz="1000"/>
          </a:pPr>
          <a:r>
            <a:rPr lang="en-US" sz="900" b="0" i="0" u="none" strike="noStrike" baseline="0">
              <a:solidFill>
                <a:srgbClr val="000000"/>
              </a:solidFill>
              <a:latin typeface="Calibri"/>
              <a:cs typeface="Calibri"/>
            </a:rPr>
            <a:t>Note: Target sector , Program Type, and Delivery Channel are dropdown options.  </a:t>
          </a:r>
          <a:r>
            <a:rPr lang="en-US" sz="900" b="0" i="0" u="sng" strike="noStrike" baseline="0">
              <a:solidFill>
                <a:srgbClr val="000000"/>
              </a:solidFill>
              <a:latin typeface="Calibri"/>
              <a:cs typeface="Calibri"/>
            </a:rPr>
            <a:t>DO NOT</a:t>
          </a:r>
          <a:r>
            <a:rPr lang="en-US" sz="900" b="0" i="0" u="none" strike="noStrike" baseline="0">
              <a:solidFill>
                <a:srgbClr val="000000"/>
              </a:solidFill>
              <a:latin typeface="Calibri"/>
              <a:cs typeface="Calibri"/>
            </a:rPr>
            <a:t> use the copy&amp;paste function for dropdown opitions.</a:t>
          </a:r>
          <a:endParaRPr lang="en-US" sz="900"/>
        </a:p>
      </xdr:txBody>
    </xdr:sp>
    <xdr:clientData/>
  </xdr:twoCellAnchor>
  <xdr:twoCellAnchor editAs="absolute">
    <xdr:from>
      <xdr:col>3</xdr:col>
      <xdr:colOff>1213311</xdr:colOff>
      <xdr:row>0</xdr:row>
      <xdr:rowOff>299155</xdr:rowOff>
    </xdr:from>
    <xdr:to>
      <xdr:col>6</xdr:col>
      <xdr:colOff>1660988</xdr:colOff>
      <xdr:row>1</xdr:row>
      <xdr:rowOff>281723</xdr:rowOff>
    </xdr:to>
    <xdr:sp macro="" textlink="Titles!F5">
      <xdr:nvSpPr>
        <xdr:cNvPr id="11" name="TextBox 10">
          <a:extLst>
            <a:ext uri="{FF2B5EF4-FFF2-40B4-BE49-F238E27FC236}">
              <a16:creationId xmlns:a16="http://schemas.microsoft.com/office/drawing/2014/main" id="{00000000-0008-0000-0300-00000B000000}"/>
            </a:ext>
          </a:extLst>
        </xdr:cNvPr>
        <xdr:cNvSpPr txBox="1"/>
      </xdr:nvSpPr>
      <xdr:spPr>
        <a:xfrm>
          <a:off x="1552747" y="299155"/>
          <a:ext cx="610033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D84186B-73E1-42D7-B4EC-65B2D7A30F07}" type="TxLink">
            <a:rPr lang="en-US" sz="1600" b="1" i="1" u="none"/>
            <a:pPr algn="ctr"/>
            <a:t>BHEA - 2024 EE Portfolio Information</a:t>
          </a:fld>
          <a:endParaRPr lang="en-US" sz="1600" b="1" i="1" u="none"/>
        </a:p>
      </xdr:txBody>
    </xdr:sp>
    <xdr:clientData/>
  </xdr:twoCellAnchor>
  <xdr:twoCellAnchor editAs="absolute">
    <xdr:from>
      <xdr:col>3</xdr:col>
      <xdr:colOff>1904826</xdr:colOff>
      <xdr:row>1</xdr:row>
      <xdr:rowOff>146685</xdr:rowOff>
    </xdr:from>
    <xdr:to>
      <xdr:col>6</xdr:col>
      <xdr:colOff>961861</xdr:colOff>
      <xdr:row>1</xdr:row>
      <xdr:rowOff>426890</xdr:rowOff>
    </xdr:to>
    <xdr:sp macro="" textlink="Titles!B3">
      <xdr:nvSpPr>
        <xdr:cNvPr id="12" name="TextBox 11">
          <a:extLst>
            <a:ext uri="{FF2B5EF4-FFF2-40B4-BE49-F238E27FC236}">
              <a16:creationId xmlns:a16="http://schemas.microsoft.com/office/drawing/2014/main" id="{00000000-0008-0000-0300-00000C000000}"/>
            </a:ext>
          </a:extLst>
        </xdr:cNvPr>
        <xdr:cNvSpPr txBox="1"/>
      </xdr:nvSpPr>
      <xdr:spPr>
        <a:xfrm>
          <a:off x="2244262" y="513830"/>
          <a:ext cx="45572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F2FE8A1-4FE3-431E-8979-A0C289ABF463}" type="TxLink">
            <a:rPr lang="en-US" sz="1200" b="0"/>
            <a:pPr algn="ctr"/>
            <a:t>Program Descriptions</a:t>
          </a:fld>
          <a:endParaRPr lang="en-US" sz="1200" b="0"/>
        </a:p>
      </xdr:txBody>
    </xdr:sp>
    <xdr:clientData/>
  </xdr:twoCellAnchor>
  <xdr:twoCellAnchor editAs="absolute">
    <xdr:from>
      <xdr:col>6</xdr:col>
      <xdr:colOff>1714327</xdr:colOff>
      <xdr:row>1</xdr:row>
      <xdr:rowOff>99060</xdr:rowOff>
    </xdr:from>
    <xdr:to>
      <xdr:col>7</xdr:col>
      <xdr:colOff>367279</xdr:colOff>
      <xdr:row>1</xdr:row>
      <xdr:rowOff>314325</xdr:rowOff>
    </xdr:to>
    <xdr:sp macro="" textlink="">
      <xdr:nvSpPr>
        <xdr:cNvPr id="13" name="Rounded Rectangle 12">
          <a:hlinkClick xmlns:r="http://schemas.openxmlformats.org/officeDocument/2006/relationships" r:id="rId1" tooltip="Click"/>
          <a:extLst>
            <a:ext uri="{FF2B5EF4-FFF2-40B4-BE49-F238E27FC236}">
              <a16:creationId xmlns:a16="http://schemas.microsoft.com/office/drawing/2014/main" id="{00000000-0008-0000-03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7</xdr:col>
      <xdr:colOff>417022</xdr:colOff>
      <xdr:row>1</xdr:row>
      <xdr:rowOff>99060</xdr:rowOff>
    </xdr:from>
    <xdr:to>
      <xdr:col>8</xdr:col>
      <xdr:colOff>571439</xdr:colOff>
      <xdr:row>1</xdr:row>
      <xdr:rowOff>314325</xdr:rowOff>
    </xdr:to>
    <xdr:sp macro="" textlink="">
      <xdr:nvSpPr>
        <xdr:cNvPr id="14" name="Rounded Rectangle 13">
          <a:hlinkClick xmlns:r="http://schemas.openxmlformats.org/officeDocument/2006/relationships" r:id="rId2" tooltip="Click"/>
          <a:extLst>
            <a:ext uri="{FF2B5EF4-FFF2-40B4-BE49-F238E27FC236}">
              <a16:creationId xmlns:a16="http://schemas.microsoft.com/office/drawing/2014/main" id="{00000000-0008-0000-03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1324976</xdr:colOff>
      <xdr:row>2</xdr:row>
      <xdr:rowOff>0</xdr:rowOff>
    </xdr:from>
    <xdr:to>
      <xdr:col>8</xdr:col>
      <xdr:colOff>387753</xdr:colOff>
      <xdr:row>3</xdr:row>
      <xdr:rowOff>58363</xdr:rowOff>
    </xdr:to>
    <xdr:sp macro="" textlink="">
      <xdr:nvSpPr>
        <xdr:cNvPr id="16" name="Rounded Rectangle 15">
          <a:hlinkClick xmlns:r="http://schemas.openxmlformats.org/officeDocument/2006/relationships" r:id="rId7" tooltip="Click"/>
          <a:extLst>
            <a:ext uri="{FF2B5EF4-FFF2-40B4-BE49-F238E27FC236}">
              <a16:creationId xmlns:a16="http://schemas.microsoft.com/office/drawing/2014/main" id="{00000000-0008-0000-0300-000010000000}"/>
            </a:ext>
          </a:extLst>
        </xdr:cNvPr>
        <xdr:cNvSpPr/>
      </xdr:nvSpPr>
      <xdr:spPr>
        <a:xfrm>
          <a:off x="7152544" y="1705841"/>
          <a:ext cx="1532523" cy="21907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Program</a:t>
          </a:r>
          <a:r>
            <a:rPr lang="en-US" sz="1000" b="1" baseline="0">
              <a:solidFill>
                <a:sysClr val="windowText" lastClr="000000"/>
              </a:solidFill>
            </a:rPr>
            <a:t> Detail</a:t>
          </a:r>
          <a:endParaRPr lang="en-US" sz="1000" b="1">
            <a:solidFill>
              <a:sysClr val="windowText" lastClr="000000"/>
            </a:solidFill>
          </a:endParaRPr>
        </a:p>
      </xdr:txBody>
    </xdr:sp>
    <xdr:clientData/>
  </xdr:twoCellAnchor>
  <xdr:twoCellAnchor editAs="oneCell">
    <xdr:from>
      <xdr:col>5</xdr:col>
      <xdr:colOff>181841</xdr:colOff>
      <xdr:row>2</xdr:row>
      <xdr:rowOff>0</xdr:rowOff>
    </xdr:from>
    <xdr:to>
      <xdr:col>5</xdr:col>
      <xdr:colOff>1032856</xdr:colOff>
      <xdr:row>3</xdr:row>
      <xdr:rowOff>4156</xdr:rowOff>
    </xdr:to>
    <xdr:sp macro="" textlink="">
      <xdr:nvSpPr>
        <xdr:cNvPr id="18" name="Rounded Rectangle 17">
          <a:hlinkClick xmlns:r="http://schemas.openxmlformats.org/officeDocument/2006/relationships" r:id="rId8" tooltip="Click"/>
          <a:extLst>
            <a:ext uri="{FF2B5EF4-FFF2-40B4-BE49-F238E27FC236}">
              <a16:creationId xmlns:a16="http://schemas.microsoft.com/office/drawing/2014/main" id="{00000000-0008-0000-0300-000012000000}"/>
            </a:ext>
          </a:extLst>
        </xdr:cNvPr>
        <xdr:cNvSpPr/>
      </xdr:nvSpPr>
      <xdr:spPr>
        <a:xfrm>
          <a:off x="4355523" y="1480705"/>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40.xml><?xml version="1.0" encoding="utf-8"?>
<xdr:wsDr xmlns:xdr="http://schemas.openxmlformats.org/drawingml/2006/spreadsheetDrawing" xmlns:a="http://schemas.openxmlformats.org/drawingml/2006/main">
  <xdr:twoCellAnchor editAs="absolute">
    <xdr:from>
      <xdr:col>1</xdr:col>
      <xdr:colOff>76200</xdr:colOff>
      <xdr:row>1</xdr:row>
      <xdr:rowOff>96052</xdr:rowOff>
    </xdr:from>
    <xdr:to>
      <xdr:col>1</xdr:col>
      <xdr:colOff>1063076</xdr:colOff>
      <xdr:row>1</xdr:row>
      <xdr:rowOff>324652</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A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2390775</xdr:colOff>
      <xdr:row>21</xdr:row>
      <xdr:rowOff>19050</xdr:rowOff>
    </xdr:from>
    <xdr:to>
      <xdr:col>12</xdr:col>
      <xdr:colOff>0</xdr:colOff>
      <xdr:row>39</xdr:row>
      <xdr:rowOff>0</xdr:rowOff>
    </xdr:to>
    <xdr:graphicFrame macro="">
      <xdr:nvGraphicFramePr>
        <xdr:cNvPr id="301878" name="Chart 1">
          <a:extLst>
            <a:ext uri="{FF2B5EF4-FFF2-40B4-BE49-F238E27FC236}">
              <a16:creationId xmlns:a16="http://schemas.microsoft.com/office/drawing/2014/main" id="{00000000-0008-0000-2A00-0000369B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95250</xdr:colOff>
      <xdr:row>1</xdr:row>
      <xdr:rowOff>133350</xdr:rowOff>
    </xdr:from>
    <xdr:to>
      <xdr:col>11</xdr:col>
      <xdr:colOff>347483</xdr:colOff>
      <xdr:row>1</xdr:row>
      <xdr:rowOff>365760</xdr:rowOff>
    </xdr:to>
    <xdr:sp macro="" textlink="">
      <xdr:nvSpPr>
        <xdr:cNvPr id="7" name="Rounded Rectangle 6">
          <a:hlinkClick xmlns:r="http://schemas.openxmlformats.org/officeDocument/2006/relationships" r:id="rId3" tooltip="Click"/>
          <a:extLst>
            <a:ext uri="{FF2B5EF4-FFF2-40B4-BE49-F238E27FC236}">
              <a16:creationId xmlns:a16="http://schemas.microsoft.com/office/drawing/2014/main" id="{00000000-0008-0000-2A00-000007000000}"/>
            </a:ext>
          </a:extLst>
        </xdr:cNvPr>
        <xdr:cNvSpPr/>
      </xdr:nvSpPr>
      <xdr:spPr>
        <a:xfrm>
          <a:off x="7953375" y="190500"/>
          <a:ext cx="64466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9</xdr:col>
      <xdr:colOff>0</xdr:colOff>
      <xdr:row>1</xdr:row>
      <xdr:rowOff>133350</xdr:rowOff>
    </xdr:from>
    <xdr:to>
      <xdr:col>9</xdr:col>
      <xdr:colOff>645683</xdr:colOff>
      <xdr:row>1</xdr:row>
      <xdr:rowOff>365760</xdr:rowOff>
    </xdr:to>
    <xdr:sp macro="" textlink="">
      <xdr:nvSpPr>
        <xdr:cNvPr id="8" name="Rounded Rectangle 7">
          <a:hlinkClick xmlns:r="http://schemas.openxmlformats.org/officeDocument/2006/relationships" r:id="rId4" tooltip="Click"/>
          <a:extLst>
            <a:ext uri="{FF2B5EF4-FFF2-40B4-BE49-F238E27FC236}">
              <a16:creationId xmlns:a16="http://schemas.microsoft.com/office/drawing/2014/main" id="{00000000-0008-0000-2A00-000008000000}"/>
            </a:ext>
          </a:extLst>
        </xdr:cNvPr>
        <xdr:cNvSpPr/>
      </xdr:nvSpPr>
      <xdr:spPr>
        <a:xfrm>
          <a:off x="7162800"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1.xml><?xml version="1.0" encoding="utf-8"?>
<xdr:wsDr xmlns:xdr="http://schemas.openxmlformats.org/drawingml/2006/spreadsheetDrawing" xmlns:a="http://schemas.openxmlformats.org/drawingml/2006/main">
  <xdr:twoCellAnchor editAs="absolute">
    <xdr:from>
      <xdr:col>1</xdr:col>
      <xdr:colOff>95250</xdr:colOff>
      <xdr:row>1</xdr:row>
      <xdr:rowOff>123825</xdr:rowOff>
    </xdr:from>
    <xdr:to>
      <xdr:col>3</xdr:col>
      <xdr:colOff>251546</xdr:colOff>
      <xdr:row>1</xdr:row>
      <xdr:rowOff>352425</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2B00-000002000000}"/>
            </a:ext>
          </a:extLst>
        </xdr:cNvPr>
        <xdr:cNvSpPr/>
      </xdr:nvSpPr>
      <xdr:spPr>
        <a:xfrm>
          <a:off x="190500" y="180975"/>
          <a:ext cx="984971"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13</xdr:col>
      <xdr:colOff>43295</xdr:colOff>
      <xdr:row>1</xdr:row>
      <xdr:rowOff>129886</xdr:rowOff>
    </xdr:from>
    <xdr:to>
      <xdr:col>13</xdr:col>
      <xdr:colOff>688978</xdr:colOff>
      <xdr:row>1</xdr:row>
      <xdr:rowOff>358486</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B00-000005000000}"/>
            </a:ext>
          </a:extLst>
        </xdr:cNvPr>
        <xdr:cNvSpPr/>
      </xdr:nvSpPr>
      <xdr:spPr>
        <a:xfrm>
          <a:off x="8156863"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2.xml><?xml version="1.0" encoding="utf-8"?>
<xdr:wsDr xmlns:xdr="http://schemas.openxmlformats.org/drawingml/2006/spreadsheetDrawing" xmlns:a="http://schemas.openxmlformats.org/drawingml/2006/main">
  <xdr:twoCellAnchor editAs="absolute">
    <xdr:from>
      <xdr:col>1</xdr:col>
      <xdr:colOff>76200</xdr:colOff>
      <xdr:row>1</xdr:row>
      <xdr:rowOff>88900</xdr:rowOff>
    </xdr:from>
    <xdr:to>
      <xdr:col>1</xdr:col>
      <xdr:colOff>1070377</xdr:colOff>
      <xdr:row>1</xdr:row>
      <xdr:rowOff>317500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C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absolute">
    <xdr:from>
      <xdr:col>1</xdr:col>
      <xdr:colOff>103909</xdr:colOff>
      <xdr:row>1</xdr:row>
      <xdr:rowOff>121228</xdr:rowOff>
    </xdr:from>
    <xdr:to>
      <xdr:col>3</xdr:col>
      <xdr:colOff>408160</xdr:colOff>
      <xdr:row>1</xdr:row>
      <xdr:rowOff>349828</xdr:rowOff>
    </xdr:to>
    <xdr:sp macro="" textlink="">
      <xdr:nvSpPr>
        <xdr:cNvPr id="7" name="Rounded Rectangle 6">
          <a:hlinkClick xmlns:r="http://schemas.openxmlformats.org/officeDocument/2006/relationships" r:id="rId1" tooltip="Click"/>
          <a:extLst>
            <a:ext uri="{FF2B5EF4-FFF2-40B4-BE49-F238E27FC236}">
              <a16:creationId xmlns:a16="http://schemas.microsoft.com/office/drawing/2014/main" id="{00000000-0008-0000-2F00-000007000000}"/>
            </a:ext>
          </a:extLst>
        </xdr:cNvPr>
        <xdr:cNvSpPr/>
      </xdr:nvSpPr>
      <xdr:spPr>
        <a:xfrm>
          <a:off x="216477" y="233796"/>
          <a:ext cx="10056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absolute">
    <xdr:from>
      <xdr:col>1</xdr:col>
      <xdr:colOff>34638</xdr:colOff>
      <xdr:row>2</xdr:row>
      <xdr:rowOff>25977</xdr:rowOff>
    </xdr:from>
    <xdr:to>
      <xdr:col>7</xdr:col>
      <xdr:colOff>190501</xdr:colOff>
      <xdr:row>2</xdr:row>
      <xdr:rowOff>675409</xdr:rowOff>
    </xdr:to>
    <xdr:sp macro="" textlink="">
      <xdr:nvSpPr>
        <xdr:cNvPr id="10" name="Rounded Rectangle 6">
          <a:extLst>
            <a:ext uri="{FF2B5EF4-FFF2-40B4-BE49-F238E27FC236}">
              <a16:creationId xmlns:a16="http://schemas.microsoft.com/office/drawing/2014/main" id="{00000000-0008-0000-2F00-00000A000000}"/>
            </a:ext>
          </a:extLst>
        </xdr:cNvPr>
        <xdr:cNvSpPr>
          <a:spLocks noChangeArrowheads="1"/>
        </xdr:cNvSpPr>
      </xdr:nvSpPr>
      <xdr:spPr bwMode="auto">
        <a:xfrm>
          <a:off x="147206" y="606136"/>
          <a:ext cx="4572000" cy="64943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The red "x" indicates that a requried field in that section is incomplete.  Click on the status indicator to go to that section of the workbook.</a:t>
          </a: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2</xdr:col>
      <xdr:colOff>775260</xdr:colOff>
      <xdr:row>1</xdr:row>
      <xdr:rowOff>321469</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4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2</xdr:col>
      <xdr:colOff>0</xdr:colOff>
      <xdr:row>5</xdr:row>
      <xdr:rowOff>273843</xdr:rowOff>
    </xdr:from>
    <xdr:to>
      <xdr:col>3</xdr:col>
      <xdr:colOff>0</xdr:colOff>
      <xdr:row>5</xdr:row>
      <xdr:rowOff>579903</xdr:rowOff>
    </xdr:to>
    <xdr:sp macro="" textlink="">
      <xdr:nvSpPr>
        <xdr:cNvPr id="6" name="Rounded Rectangle 5">
          <a:hlinkClick xmlns:r="http://schemas.openxmlformats.org/officeDocument/2006/relationships" r:id="rId2" tooltip="Click"/>
          <a:extLst>
            <a:ext uri="{FF2B5EF4-FFF2-40B4-BE49-F238E27FC236}">
              <a16:creationId xmlns:a16="http://schemas.microsoft.com/office/drawing/2014/main" id="{00000000-0008-0000-0400-000006000000}"/>
            </a:ext>
          </a:extLst>
        </xdr:cNvPr>
        <xdr:cNvSpPr/>
      </xdr:nvSpPr>
      <xdr:spPr>
        <a:xfrm>
          <a:off x="381000" y="1726406"/>
          <a:ext cx="2631281" cy="30606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Residential</a:t>
          </a:r>
        </a:p>
      </xdr:txBody>
    </xdr:sp>
    <xdr:clientData/>
  </xdr:twoCellAnchor>
  <xdr:twoCellAnchor>
    <xdr:from>
      <xdr:col>2</xdr:col>
      <xdr:colOff>1</xdr:colOff>
      <xdr:row>5</xdr:row>
      <xdr:rowOff>750093</xdr:rowOff>
    </xdr:from>
    <xdr:to>
      <xdr:col>3</xdr:col>
      <xdr:colOff>0</xdr:colOff>
      <xdr:row>5</xdr:row>
      <xdr:rowOff>1045088</xdr:rowOff>
    </xdr:to>
    <xdr:sp macro="" textlink="">
      <xdr:nvSpPr>
        <xdr:cNvPr id="8" name="Rounded Rectangle 7">
          <a:hlinkClick xmlns:r="http://schemas.openxmlformats.org/officeDocument/2006/relationships" r:id="rId3" tooltip="Click"/>
          <a:extLst>
            <a:ext uri="{FF2B5EF4-FFF2-40B4-BE49-F238E27FC236}">
              <a16:creationId xmlns:a16="http://schemas.microsoft.com/office/drawing/2014/main" id="{00000000-0008-0000-0400-000008000000}"/>
            </a:ext>
          </a:extLst>
        </xdr:cNvPr>
        <xdr:cNvSpPr/>
      </xdr:nvSpPr>
      <xdr:spPr>
        <a:xfrm>
          <a:off x="381001" y="2202656"/>
          <a:ext cx="2631280" cy="29499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C&amp;I</a:t>
          </a:r>
        </a:p>
      </xdr:txBody>
    </xdr:sp>
    <xdr:clientData/>
  </xdr:twoCellAnchor>
  <xdr:twoCellAnchor>
    <xdr:from>
      <xdr:col>1</xdr:col>
      <xdr:colOff>309561</xdr:colOff>
      <xdr:row>5</xdr:row>
      <xdr:rowOff>1226343</xdr:rowOff>
    </xdr:from>
    <xdr:to>
      <xdr:col>3</xdr:col>
      <xdr:colOff>0</xdr:colOff>
      <xdr:row>5</xdr:row>
      <xdr:rowOff>1538662</xdr:rowOff>
    </xdr:to>
    <xdr:sp macro="" textlink="">
      <xdr:nvSpPr>
        <xdr:cNvPr id="10" name="Rounded Rectangle 9">
          <a:hlinkClick xmlns:r="http://schemas.openxmlformats.org/officeDocument/2006/relationships" r:id="rId4" tooltip="Click"/>
          <a:extLst>
            <a:ext uri="{FF2B5EF4-FFF2-40B4-BE49-F238E27FC236}">
              <a16:creationId xmlns:a16="http://schemas.microsoft.com/office/drawing/2014/main" id="{00000000-0008-0000-0400-00000A000000}"/>
            </a:ext>
          </a:extLst>
        </xdr:cNvPr>
        <xdr:cNvSpPr/>
      </xdr:nvSpPr>
      <xdr:spPr>
        <a:xfrm>
          <a:off x="380999" y="2678906"/>
          <a:ext cx="2762251" cy="3123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Cross</a:t>
          </a:r>
          <a:r>
            <a:rPr lang="en-US" sz="1000" b="1" baseline="0">
              <a:solidFill>
                <a:sysClr val="windowText" lastClr="000000"/>
              </a:solidFill>
            </a:rPr>
            <a:t> Sector</a:t>
          </a:r>
          <a:endParaRPr lang="en-US" sz="1000" b="1">
            <a:solidFill>
              <a:sysClr val="windowText" lastClr="000000"/>
            </a:solidFill>
          </a:endParaRPr>
        </a:p>
      </xdr:txBody>
    </xdr:sp>
    <xdr:clientData/>
  </xdr:twoCellAnchor>
  <xdr:twoCellAnchor>
    <xdr:from>
      <xdr:col>1</xdr:col>
      <xdr:colOff>309561</xdr:colOff>
      <xdr:row>2</xdr:row>
      <xdr:rowOff>0</xdr:rowOff>
    </xdr:from>
    <xdr:to>
      <xdr:col>51</xdr:col>
      <xdr:colOff>297655</xdr:colOff>
      <xdr:row>3</xdr:row>
      <xdr:rowOff>0</xdr:rowOff>
    </xdr:to>
    <xdr:sp macro="" textlink="">
      <xdr:nvSpPr>
        <xdr:cNvPr id="11" name="Rounded Rectangle 6">
          <a:extLst>
            <a:ext uri="{FF2B5EF4-FFF2-40B4-BE49-F238E27FC236}">
              <a16:creationId xmlns:a16="http://schemas.microsoft.com/office/drawing/2014/main" id="{00000000-0008-0000-0400-00000B000000}"/>
            </a:ext>
          </a:extLst>
        </xdr:cNvPr>
        <xdr:cNvSpPr>
          <a:spLocks noChangeArrowheads="1"/>
        </xdr:cNvSpPr>
      </xdr:nvSpPr>
      <xdr:spPr bwMode="auto">
        <a:xfrm>
          <a:off x="380999" y="547688"/>
          <a:ext cx="16990219" cy="58340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400" b="1" i="0" u="none" strike="noStrike" baseline="0">
              <a:solidFill>
                <a:srgbClr val="000000"/>
              </a:solidFill>
              <a:latin typeface="Calibri"/>
              <a:cs typeface="Calibri"/>
            </a:rPr>
            <a:t>Instructions:  </a:t>
          </a:r>
          <a:r>
            <a:rPr lang="en-US" sz="1100" b="0" i="0" u="none" strike="noStrike" baseline="0">
              <a:solidFill>
                <a:srgbClr val="000000"/>
              </a:solidFill>
              <a:latin typeface="Calibri"/>
              <a:cs typeface="Calibri"/>
            </a:rPr>
            <a:t>Indicate with an 'X' all that apply. </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15240</xdr:colOff>
      <xdr:row>1</xdr:row>
      <xdr:rowOff>0</xdr:rowOff>
    </xdr:from>
    <xdr:to>
      <xdr:col>11</xdr:col>
      <xdr:colOff>0</xdr:colOff>
      <xdr:row>1</xdr:row>
      <xdr:rowOff>398145</xdr:rowOff>
    </xdr:to>
    <xdr:sp macro="" textlink="">
      <xdr:nvSpPr>
        <xdr:cNvPr id="1466550" name="Rectangle 365">
          <a:extLst>
            <a:ext uri="{FF2B5EF4-FFF2-40B4-BE49-F238E27FC236}">
              <a16:creationId xmlns:a16="http://schemas.microsoft.com/office/drawing/2014/main" id="{00000000-0008-0000-0500-0000B66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15240</xdr:colOff>
      <xdr:row>0</xdr:row>
      <xdr:rowOff>60959</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5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A90511E-5B8C-47D3-8397-5241F59F86E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1240155</xdr:colOff>
      <xdr:row>0</xdr:row>
      <xdr:rowOff>55245</xdr:rowOff>
    </xdr:from>
    <xdr:to>
      <xdr:col>3</xdr:col>
      <xdr:colOff>320123</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5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230275D-AC77-47F3-A3DC-CC2DB247C11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55245</xdr:rowOff>
    </xdr:from>
    <xdr:to>
      <xdr:col>5</xdr:col>
      <xdr:colOff>34297</xdr:colOff>
      <xdr:row>0</xdr:row>
      <xdr:rowOff>340995</xdr:rowOff>
    </xdr:to>
    <xdr:sp macro="" textlink="Titles!B4">
      <xdr:nvSpPr>
        <xdr:cNvPr id="5" name="Round Same Side Corner Rectangle 4">
          <a:extLst>
            <a:ext uri="{FF2B5EF4-FFF2-40B4-BE49-F238E27FC236}">
              <a16:creationId xmlns:a16="http://schemas.microsoft.com/office/drawing/2014/main" id="{00000000-0008-0000-0500-000005000000}"/>
            </a:ext>
          </a:extLst>
        </xdr:cNvPr>
        <xdr:cNvSpPr/>
      </xdr:nvSpPr>
      <xdr:spPr>
        <a:xfrm>
          <a:off x="30384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E390768-C45C-4D24-A11F-8EA908B22F8C}" type="TxLink">
            <a:rPr lang="en-US" sz="1000" b="1">
              <a:solidFill>
                <a:sysClr val="windowText" lastClr="000000"/>
              </a:solidFill>
              <a:latin typeface="+mn-lt"/>
              <a:ea typeface="+mn-ea"/>
              <a:cs typeface="+mn-cs"/>
            </a:rPr>
            <a:pPr marL="0" indent="0" algn="ctr"/>
            <a:t>Budgets</a:t>
          </a:fld>
          <a:endParaRPr lang="en-US" sz="1000" b="1">
            <a:solidFill>
              <a:sysClr val="windowText" lastClr="000000"/>
            </a:solidFill>
            <a:latin typeface="+mn-lt"/>
            <a:ea typeface="+mn-ea"/>
            <a:cs typeface="+mn-cs"/>
          </a:endParaRPr>
        </a:p>
      </xdr:txBody>
    </xdr:sp>
    <xdr:clientData/>
  </xdr:twoCellAnchor>
  <xdr:twoCellAnchor editAs="absolute">
    <xdr:from>
      <xdr:col>5</xdr:col>
      <xdr:colOff>57150</xdr:colOff>
      <xdr:row>0</xdr:row>
      <xdr:rowOff>55245</xdr:rowOff>
    </xdr:from>
    <xdr:to>
      <xdr:col>6</xdr:col>
      <xdr:colOff>630512</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5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F941656D-E333-4C96-B639-99F951C076E9}" type="TxLink">
            <a:rPr lang="en-US" sz="1000" b="1"/>
            <a:pPr algn="ctr"/>
            <a:t>Savings &amp; Participants</a:t>
          </a:fld>
          <a:endParaRPr lang="en-US" sz="1000" b="1"/>
        </a:p>
      </xdr:txBody>
    </xdr:sp>
    <xdr:clientData/>
  </xdr:twoCellAnchor>
  <xdr:twoCellAnchor editAs="absolute">
    <xdr:from>
      <xdr:col>6</xdr:col>
      <xdr:colOff>666750</xdr:colOff>
      <xdr:row>0</xdr:row>
      <xdr:rowOff>55245</xdr:rowOff>
    </xdr:from>
    <xdr:to>
      <xdr:col>8</xdr:col>
      <xdr:colOff>327636</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5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CAB0A58-29B8-4B5E-93A2-1120CDB47079}" type="TxLink">
            <a:rPr lang="en-US" sz="1000" b="1"/>
            <a:pPr algn="ctr"/>
            <a:t>Training</a:t>
          </a:fld>
          <a:endParaRPr lang="en-US" sz="1000" b="1"/>
        </a:p>
      </xdr:txBody>
    </xdr:sp>
    <xdr:clientData/>
  </xdr:twoCellAnchor>
  <xdr:twoCellAnchor editAs="absolute">
    <xdr:from>
      <xdr:col>8</xdr:col>
      <xdr:colOff>365759</xdr:colOff>
      <xdr:row>0</xdr:row>
      <xdr:rowOff>55245</xdr:rowOff>
    </xdr:from>
    <xdr:to>
      <xdr:col>10</xdr:col>
      <xdr:colOff>514286</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5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81E34EF-CFD5-47A3-B860-06C1477A725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853557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5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91440</xdr:colOff>
      <xdr:row>1</xdr:row>
      <xdr:rowOff>441958</xdr:rowOff>
    </xdr:from>
    <xdr:to>
      <xdr:col>10</xdr:col>
      <xdr:colOff>474332</xdr:colOff>
      <xdr:row>1</xdr:row>
      <xdr:rowOff>932410</xdr:rowOff>
    </xdr:to>
    <xdr:sp macro="" textlink="">
      <xdr:nvSpPr>
        <xdr:cNvPr id="10" name="Rounded Rectangle 6">
          <a:extLst>
            <a:ext uri="{FF2B5EF4-FFF2-40B4-BE49-F238E27FC236}">
              <a16:creationId xmlns:a16="http://schemas.microsoft.com/office/drawing/2014/main" id="{00000000-0008-0000-0500-00000A000000}"/>
            </a:ext>
          </a:extLst>
        </xdr:cNvPr>
        <xdr:cNvSpPr>
          <a:spLocks noChangeArrowheads="1"/>
        </xdr:cNvSpPr>
      </xdr:nvSpPr>
      <xdr:spPr bwMode="auto">
        <a:xfrm>
          <a:off x="154998" y="811355"/>
          <a:ext cx="8709993" cy="49616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Revised Budget amount for each cost category, including Regulatory at bottom.  Provide the budget reconciliation by clicking on the "Budget Reconciliation" button.  Report only programs that incurred a cost in the reporting year.</a:t>
          </a:r>
          <a:endParaRPr lang="en-US" sz="900"/>
        </a:p>
      </xdr:txBody>
    </xdr:sp>
    <xdr:clientData/>
  </xdr:twoCellAnchor>
  <xdr:twoCellAnchor editAs="absolute">
    <xdr:from>
      <xdr:col>2</xdr:col>
      <xdr:colOff>1234440</xdr:colOff>
      <xdr:row>0</xdr:row>
      <xdr:rowOff>289457</xdr:rowOff>
    </xdr:from>
    <xdr:to>
      <xdr:col>8</xdr:col>
      <xdr:colOff>360064</xdr:colOff>
      <xdr:row>1</xdr:row>
      <xdr:rowOff>283801</xdr:rowOff>
    </xdr:to>
    <xdr:sp macro="" textlink="Titles!F5">
      <xdr:nvSpPr>
        <xdr:cNvPr id="11" name="TextBox 10">
          <a:extLst>
            <a:ext uri="{FF2B5EF4-FFF2-40B4-BE49-F238E27FC236}">
              <a16:creationId xmlns:a16="http://schemas.microsoft.com/office/drawing/2014/main" id="{00000000-0008-0000-0500-00000B000000}"/>
            </a:ext>
          </a:extLst>
        </xdr:cNvPr>
        <xdr:cNvSpPr txBox="1"/>
      </xdr:nvSpPr>
      <xdr:spPr>
        <a:xfrm>
          <a:off x="1558636" y="297077"/>
          <a:ext cx="616546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3419E49-B1A5-43EE-B051-2311CDE94129}" type="TxLink">
            <a:rPr lang="en-US" sz="1600" b="1" i="1" u="none"/>
            <a:pPr algn="ctr"/>
            <a:t>BHEA - 2024 EE Portfolio Information</a:t>
          </a:fld>
          <a:endParaRPr lang="en-US" sz="1600" b="1" i="1" u="none"/>
        </a:p>
      </xdr:txBody>
    </xdr:sp>
    <xdr:clientData/>
  </xdr:twoCellAnchor>
  <xdr:twoCellAnchor editAs="absolute">
    <xdr:from>
      <xdr:col>2</xdr:col>
      <xdr:colOff>1922145</xdr:colOff>
      <xdr:row>1</xdr:row>
      <xdr:rowOff>131445</xdr:rowOff>
    </xdr:from>
    <xdr:to>
      <xdr:col>7</xdr:col>
      <xdr:colOff>548687</xdr:colOff>
      <xdr:row>1</xdr:row>
      <xdr:rowOff>415460</xdr:rowOff>
    </xdr:to>
    <xdr:sp macro="" textlink="Titles!B4">
      <xdr:nvSpPr>
        <xdr:cNvPr id="12" name="TextBox 11">
          <a:extLst>
            <a:ext uri="{FF2B5EF4-FFF2-40B4-BE49-F238E27FC236}">
              <a16:creationId xmlns:a16="http://schemas.microsoft.com/office/drawing/2014/main" id="{00000000-0008-0000-0500-00000C000000}"/>
            </a:ext>
          </a:extLst>
        </xdr:cNvPr>
        <xdr:cNvSpPr txBox="1"/>
      </xdr:nvSpPr>
      <xdr:spPr>
        <a:xfrm>
          <a:off x="2246341" y="498937"/>
          <a:ext cx="474852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A7B131D9-6F66-4BB1-AF9B-EAE47C89EF17}" type="TxLink">
            <a:rPr lang="en-US" sz="1200" b="0"/>
            <a:pPr algn="ctr"/>
            <a:t>Budgets</a:t>
          </a:fld>
          <a:endParaRPr lang="en-US" sz="1200" b="0"/>
        </a:p>
      </xdr:txBody>
    </xdr:sp>
    <xdr:clientData/>
  </xdr:twoCellAnchor>
  <xdr:twoCellAnchor editAs="absolute">
    <xdr:from>
      <xdr:col>8</xdr:col>
      <xdr:colOff>415290</xdr:colOff>
      <xdr:row>1</xdr:row>
      <xdr:rowOff>95250</xdr:rowOff>
    </xdr:from>
    <xdr:to>
      <xdr:col>9</xdr:col>
      <xdr:colOff>173575</xdr:colOff>
      <xdr:row>1</xdr:row>
      <xdr:rowOff>323850</xdr:rowOff>
    </xdr:to>
    <xdr:sp macro="" textlink="">
      <xdr:nvSpPr>
        <xdr:cNvPr id="13" name="Rounded Rectangle 12">
          <a:hlinkClick xmlns:r="http://schemas.openxmlformats.org/officeDocument/2006/relationships" r:id="rId2" tooltip="Click"/>
          <a:extLst>
            <a:ext uri="{FF2B5EF4-FFF2-40B4-BE49-F238E27FC236}">
              <a16:creationId xmlns:a16="http://schemas.microsoft.com/office/drawing/2014/main" id="{00000000-0008-0000-05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211455</xdr:colOff>
      <xdr:row>1</xdr:row>
      <xdr:rowOff>95250</xdr:rowOff>
    </xdr:from>
    <xdr:to>
      <xdr:col>10</xdr:col>
      <xdr:colOff>474412</xdr:colOff>
      <xdr:row>1</xdr:row>
      <xdr:rowOff>323850</xdr:rowOff>
    </xdr:to>
    <xdr:sp macro="" textlink="">
      <xdr:nvSpPr>
        <xdr:cNvPr id="14" name="Rounded Rectangle 13">
          <a:hlinkClick xmlns:r="http://schemas.openxmlformats.org/officeDocument/2006/relationships" r:id="rId3" tooltip="Click"/>
          <a:extLst>
            <a:ext uri="{FF2B5EF4-FFF2-40B4-BE49-F238E27FC236}">
              <a16:creationId xmlns:a16="http://schemas.microsoft.com/office/drawing/2014/main" id="{00000000-0008-0000-05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8</xdr:col>
      <xdr:colOff>510540</xdr:colOff>
      <xdr:row>2</xdr:row>
      <xdr:rowOff>116031</xdr:rowOff>
    </xdr:from>
    <xdr:to>
      <xdr:col>10</xdr:col>
      <xdr:colOff>440058</xdr:colOff>
      <xdr:row>3</xdr:row>
      <xdr:rowOff>112567</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500-00000F000000}"/>
            </a:ext>
          </a:extLst>
        </xdr:cNvPr>
        <xdr:cNvSpPr/>
      </xdr:nvSpPr>
      <xdr:spPr>
        <a:xfrm>
          <a:off x="7628313" y="1302326"/>
          <a:ext cx="1208119"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Budget</a:t>
          </a:r>
          <a:r>
            <a:rPr lang="en-US" sz="800" b="1" baseline="0">
              <a:solidFill>
                <a:sysClr val="windowText" lastClr="000000"/>
              </a:solidFill>
            </a:rPr>
            <a:t> Reconciliation</a:t>
          </a:r>
          <a:endParaRPr lang="en-US" sz="800" b="1">
            <a:solidFill>
              <a:sysClr val="windowText" lastClr="000000"/>
            </a:solidFill>
          </a:endParaRPr>
        </a:p>
      </xdr:txBody>
    </xdr:sp>
    <xdr:clientData/>
  </xdr:twoCellAnchor>
  <xdr:twoCellAnchor editAs="oneCell">
    <xdr:from>
      <xdr:col>7</xdr:col>
      <xdr:colOff>60614</xdr:colOff>
      <xdr:row>2</xdr:row>
      <xdr:rowOff>112569</xdr:rowOff>
    </xdr:from>
    <xdr:to>
      <xdr:col>8</xdr:col>
      <xdr:colOff>18876</xdr:colOff>
      <xdr:row>3</xdr:row>
      <xdr:rowOff>134908</xdr:rowOff>
    </xdr:to>
    <xdr:sp macro="" textlink="">
      <xdr:nvSpPr>
        <xdr:cNvPr id="16" name="Rounded Rectangle 15">
          <a:hlinkClick xmlns:r="http://schemas.openxmlformats.org/officeDocument/2006/relationships" r:id="rId8" tooltip="Click"/>
          <a:extLst>
            <a:ext uri="{FF2B5EF4-FFF2-40B4-BE49-F238E27FC236}">
              <a16:creationId xmlns:a16="http://schemas.microsoft.com/office/drawing/2014/main" id="{00000000-0008-0000-0500-000010000000}"/>
            </a:ext>
          </a:extLst>
        </xdr:cNvPr>
        <xdr:cNvSpPr/>
      </xdr:nvSpPr>
      <xdr:spPr>
        <a:xfrm>
          <a:off x="6295159" y="1298864"/>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6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1</xdr:col>
      <xdr:colOff>15240</xdr:colOff>
      <xdr:row>1</xdr:row>
      <xdr:rowOff>0</xdr:rowOff>
    </xdr:from>
    <xdr:to>
      <xdr:col>11</xdr:col>
      <xdr:colOff>0</xdr:colOff>
      <xdr:row>1</xdr:row>
      <xdr:rowOff>398145</xdr:rowOff>
    </xdr:to>
    <xdr:sp macro="" textlink="">
      <xdr:nvSpPr>
        <xdr:cNvPr id="1468585" name="Rectangle 365">
          <a:extLst>
            <a:ext uri="{FF2B5EF4-FFF2-40B4-BE49-F238E27FC236}">
              <a16:creationId xmlns:a16="http://schemas.microsoft.com/office/drawing/2014/main" id="{00000000-0008-0000-0700-0000A96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15240</xdr:colOff>
      <xdr:row>0</xdr:row>
      <xdr:rowOff>60959</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7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207D9AC-772A-4BA4-ADF3-9E07B3C0251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1240155</xdr:colOff>
      <xdr:row>0</xdr:row>
      <xdr:rowOff>55245</xdr:rowOff>
    </xdr:from>
    <xdr:to>
      <xdr:col>3</xdr:col>
      <xdr:colOff>320123</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7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3834FC1-63F7-44CC-AA36-294FE8AE81C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55245</xdr:rowOff>
    </xdr:from>
    <xdr:to>
      <xdr:col>5</xdr:col>
      <xdr:colOff>34297</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7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29CACF9-68D3-404C-827A-92044E1CE1F2}"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57150</xdr:colOff>
      <xdr:row>0</xdr:row>
      <xdr:rowOff>55245</xdr:rowOff>
    </xdr:from>
    <xdr:to>
      <xdr:col>7</xdr:col>
      <xdr:colOff>53365</xdr:colOff>
      <xdr:row>0</xdr:row>
      <xdr:rowOff>340995</xdr:rowOff>
    </xdr:to>
    <xdr:sp macro="" textlink="Titles!B5">
      <xdr:nvSpPr>
        <xdr:cNvPr id="6" name="Round Same Side Corner Rectangle 5">
          <a:extLst>
            <a:ext uri="{FF2B5EF4-FFF2-40B4-BE49-F238E27FC236}">
              <a16:creationId xmlns:a16="http://schemas.microsoft.com/office/drawing/2014/main" id="{00000000-0008-0000-0700-000006000000}"/>
            </a:ext>
          </a:extLst>
        </xdr:cNvPr>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56A3C5-87B5-41E3-AC2C-CB116FA89D8B}" type="TxLink">
            <a:rPr lang="en-US" sz="1000" b="1">
              <a:solidFill>
                <a:sysClr val="windowText" lastClr="000000"/>
              </a:solidFill>
              <a:latin typeface="+mn-lt"/>
              <a:ea typeface="+mn-ea"/>
              <a:cs typeface="+mn-cs"/>
            </a:rPr>
            <a:pPr marL="0" indent="0" algn="ctr"/>
            <a:t>Savings &amp; Participants</a:t>
          </a:fld>
          <a:endParaRPr lang="en-US" sz="1000" b="1">
            <a:solidFill>
              <a:sysClr val="windowText" lastClr="000000"/>
            </a:solidFill>
            <a:latin typeface="+mn-lt"/>
            <a:ea typeface="+mn-ea"/>
            <a:cs typeface="+mn-cs"/>
          </a:endParaRPr>
        </a:p>
      </xdr:txBody>
    </xdr:sp>
    <xdr:clientData/>
  </xdr:twoCellAnchor>
  <xdr:twoCellAnchor editAs="absolute">
    <xdr:from>
      <xdr:col>7</xdr:col>
      <xdr:colOff>55245</xdr:colOff>
      <xdr:row>0</xdr:row>
      <xdr:rowOff>55245</xdr:rowOff>
    </xdr:from>
    <xdr:to>
      <xdr:col>8</xdr:col>
      <xdr:colOff>171487</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7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9B1AD31-B620-48DE-BD60-48B14F1F0BF9}" type="TxLink">
            <a:rPr lang="en-US" sz="1000" b="1"/>
            <a:pPr algn="ctr"/>
            <a:t>Training</a:t>
          </a:fld>
          <a:endParaRPr lang="en-US" sz="1000" b="1"/>
        </a:p>
      </xdr:txBody>
    </xdr:sp>
    <xdr:clientData/>
  </xdr:twoCellAnchor>
  <xdr:twoCellAnchor editAs="absolute">
    <xdr:from>
      <xdr:col>8</xdr:col>
      <xdr:colOff>173354</xdr:colOff>
      <xdr:row>0</xdr:row>
      <xdr:rowOff>55245</xdr:rowOff>
    </xdr:from>
    <xdr:to>
      <xdr:col>11</xdr:col>
      <xdr:colOff>1975</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7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5E10640-3F7C-4DF1-AEA7-6679EB7EAB6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853557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7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58708</xdr:colOff>
      <xdr:row>1</xdr:row>
      <xdr:rowOff>441958</xdr:rowOff>
    </xdr:from>
    <xdr:to>
      <xdr:col>10</xdr:col>
      <xdr:colOff>247302</xdr:colOff>
      <xdr:row>1</xdr:row>
      <xdr:rowOff>893964</xdr:rowOff>
    </xdr:to>
    <xdr:sp macro="" textlink="">
      <xdr:nvSpPr>
        <xdr:cNvPr id="10" name="Rounded Rectangle 6">
          <a:extLst>
            <a:ext uri="{FF2B5EF4-FFF2-40B4-BE49-F238E27FC236}">
              <a16:creationId xmlns:a16="http://schemas.microsoft.com/office/drawing/2014/main" id="{00000000-0008-0000-0700-00000A000000}"/>
            </a:ext>
          </a:extLst>
        </xdr:cNvPr>
        <xdr:cNvSpPr>
          <a:spLocks noChangeArrowheads="1"/>
        </xdr:cNvSpPr>
      </xdr:nvSpPr>
      <xdr:spPr bwMode="auto">
        <a:xfrm>
          <a:off x="120361" y="811355"/>
          <a:ext cx="8710871" cy="461531"/>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net demand savings, net energy savings, number of participants and the participant definition for each program.   Select the Participant Definition from the dropdown option.</a:t>
          </a:r>
          <a:endParaRPr lang="en-US"/>
        </a:p>
      </xdr:txBody>
    </xdr:sp>
    <xdr:clientData/>
  </xdr:twoCellAnchor>
  <xdr:twoCellAnchor editAs="absolute">
    <xdr:from>
      <xdr:col>2</xdr:col>
      <xdr:colOff>1234440</xdr:colOff>
      <xdr:row>0</xdr:row>
      <xdr:rowOff>284781</xdr:rowOff>
    </xdr:from>
    <xdr:to>
      <xdr:col>8</xdr:col>
      <xdr:colOff>169569</xdr:colOff>
      <xdr:row>1</xdr:row>
      <xdr:rowOff>288477</xdr:rowOff>
    </xdr:to>
    <xdr:sp macro="" textlink="Titles!F5">
      <xdr:nvSpPr>
        <xdr:cNvPr id="11" name="TextBox 10">
          <a:extLst>
            <a:ext uri="{FF2B5EF4-FFF2-40B4-BE49-F238E27FC236}">
              <a16:creationId xmlns:a16="http://schemas.microsoft.com/office/drawing/2014/main" id="{00000000-0008-0000-0700-00000B000000}"/>
            </a:ext>
          </a:extLst>
        </xdr:cNvPr>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3A4B947-3019-4EDD-90D3-A2E338B7CF3B}" type="TxLink">
            <a:rPr lang="en-US" sz="1600" b="1" i="1" u="none"/>
            <a:pPr algn="ctr"/>
            <a:t>BHEA - 2024 EE Portfolio Information</a:t>
          </a:fld>
          <a:endParaRPr lang="en-US" sz="1600" b="1" i="1" u="none"/>
        </a:p>
      </xdr:txBody>
    </xdr:sp>
    <xdr:clientData/>
  </xdr:twoCellAnchor>
  <xdr:twoCellAnchor editAs="absolute">
    <xdr:from>
      <xdr:col>2</xdr:col>
      <xdr:colOff>1922145</xdr:colOff>
      <xdr:row>1</xdr:row>
      <xdr:rowOff>131445</xdr:rowOff>
    </xdr:from>
    <xdr:to>
      <xdr:col>7</xdr:col>
      <xdr:colOff>853475</xdr:colOff>
      <xdr:row>1</xdr:row>
      <xdr:rowOff>438320</xdr:rowOff>
    </xdr:to>
    <xdr:sp macro="" textlink="Titles!B5">
      <xdr:nvSpPr>
        <xdr:cNvPr id="12" name="TextBox 11">
          <a:extLst>
            <a:ext uri="{FF2B5EF4-FFF2-40B4-BE49-F238E27FC236}">
              <a16:creationId xmlns:a16="http://schemas.microsoft.com/office/drawing/2014/main" id="{00000000-0008-0000-07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6DCFCCD-4E13-4CA7-8D91-296D3388A518}" type="TxLink">
            <a:rPr lang="en-US" sz="1200" b="0"/>
            <a:pPr algn="ctr"/>
            <a:t>Savings &amp; Participants</a:t>
          </a:fld>
          <a:endParaRPr lang="en-US" sz="1200" b="0"/>
        </a:p>
      </xdr:txBody>
    </xdr:sp>
    <xdr:clientData/>
  </xdr:twoCellAnchor>
  <xdr:twoCellAnchor editAs="absolute">
    <xdr:from>
      <xdr:col>8</xdr:col>
      <xdr:colOff>247650</xdr:colOff>
      <xdr:row>1</xdr:row>
      <xdr:rowOff>95250</xdr:rowOff>
    </xdr:from>
    <xdr:to>
      <xdr:col>8</xdr:col>
      <xdr:colOff>872490</xdr:colOff>
      <xdr:row>1</xdr:row>
      <xdr:rowOff>323850</xdr:rowOff>
    </xdr:to>
    <xdr:sp macro="" textlink="">
      <xdr:nvSpPr>
        <xdr:cNvPr id="13" name="Rounded Rectangle 12">
          <a:hlinkClick xmlns:r="http://schemas.openxmlformats.org/officeDocument/2006/relationships" r:id="rId3" tooltip="Click"/>
          <a:extLst>
            <a:ext uri="{FF2B5EF4-FFF2-40B4-BE49-F238E27FC236}">
              <a16:creationId xmlns:a16="http://schemas.microsoft.com/office/drawing/2014/main" id="{00000000-0008-0000-07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38100</xdr:colOff>
      <xdr:row>1</xdr:row>
      <xdr:rowOff>95250</xdr:rowOff>
    </xdr:from>
    <xdr:to>
      <xdr:col>10</xdr:col>
      <xdr:colOff>285728</xdr:colOff>
      <xdr:row>1</xdr:row>
      <xdr:rowOff>323850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07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7</xdr:col>
      <xdr:colOff>199159</xdr:colOff>
      <xdr:row>3</xdr:row>
      <xdr:rowOff>34636</xdr:rowOff>
    </xdr:from>
    <xdr:to>
      <xdr:col>7</xdr:col>
      <xdr:colOff>1044459</xdr:colOff>
      <xdr:row>3</xdr:row>
      <xdr:rowOff>212839</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700-00000F000000}"/>
            </a:ext>
          </a:extLst>
        </xdr:cNvPr>
        <xdr:cNvSpPr/>
      </xdr:nvSpPr>
      <xdr:spPr>
        <a:xfrm>
          <a:off x="6130636" y="1515341"/>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1</xdr:col>
      <xdr:colOff>15240</xdr:colOff>
      <xdr:row>1</xdr:row>
      <xdr:rowOff>0</xdr:rowOff>
    </xdr:from>
    <xdr:to>
      <xdr:col>11</xdr:col>
      <xdr:colOff>0</xdr:colOff>
      <xdr:row>1</xdr:row>
      <xdr:rowOff>405765</xdr:rowOff>
    </xdr:to>
    <xdr:sp macro="" textlink="">
      <xdr:nvSpPr>
        <xdr:cNvPr id="1469635" name="Rectangle 365">
          <a:extLst>
            <a:ext uri="{FF2B5EF4-FFF2-40B4-BE49-F238E27FC236}">
              <a16:creationId xmlns:a16="http://schemas.microsoft.com/office/drawing/2014/main" id="{00000000-0008-0000-0800-0000C36C1600}"/>
            </a:ext>
          </a:extLst>
        </xdr:cNvPr>
        <xdr:cNvSpPr>
          <a:spLocks noChangeArrowheads="1"/>
        </xdr:cNvSpPr>
      </xdr:nvSpPr>
      <xdr:spPr bwMode="auto">
        <a:xfrm>
          <a:off x="78798" y="363682"/>
          <a:ext cx="8848725"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15240</xdr:colOff>
      <xdr:row>0</xdr:row>
      <xdr:rowOff>60959</xdr:rowOff>
    </xdr:from>
    <xdr:to>
      <xdr:col>2</xdr:col>
      <xdr:colOff>1249382</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8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5795B2A-C06F-49D6-9109-2B08D4C3C1B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1243965</xdr:colOff>
      <xdr:row>0</xdr:row>
      <xdr:rowOff>62865</xdr:rowOff>
    </xdr:from>
    <xdr:to>
      <xdr:col>4</xdr:col>
      <xdr:colOff>257100</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8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78C4614-27C1-4702-9726-88CB1BB8AC48}"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4</xdr:col>
      <xdr:colOff>278130</xdr:colOff>
      <xdr:row>0</xdr:row>
      <xdr:rowOff>62865</xdr:rowOff>
    </xdr:from>
    <xdr:to>
      <xdr:col>5</xdr:col>
      <xdr:colOff>699084</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8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A5E81DD-0BBC-411B-A66F-3EDC49507280}"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702945</xdr:colOff>
      <xdr:row>0</xdr:row>
      <xdr:rowOff>62865</xdr:rowOff>
    </xdr:from>
    <xdr:to>
      <xdr:col>7</xdr:col>
      <xdr:colOff>79998</xdr:colOff>
      <xdr:row>0</xdr:row>
      <xdr:rowOff>340995</xdr:rowOff>
    </xdr:to>
    <xdr:sp macro="" textlink="Titles!B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8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42AE60-A3A1-4F5B-8167-9682DC8D8A26}"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7</xdr:col>
      <xdr:colOff>95250</xdr:colOff>
      <xdr:row>0</xdr:row>
      <xdr:rowOff>62865</xdr:rowOff>
    </xdr:from>
    <xdr:to>
      <xdr:col>8</xdr:col>
      <xdr:colOff>512382</xdr:colOff>
      <xdr:row>0</xdr:row>
      <xdr:rowOff>340995</xdr:rowOff>
    </xdr:to>
    <xdr:sp macro="" textlink="Titles!B6">
      <xdr:nvSpPr>
        <xdr:cNvPr id="7" name="Round Same Side Corner Rectangle 6">
          <a:extLst>
            <a:ext uri="{FF2B5EF4-FFF2-40B4-BE49-F238E27FC236}">
              <a16:creationId xmlns:a16="http://schemas.microsoft.com/office/drawing/2014/main" id="{00000000-0008-0000-0800-000007000000}"/>
            </a:ext>
          </a:extLst>
        </xdr:cNvPr>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C082A71-55B9-4947-84CB-24BDF9505EE6}" type="TxLink">
            <a:rPr lang="en-US" sz="1000" b="1">
              <a:solidFill>
                <a:sysClr val="windowText" lastClr="000000"/>
              </a:solidFill>
              <a:latin typeface="+mn-lt"/>
              <a:ea typeface="+mn-ea"/>
              <a:cs typeface="+mn-cs"/>
            </a:rPr>
            <a:pPr marL="0" indent="0" algn="ctr"/>
            <a:t>Training</a:t>
          </a:fld>
          <a:endParaRPr lang="en-US" sz="1000" b="1">
            <a:solidFill>
              <a:sysClr val="windowText" lastClr="000000"/>
            </a:solidFill>
            <a:latin typeface="+mn-lt"/>
            <a:ea typeface="+mn-ea"/>
            <a:cs typeface="+mn-cs"/>
          </a:endParaRPr>
        </a:p>
      </xdr:txBody>
    </xdr:sp>
    <xdr:clientData/>
  </xdr:twoCellAnchor>
  <xdr:twoCellAnchor editAs="absolute">
    <xdr:from>
      <xdr:col>8</xdr:col>
      <xdr:colOff>512444</xdr:colOff>
      <xdr:row>0</xdr:row>
      <xdr:rowOff>62865</xdr:rowOff>
    </xdr:from>
    <xdr:to>
      <xdr:col>10</xdr:col>
      <xdr:colOff>695324</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8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E981FC7-65A3-4A2F-831E-3CE479F208A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853557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8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91440</xdr:colOff>
      <xdr:row>1</xdr:row>
      <xdr:rowOff>441959</xdr:rowOff>
    </xdr:from>
    <xdr:to>
      <xdr:col>10</xdr:col>
      <xdr:colOff>643895</xdr:colOff>
      <xdr:row>1</xdr:row>
      <xdr:rowOff>781092</xdr:rowOff>
    </xdr:to>
    <xdr:sp macro="" textlink="">
      <xdr:nvSpPr>
        <xdr:cNvPr id="10" name="Rounded Rectangle 6">
          <a:extLst>
            <a:ext uri="{FF2B5EF4-FFF2-40B4-BE49-F238E27FC236}">
              <a16:creationId xmlns:a16="http://schemas.microsoft.com/office/drawing/2014/main" id="{00000000-0008-0000-08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details for both External and Internal Training by clicking the "Details" button.  Provide the Cost associated with the training.</a:t>
          </a:r>
          <a:endParaRPr lang="en-US" sz="900"/>
        </a:p>
      </xdr:txBody>
    </xdr:sp>
    <xdr:clientData/>
  </xdr:twoCellAnchor>
  <xdr:twoCellAnchor editAs="absolute">
    <xdr:from>
      <xdr:col>2</xdr:col>
      <xdr:colOff>1234440</xdr:colOff>
      <xdr:row>0</xdr:row>
      <xdr:rowOff>296211</xdr:rowOff>
    </xdr:from>
    <xdr:to>
      <xdr:col>8</xdr:col>
      <xdr:colOff>525775</xdr:colOff>
      <xdr:row>1</xdr:row>
      <xdr:rowOff>288477</xdr:rowOff>
    </xdr:to>
    <xdr:sp macro="" textlink="Titles!F5">
      <xdr:nvSpPr>
        <xdr:cNvPr id="11" name="TextBox 10">
          <a:extLst>
            <a:ext uri="{FF2B5EF4-FFF2-40B4-BE49-F238E27FC236}">
              <a16:creationId xmlns:a16="http://schemas.microsoft.com/office/drawing/2014/main" id="{00000000-0008-0000-0800-00000B000000}"/>
            </a:ext>
          </a:extLst>
        </xdr:cNvPr>
        <xdr:cNvSpPr txBox="1"/>
      </xdr:nvSpPr>
      <xdr:spPr>
        <a:xfrm>
          <a:off x="1543050" y="300021"/>
          <a:ext cx="593978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955B165-5C3B-4241-9031-C509FF291122}" type="TxLink">
            <a:rPr lang="en-US" sz="1600" b="1" i="1" u="none"/>
            <a:pPr algn="ctr"/>
            <a:t>BHEA - 2024 EE Portfolio Information</a:t>
          </a:fld>
          <a:endParaRPr lang="en-US" sz="1600" b="1" i="1" u="none"/>
        </a:p>
      </xdr:txBody>
    </xdr:sp>
    <xdr:clientData/>
  </xdr:twoCellAnchor>
  <xdr:twoCellAnchor editAs="absolute">
    <xdr:from>
      <xdr:col>3</xdr:col>
      <xdr:colOff>512445</xdr:colOff>
      <xdr:row>1</xdr:row>
      <xdr:rowOff>139065</xdr:rowOff>
    </xdr:from>
    <xdr:to>
      <xdr:col>7</xdr:col>
      <xdr:colOff>897260</xdr:colOff>
      <xdr:row>1</xdr:row>
      <xdr:rowOff>426890</xdr:rowOff>
    </xdr:to>
    <xdr:sp macro="" textlink="Titles!B6">
      <xdr:nvSpPr>
        <xdr:cNvPr id="12" name="TextBox 11">
          <a:extLst>
            <a:ext uri="{FF2B5EF4-FFF2-40B4-BE49-F238E27FC236}">
              <a16:creationId xmlns:a16="http://schemas.microsoft.com/office/drawing/2014/main" id="{00000000-0008-0000-08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D1D7748-B02B-4F13-80AB-FB58A88D5E1B}" type="TxLink">
            <a:rPr lang="en-US" sz="1200" b="0"/>
            <a:pPr algn="ctr"/>
            <a:t>Training</a:t>
          </a:fld>
          <a:endParaRPr lang="en-US" sz="1200" b="0"/>
        </a:p>
      </xdr:txBody>
    </xdr:sp>
    <xdr:clientData/>
  </xdr:twoCellAnchor>
  <xdr:twoCellAnchor editAs="absolute">
    <xdr:from>
      <xdr:col>8</xdr:col>
      <xdr:colOff>586740</xdr:colOff>
      <xdr:row>1</xdr:row>
      <xdr:rowOff>95250</xdr:rowOff>
    </xdr:from>
    <xdr:to>
      <xdr:col>9</xdr:col>
      <xdr:colOff>340995</xdr:colOff>
      <xdr:row>1</xdr:row>
      <xdr:rowOff>323850</xdr:rowOff>
    </xdr:to>
    <xdr:sp macro="" textlink="">
      <xdr:nvSpPr>
        <xdr:cNvPr id="13" name="Rounded Rectangle 12">
          <a:hlinkClick xmlns:r="http://schemas.openxmlformats.org/officeDocument/2006/relationships" r:id="rId4" tooltip="Click"/>
          <a:extLst>
            <a:ext uri="{FF2B5EF4-FFF2-40B4-BE49-F238E27FC236}">
              <a16:creationId xmlns:a16="http://schemas.microsoft.com/office/drawing/2014/main" id="{00000000-0008-0000-08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95250</xdr:rowOff>
    </xdr:from>
    <xdr:to>
      <xdr:col>10</xdr:col>
      <xdr:colOff>630610</xdr:colOff>
      <xdr:row>1</xdr:row>
      <xdr:rowOff>323850</xdr:rowOff>
    </xdr:to>
    <xdr:sp macro="" textlink="">
      <xdr:nvSpPr>
        <xdr:cNvPr id="14" name="Rounded Rectangle 13">
          <a:hlinkClick xmlns:r="http://schemas.openxmlformats.org/officeDocument/2006/relationships" r:id="rId5" tooltip="Click"/>
          <a:extLst>
            <a:ext uri="{FF2B5EF4-FFF2-40B4-BE49-F238E27FC236}">
              <a16:creationId xmlns:a16="http://schemas.microsoft.com/office/drawing/2014/main" id="{00000000-0008-0000-08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2</xdr:col>
      <xdr:colOff>19050</xdr:colOff>
      <xdr:row>6</xdr:row>
      <xdr:rowOff>15241</xdr:rowOff>
    </xdr:from>
    <xdr:to>
      <xdr:col>2</xdr:col>
      <xdr:colOff>1093473</xdr:colOff>
      <xdr:row>7</xdr:row>
      <xdr:rowOff>53341</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800-00000F000000}"/>
            </a:ext>
          </a:extLst>
        </xdr:cNvPr>
        <xdr:cNvSpPr/>
      </xdr:nvSpPr>
      <xdr:spPr>
        <a:xfrm>
          <a:off x="333375" y="1857376"/>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twoCellAnchor editAs="absolute">
    <xdr:from>
      <xdr:col>2</xdr:col>
      <xdr:colOff>15240</xdr:colOff>
      <xdr:row>12</xdr:row>
      <xdr:rowOff>15240</xdr:rowOff>
    </xdr:from>
    <xdr:to>
      <xdr:col>2</xdr:col>
      <xdr:colOff>1087549</xdr:colOff>
      <xdr:row>13</xdr:row>
      <xdr:rowOff>53340</xdr:rowOff>
    </xdr:to>
    <xdr:sp macro="" textlink="">
      <xdr:nvSpPr>
        <xdr:cNvPr id="16" name="Rounded Rectangle 15">
          <a:hlinkClick xmlns:r="http://schemas.openxmlformats.org/officeDocument/2006/relationships" r:id="rId8" tooltip="Click"/>
          <a:extLst>
            <a:ext uri="{FF2B5EF4-FFF2-40B4-BE49-F238E27FC236}">
              <a16:creationId xmlns:a16="http://schemas.microsoft.com/office/drawing/2014/main" id="{00000000-0008-0000-0800-000010000000}"/>
            </a:ext>
          </a:extLst>
        </xdr:cNvPr>
        <xdr:cNvSpPr/>
      </xdr:nvSpPr>
      <xdr:spPr>
        <a:xfrm>
          <a:off x="323850" y="3000375"/>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6:N26" totalsRowShown="0" headerRowDxfId="117" headerRowBorderDxfId="116" tableBorderDxfId="115" totalsRowBorderDxfId="114" headerRowCellStyle="Heading 2">
  <tableColumns count="12">
    <tableColumn id="1" xr3:uid="{00000000-0010-0000-0000-000001000000}" name="Event No." dataDxfId="113" dataCellStyle="Normal - Numbering">
      <calculatedColumnFormula>ROW()-6</calculatedColumnFormula>
    </tableColumn>
    <tableColumn id="12" xr3:uid="{00000000-0010-0000-0000-00000C000000}" name="Test" dataDxfId="112" dataCellStyle="Number_#,###">
      <calculatedColumnFormula>IF(AND(ISBLANK(Table2[[#This Row],[Start Date]]),ISBLANK(Table2[[#This Row],[Class]]),ISBLANK(Table2[[#This Row],[Class Description]]),ISBLANK(Table2[[#This Row],[No. of Attendees
(A)]])),0,IF(OR(ISBLANK(Table2[[#This Row],[Class]]),ISBLANK(Table2[[#This Row],[No. of Attendees
(A)]]),ISBLANK(Table2[[#This Row],[Length of Session
(B)]])),1,0))</calculatedColumnFormula>
    </tableColumn>
    <tableColumn id="2" xr3:uid="{00000000-0010-0000-0000-000002000000}" name="Start Date" dataDxfId="111"/>
    <tableColumn id="3" xr3:uid="{00000000-0010-0000-0000-000003000000}" name="Class" dataDxfId="110"/>
    <tableColumn id="4" xr3:uid="{00000000-0010-0000-0000-000004000000}" name="Class Description" dataDxfId="109"/>
    <tableColumn id="5" xr3:uid="{00000000-0010-0000-0000-000005000000}" name="Training Location" dataDxfId="108"/>
    <tableColumn id="6" xr3:uid="{00000000-0010-0000-0000-000006000000}" name="Sponsor" dataDxfId="107"/>
    <tableColumn id="7" xr3:uid="{00000000-0010-0000-0000-000007000000}" name="No. of Attendees_x000a_(A)" dataDxfId="106" dataCellStyle="Number_#,###"/>
    <tableColumn id="8" xr3:uid="{00000000-0010-0000-0000-000008000000}" name="Length of Session_x000a_(B)" dataDxfId="105" dataCellStyle="Number_#,###"/>
    <tableColumn id="9" xr3:uid="{00000000-0010-0000-0000-000009000000}" name="Training Session Man-Hours_x000a_(A x B)" dataDxfId="104" dataCellStyle="Number_#,###">
      <calculatedColumnFormula>J7*K7</calculatedColumnFormula>
    </tableColumn>
    <tableColumn id="10" xr3:uid="{00000000-0010-0000-0000-00000A000000}" name="Any Certificates Awarded?_x000a_(Y or N)" dataDxfId="103"/>
    <tableColumn id="11" xr3:uid="{00000000-0010-0000-0000-00000B000000}" name="# of Certificates Awarded" dataDxfId="102"/>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2" displayName="Table22" ref="C6:N18" totalsRowShown="0" headerRowDxfId="101" headerRowBorderDxfId="100" tableBorderDxfId="99" totalsRowBorderDxfId="98" headerRowCellStyle="Heading 2">
  <tableColumns count="12">
    <tableColumn id="1" xr3:uid="{00000000-0010-0000-0100-000001000000}" name="Event No." dataDxfId="97" dataCellStyle="Normal - Numbering">
      <calculatedColumnFormula>ROW()-6</calculatedColumnFormula>
    </tableColumn>
    <tableColumn id="12" xr3:uid="{00000000-0010-0000-0100-00000C000000}" name="Test" dataDxfId="96" dataCellStyle="Number_#,###">
      <calculatedColumnFormula>IF(AND(ISBLANK(Table22[[#This Row],[Start Date]]),ISBLANK(Table22[[#This Row],[Class]]),ISBLANK(Table22[[#This Row],[Class Description]]),ISBLANK(Table22[[#This Row],[No. of Attendees
(A)]])),0,IF(OR(ISBLANK(Table22[[#This Row],[Class]]),ISBLANK(Table22[[#This Row],[No. of Attendees
(A)]]),ISBLANK(Table22[[#This Row],[Length of Session
(B)]])),1,0))</calculatedColumnFormula>
    </tableColumn>
    <tableColumn id="2" xr3:uid="{00000000-0010-0000-0100-000002000000}" name="Start Date" dataDxfId="95"/>
    <tableColumn id="3" xr3:uid="{00000000-0010-0000-0100-000003000000}" name="Class" dataDxfId="94"/>
    <tableColumn id="4" xr3:uid="{00000000-0010-0000-0100-000004000000}" name="Class Description" dataDxfId="93"/>
    <tableColumn id="5" xr3:uid="{00000000-0010-0000-0100-000005000000}" name="Training Location" dataDxfId="92"/>
    <tableColumn id="6" xr3:uid="{00000000-0010-0000-0100-000006000000}" name="Sponsor" dataDxfId="91"/>
    <tableColumn id="7" xr3:uid="{00000000-0010-0000-0100-000007000000}" name="No. of Attendees_x000a_(A)" dataDxfId="90" dataCellStyle="Number_#,###"/>
    <tableColumn id="8" xr3:uid="{00000000-0010-0000-0100-000008000000}" name="Length of Session_x000a_(B)" dataDxfId="89" dataCellStyle="Number_#,###"/>
    <tableColumn id="9" xr3:uid="{00000000-0010-0000-0100-000009000000}" name="Training Session Man-Hours_x000a_(A x B)" dataDxfId="88" dataCellStyle="Number_#,###">
      <calculatedColumnFormula>J7*K7</calculatedColumnFormula>
    </tableColumn>
    <tableColumn id="10" xr3:uid="{00000000-0010-0000-0100-00000A000000}" name="Any Certificates Awarded?_x000a_(Y or N)" dataDxfId="87"/>
    <tableColumn id="11" xr3:uid="{00000000-0010-0000-0100-00000B000000}" name="# of Certificates Awarded" dataDxfId="86"/>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2">
            <a:lumMod val="75000"/>
          </a:schemeClr>
        </a:solidFill>
      </a:spPr>
      <a:bodyPr vertOverflow="clip" horzOverflow="clip" rtlCol="0" anchor="ctr"/>
      <a:lstStyle>
        <a:defPPr algn="ctr">
          <a:defRPr sz="1000" b="1">
            <a:solidFill>
              <a:schemeClr val="bg1"/>
            </a:solidFill>
            <a:latin typeface="+mn-lt"/>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val="4F81BD"/>
        </a:solidFill>
        <a:ln w="25400" cap="flat" cmpd="sng" algn="ctr">
          <a:solidFill>
            <a:srgbClr val="385D8A"/>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C21"/>
  <sheetViews>
    <sheetView showGridLines="0" showRowColHeaders="0" zoomScale="120" zoomScaleNormal="120" workbookViewId="0"/>
  </sheetViews>
  <sheetFormatPr defaultRowHeight="12.5" x14ac:dyDescent="0.25"/>
  <cols>
    <col min="1" max="1" width="1" customWidth="1"/>
    <col min="2" max="82" width="1.7265625" customWidth="1"/>
    <col min="85" max="85" width="10.26953125" customWidth="1"/>
    <col min="86" max="86" width="2.453125" customWidth="1"/>
  </cols>
  <sheetData>
    <row r="1" spans="2:81" ht="56.25" customHeight="1" x14ac:dyDescent="0.25">
      <c r="E1" s="58"/>
      <c r="F1" s="58"/>
      <c r="G1" s="58"/>
      <c r="S1" s="330" t="s">
        <v>0</v>
      </c>
    </row>
    <row r="2" spans="2:81" ht="56.25" customHeight="1" x14ac:dyDescent="0.25">
      <c r="E2" s="59"/>
      <c r="F2" s="59"/>
      <c r="G2" s="59"/>
      <c r="T2" s="331" t="s">
        <v>1</v>
      </c>
    </row>
    <row r="3" spans="2:81" ht="13" thickBot="1" x14ac:dyDescent="0.3">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7"/>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367"/>
      <c r="CC3" s="367"/>
    </row>
    <row r="4" spans="2:81" ht="15.5" x14ac:dyDescent="0.35">
      <c r="B4" s="601" t="s">
        <v>2</v>
      </c>
      <c r="C4" s="602"/>
      <c r="D4" s="602"/>
      <c r="E4" s="602"/>
      <c r="F4" s="602"/>
      <c r="G4" s="602"/>
      <c r="H4" s="602"/>
      <c r="I4" s="602"/>
      <c r="J4" s="602"/>
      <c r="K4" s="602"/>
      <c r="L4" s="602"/>
      <c r="M4" s="602"/>
      <c r="N4" s="602"/>
      <c r="O4" s="602"/>
      <c r="P4" s="602"/>
      <c r="Q4" s="603"/>
      <c r="R4" s="601" t="s">
        <v>3</v>
      </c>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3"/>
    </row>
    <row r="5" spans="2:81" ht="10" customHeight="1" x14ac:dyDescent="0.25">
      <c r="B5" s="181"/>
      <c r="C5" s="91"/>
      <c r="D5" s="91"/>
      <c r="E5" s="91"/>
      <c r="F5" s="91"/>
      <c r="G5" s="91"/>
      <c r="H5" s="91"/>
      <c r="I5" s="91"/>
      <c r="J5" s="91"/>
      <c r="K5" s="91"/>
      <c r="L5" s="91"/>
      <c r="M5" s="91"/>
      <c r="N5" s="91"/>
      <c r="O5" s="91"/>
      <c r="P5" s="91"/>
      <c r="Q5" s="182"/>
      <c r="R5" s="18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182"/>
    </row>
    <row r="6" spans="2:81" ht="10" customHeight="1" x14ac:dyDescent="0.25">
      <c r="B6" s="181"/>
      <c r="C6" s="91"/>
      <c r="D6" s="91"/>
      <c r="E6" s="91"/>
      <c r="F6" s="91"/>
      <c r="G6" s="91"/>
      <c r="H6" s="91"/>
      <c r="I6" s="91"/>
      <c r="J6" s="91"/>
      <c r="K6" s="91"/>
      <c r="L6" s="91"/>
      <c r="M6" s="91"/>
      <c r="N6" s="91"/>
      <c r="O6" s="91"/>
      <c r="P6" s="91"/>
      <c r="Q6" s="182"/>
      <c r="R6" s="18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182"/>
    </row>
    <row r="7" spans="2:81" ht="10" customHeight="1" x14ac:dyDescent="0.25">
      <c r="B7" s="181"/>
      <c r="C7" s="91"/>
      <c r="D7" s="91"/>
      <c r="E7" s="91"/>
      <c r="F7" s="91"/>
      <c r="G7" s="91"/>
      <c r="H7" s="91"/>
      <c r="I7" s="91"/>
      <c r="J7" s="91"/>
      <c r="K7" s="91"/>
      <c r="L7" s="91"/>
      <c r="M7" s="91"/>
      <c r="N7" s="91"/>
      <c r="O7" s="91"/>
      <c r="P7" s="91"/>
      <c r="Q7" s="182"/>
      <c r="R7" s="18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182"/>
    </row>
    <row r="8" spans="2:81" ht="10" customHeight="1" x14ac:dyDescent="0.25">
      <c r="B8" s="181"/>
      <c r="C8" s="91"/>
      <c r="D8" s="91"/>
      <c r="E8" s="91"/>
      <c r="F8" s="91"/>
      <c r="G8" s="91"/>
      <c r="H8" s="91"/>
      <c r="I8" s="91"/>
      <c r="J8" s="91"/>
      <c r="K8" s="91"/>
      <c r="L8" s="91"/>
      <c r="M8" s="91"/>
      <c r="N8" s="91"/>
      <c r="O8" s="91"/>
      <c r="P8" s="91"/>
      <c r="Q8" s="182"/>
      <c r="R8" s="18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182"/>
    </row>
    <row r="9" spans="2:81" ht="10" customHeight="1" x14ac:dyDescent="0.25">
      <c r="B9" s="181"/>
      <c r="C9" s="91"/>
      <c r="D9" s="91"/>
      <c r="E9" s="91"/>
      <c r="F9" s="91"/>
      <c r="G9" s="91"/>
      <c r="H9" s="91"/>
      <c r="I9" s="91"/>
      <c r="J9" s="91"/>
      <c r="K9" s="91"/>
      <c r="L9" s="91"/>
      <c r="M9" s="91"/>
      <c r="N9" s="91"/>
      <c r="O9" s="91"/>
      <c r="P9" s="91"/>
      <c r="Q9" s="182"/>
      <c r="R9" s="18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182"/>
    </row>
    <row r="10" spans="2:81" ht="10" customHeight="1" x14ac:dyDescent="0.25">
      <c r="B10" s="181"/>
      <c r="C10" s="91"/>
      <c r="D10" s="91"/>
      <c r="E10" s="91"/>
      <c r="F10" s="91"/>
      <c r="G10" s="91"/>
      <c r="H10" s="91"/>
      <c r="I10" s="91"/>
      <c r="J10" s="91"/>
      <c r="K10" s="91"/>
      <c r="L10" s="91"/>
      <c r="M10" s="91"/>
      <c r="N10" s="91"/>
      <c r="O10" s="91"/>
      <c r="P10" s="91"/>
      <c r="Q10" s="182"/>
      <c r="R10" s="18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182"/>
    </row>
    <row r="11" spans="2:81" ht="10" customHeight="1" thickBot="1" x14ac:dyDescent="0.3">
      <c r="B11" s="183"/>
      <c r="C11" s="185"/>
      <c r="D11" s="185"/>
      <c r="E11" s="185"/>
      <c r="F11" s="185"/>
      <c r="G11" s="185"/>
      <c r="H11" s="185"/>
      <c r="I11" s="185"/>
      <c r="J11" s="185"/>
      <c r="K11" s="185"/>
      <c r="L11" s="185"/>
      <c r="M11" s="185"/>
      <c r="N11" s="185"/>
      <c r="O11" s="185"/>
      <c r="P11" s="185"/>
      <c r="Q11" s="184"/>
      <c r="R11" s="183"/>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c r="BS11" s="185"/>
      <c r="BT11" s="185"/>
      <c r="BU11" s="185"/>
      <c r="BV11" s="185"/>
      <c r="BW11" s="185"/>
      <c r="BX11" s="185"/>
      <c r="BY11" s="185"/>
      <c r="BZ11" s="185"/>
      <c r="CA11" s="185"/>
      <c r="CB11" s="185"/>
      <c r="CC11" s="184"/>
    </row>
    <row r="14" spans="2:81" ht="13" thickBot="1" x14ac:dyDescent="0.3"/>
    <row r="15" spans="2:81" ht="15.5" x14ac:dyDescent="0.35">
      <c r="B15" s="601" t="s">
        <v>4</v>
      </c>
      <c r="C15" s="602"/>
      <c r="D15" s="602"/>
      <c r="E15" s="602"/>
      <c r="F15" s="602"/>
      <c r="G15" s="602"/>
      <c r="H15" s="602"/>
      <c r="I15" s="602"/>
      <c r="J15" s="602"/>
      <c r="K15" s="602"/>
      <c r="L15" s="602"/>
      <c r="M15" s="602"/>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c r="AK15" s="602"/>
      <c r="AL15" s="602"/>
      <c r="AM15" s="602"/>
      <c r="AN15" s="602"/>
      <c r="AO15" s="603"/>
      <c r="AP15" s="601" t="s">
        <v>5</v>
      </c>
      <c r="AQ15" s="602"/>
      <c r="AR15" s="602"/>
      <c r="AS15" s="602"/>
      <c r="AT15" s="602"/>
      <c r="AU15" s="602"/>
      <c r="AV15" s="602"/>
      <c r="AW15" s="602"/>
      <c r="AX15" s="602"/>
      <c r="AY15" s="602"/>
      <c r="AZ15" s="602"/>
      <c r="BA15" s="602"/>
      <c r="BB15" s="602"/>
      <c r="BC15" s="602"/>
      <c r="BD15" s="602"/>
      <c r="BE15" s="602"/>
      <c r="BF15" s="602"/>
      <c r="BG15" s="602"/>
      <c r="BH15" s="602"/>
      <c r="BI15" s="602"/>
      <c r="BJ15" s="602"/>
      <c r="BK15" s="602"/>
      <c r="BL15" s="602"/>
      <c r="BM15" s="603"/>
      <c r="BN15" s="601" t="s">
        <v>6</v>
      </c>
      <c r="BO15" s="602"/>
      <c r="BP15" s="602"/>
      <c r="BQ15" s="602"/>
      <c r="BR15" s="602"/>
      <c r="BS15" s="602"/>
      <c r="BT15" s="602"/>
      <c r="BU15" s="602"/>
      <c r="BV15" s="602"/>
      <c r="BW15" s="602"/>
      <c r="BX15" s="602"/>
      <c r="BY15" s="602"/>
      <c r="BZ15" s="602"/>
      <c r="CA15" s="602"/>
      <c r="CB15" s="602"/>
      <c r="CC15" s="603"/>
    </row>
    <row r="16" spans="2:81" ht="54.75" customHeight="1" x14ac:dyDescent="0.25">
      <c r="B16" s="608" t="s">
        <v>7</v>
      </c>
      <c r="C16" s="605"/>
      <c r="D16" s="605"/>
      <c r="E16" s="605"/>
      <c r="F16" s="605"/>
      <c r="G16" s="605"/>
      <c r="H16" s="605"/>
      <c r="I16" s="609"/>
      <c r="J16" s="604" t="s">
        <v>8</v>
      </c>
      <c r="K16" s="605"/>
      <c r="L16" s="605"/>
      <c r="M16" s="605"/>
      <c r="N16" s="605"/>
      <c r="O16" s="605"/>
      <c r="P16" s="605"/>
      <c r="Q16" s="609"/>
      <c r="R16" s="604" t="s">
        <v>9</v>
      </c>
      <c r="S16" s="605"/>
      <c r="T16" s="605"/>
      <c r="U16" s="605"/>
      <c r="V16" s="605"/>
      <c r="W16" s="605"/>
      <c r="X16" s="605"/>
      <c r="Y16" s="609"/>
      <c r="Z16" s="604" t="s">
        <v>10</v>
      </c>
      <c r="AA16" s="605"/>
      <c r="AB16" s="605"/>
      <c r="AC16" s="605"/>
      <c r="AD16" s="605"/>
      <c r="AE16" s="605"/>
      <c r="AF16" s="605"/>
      <c r="AG16" s="609"/>
      <c r="AH16" s="604" t="s">
        <v>11</v>
      </c>
      <c r="AI16" s="605"/>
      <c r="AJ16" s="605"/>
      <c r="AK16" s="605"/>
      <c r="AL16" s="605"/>
      <c r="AM16" s="605"/>
      <c r="AN16" s="605"/>
      <c r="AO16" s="606"/>
      <c r="AP16" s="608" t="s">
        <v>12</v>
      </c>
      <c r="AQ16" s="605"/>
      <c r="AR16" s="605"/>
      <c r="AS16" s="605"/>
      <c r="AT16" s="605"/>
      <c r="AU16" s="605"/>
      <c r="AV16" s="605"/>
      <c r="AW16" s="609"/>
      <c r="AX16" s="604" t="s">
        <v>13</v>
      </c>
      <c r="AY16" s="605"/>
      <c r="AZ16" s="605"/>
      <c r="BA16" s="605"/>
      <c r="BB16" s="605"/>
      <c r="BC16" s="605"/>
      <c r="BD16" s="605"/>
      <c r="BE16" s="609"/>
      <c r="BF16" s="604" t="s">
        <v>14</v>
      </c>
      <c r="BG16" s="605"/>
      <c r="BH16" s="605"/>
      <c r="BI16" s="605"/>
      <c r="BJ16" s="605"/>
      <c r="BK16" s="605"/>
      <c r="BL16" s="605"/>
      <c r="BM16" s="606"/>
      <c r="BN16" s="608" t="s">
        <v>15</v>
      </c>
      <c r="BO16" s="605"/>
      <c r="BP16" s="605"/>
      <c r="BQ16" s="605"/>
      <c r="BR16" s="605"/>
      <c r="BS16" s="605"/>
      <c r="BT16" s="605"/>
      <c r="BU16" s="609"/>
      <c r="BV16" s="604" t="s">
        <v>16</v>
      </c>
      <c r="BW16" s="605"/>
      <c r="BX16" s="605"/>
      <c r="BY16" s="605"/>
      <c r="BZ16" s="605"/>
      <c r="CA16" s="605"/>
      <c r="CB16" s="605"/>
      <c r="CC16" s="606"/>
    </row>
    <row r="17" spans="2:81" ht="8.15" customHeight="1" x14ac:dyDescent="0.25">
      <c r="B17" s="446"/>
      <c r="C17" s="447"/>
      <c r="D17" s="447"/>
      <c r="E17" s="447"/>
      <c r="F17" s="447"/>
      <c r="G17" s="447"/>
      <c r="H17" s="447"/>
      <c r="I17" s="448"/>
      <c r="J17" s="449"/>
      <c r="K17" s="447"/>
      <c r="L17" s="447"/>
      <c r="M17" s="447"/>
      <c r="N17" s="447"/>
      <c r="O17" s="447"/>
      <c r="P17" s="447"/>
      <c r="Q17" s="448"/>
      <c r="R17" s="449"/>
      <c r="S17" s="447"/>
      <c r="T17" s="447"/>
      <c r="U17" s="447"/>
      <c r="V17" s="447"/>
      <c r="W17" s="447"/>
      <c r="X17" s="447"/>
      <c r="Y17" s="448"/>
      <c r="Z17" s="449"/>
      <c r="AA17" s="447"/>
      <c r="AB17" s="447"/>
      <c r="AC17" s="447"/>
      <c r="AD17" s="447"/>
      <c r="AE17" s="447"/>
      <c r="AF17" s="447"/>
      <c r="AG17" s="448"/>
      <c r="AH17" s="449"/>
      <c r="AI17" s="447"/>
      <c r="AJ17" s="447"/>
      <c r="AK17" s="447"/>
      <c r="AL17" s="447"/>
      <c r="AM17" s="447"/>
      <c r="AN17" s="447"/>
      <c r="AO17" s="450"/>
      <c r="AP17" s="446"/>
      <c r="AQ17" s="447"/>
      <c r="AR17" s="447"/>
      <c r="AS17" s="447"/>
      <c r="AT17" s="447"/>
      <c r="AU17" s="447"/>
      <c r="AV17" s="447"/>
      <c r="AW17" s="448"/>
      <c r="AX17" s="449"/>
      <c r="AY17" s="447"/>
      <c r="AZ17" s="447"/>
      <c r="BA17" s="447"/>
      <c r="BB17" s="447"/>
      <c r="BC17" s="447"/>
      <c r="BD17" s="447"/>
      <c r="BE17" s="448"/>
      <c r="BF17" s="449"/>
      <c r="BG17" s="447"/>
      <c r="BH17" s="447"/>
      <c r="BI17" s="447"/>
      <c r="BJ17" s="447"/>
      <c r="BK17" s="447"/>
      <c r="BL17" s="447"/>
      <c r="BM17" s="450"/>
      <c r="BN17" s="446"/>
      <c r="BO17" s="447"/>
      <c r="BP17" s="447"/>
      <c r="BQ17" s="447"/>
      <c r="BR17" s="447"/>
      <c r="BS17" s="447"/>
      <c r="BT17" s="447"/>
      <c r="BU17" s="448"/>
      <c r="BV17" s="449"/>
      <c r="BW17" s="447"/>
      <c r="BX17" s="447"/>
      <c r="BY17" s="447"/>
      <c r="BZ17" s="447"/>
      <c r="CA17" s="447"/>
      <c r="CB17" s="447"/>
      <c r="CC17" s="450"/>
    </row>
    <row r="18" spans="2:81" ht="22.5" customHeight="1" x14ac:dyDescent="0.25">
      <c r="B18" s="451"/>
      <c r="C18" s="607"/>
      <c r="D18" s="607"/>
      <c r="E18" s="607"/>
      <c r="F18" s="607"/>
      <c r="G18" s="607"/>
      <c r="H18" s="607"/>
      <c r="I18" s="452"/>
      <c r="J18" s="453"/>
      <c r="K18" s="607"/>
      <c r="L18" s="607"/>
      <c r="M18" s="607"/>
      <c r="N18" s="607"/>
      <c r="O18" s="607"/>
      <c r="P18" s="607"/>
      <c r="Q18" s="452"/>
      <c r="R18" s="453"/>
      <c r="S18" s="607"/>
      <c r="T18" s="607"/>
      <c r="U18" s="607"/>
      <c r="V18" s="607"/>
      <c r="W18" s="607"/>
      <c r="X18" s="607"/>
      <c r="Y18" s="452"/>
      <c r="Z18" s="453"/>
      <c r="AA18" s="607"/>
      <c r="AB18" s="607"/>
      <c r="AC18" s="607"/>
      <c r="AD18" s="607"/>
      <c r="AE18" s="607"/>
      <c r="AF18" s="607"/>
      <c r="AG18" s="452"/>
      <c r="AH18" s="453"/>
      <c r="AI18" s="607"/>
      <c r="AJ18" s="607"/>
      <c r="AK18" s="607"/>
      <c r="AL18" s="607"/>
      <c r="AM18" s="607"/>
      <c r="AN18" s="607"/>
      <c r="AO18" s="454"/>
      <c r="AP18" s="451"/>
      <c r="AQ18" s="607"/>
      <c r="AR18" s="607"/>
      <c r="AS18" s="607"/>
      <c r="AT18" s="607"/>
      <c r="AU18" s="607"/>
      <c r="AV18" s="607"/>
      <c r="AW18" s="452"/>
      <c r="AX18" s="453"/>
      <c r="AY18" s="607"/>
      <c r="AZ18" s="607"/>
      <c r="BA18" s="607"/>
      <c r="BB18" s="607"/>
      <c r="BC18" s="607"/>
      <c r="BD18" s="607"/>
      <c r="BE18" s="452"/>
      <c r="BF18" s="453"/>
      <c r="BG18" s="607"/>
      <c r="BH18" s="607"/>
      <c r="BI18" s="607"/>
      <c r="BJ18" s="607"/>
      <c r="BK18" s="607"/>
      <c r="BL18" s="607"/>
      <c r="BM18" s="454"/>
      <c r="BN18" s="451"/>
      <c r="BO18" s="607"/>
      <c r="BP18" s="607"/>
      <c r="BQ18" s="607"/>
      <c r="BR18" s="607"/>
      <c r="BS18" s="607"/>
      <c r="BT18" s="607"/>
      <c r="BU18" s="452"/>
      <c r="BV18" s="453"/>
      <c r="BW18" s="607"/>
      <c r="BX18" s="607"/>
      <c r="BY18" s="607"/>
      <c r="BZ18" s="607"/>
      <c r="CA18" s="607"/>
      <c r="CB18" s="607"/>
      <c r="CC18" s="454"/>
    </row>
    <row r="19" spans="2:81" ht="8.15" customHeight="1" thickBot="1" x14ac:dyDescent="0.3">
      <c r="B19" s="525"/>
      <c r="C19" s="526"/>
      <c r="D19" s="526"/>
      <c r="E19" s="526"/>
      <c r="F19" s="526"/>
      <c r="G19" s="526"/>
      <c r="H19" s="526"/>
      <c r="I19" s="527"/>
      <c r="J19" s="528"/>
      <c r="K19" s="526"/>
      <c r="L19" s="526"/>
      <c r="M19" s="526"/>
      <c r="N19" s="526"/>
      <c r="O19" s="526"/>
      <c r="P19" s="526"/>
      <c r="Q19" s="527"/>
      <c r="R19" s="528"/>
      <c r="S19" s="526"/>
      <c r="T19" s="526"/>
      <c r="U19" s="526"/>
      <c r="V19" s="526"/>
      <c r="W19" s="526"/>
      <c r="X19" s="526"/>
      <c r="Y19" s="527"/>
      <c r="Z19" s="528"/>
      <c r="AA19" s="526"/>
      <c r="AB19" s="526"/>
      <c r="AC19" s="526"/>
      <c r="AD19" s="526"/>
      <c r="AE19" s="526"/>
      <c r="AF19" s="526"/>
      <c r="AG19" s="527"/>
      <c r="AH19" s="528"/>
      <c r="AI19" s="526"/>
      <c r="AJ19" s="526"/>
      <c r="AK19" s="526"/>
      <c r="AL19" s="526"/>
      <c r="AM19" s="526"/>
      <c r="AN19" s="526"/>
      <c r="AO19" s="529"/>
      <c r="AP19" s="525"/>
      <c r="AQ19" s="526"/>
      <c r="AR19" s="526"/>
      <c r="AS19" s="526"/>
      <c r="AT19" s="526"/>
      <c r="AU19" s="526"/>
      <c r="AV19" s="526"/>
      <c r="AW19" s="527"/>
      <c r="AX19" s="528"/>
      <c r="AY19" s="526"/>
      <c r="AZ19" s="526"/>
      <c r="BA19" s="526"/>
      <c r="BB19" s="526"/>
      <c r="BC19" s="526"/>
      <c r="BD19" s="526"/>
      <c r="BE19" s="527"/>
      <c r="BF19" s="528"/>
      <c r="BG19" s="526"/>
      <c r="BH19" s="526"/>
      <c r="BI19" s="526"/>
      <c r="BJ19" s="526"/>
      <c r="BK19" s="526"/>
      <c r="BL19" s="526"/>
      <c r="BM19" s="529"/>
      <c r="BN19" s="525"/>
      <c r="BO19" s="526"/>
      <c r="BP19" s="526"/>
      <c r="BQ19" s="526"/>
      <c r="BR19" s="526"/>
      <c r="BS19" s="526"/>
      <c r="BT19" s="526"/>
      <c r="BU19" s="527"/>
      <c r="BV19" s="528"/>
      <c r="BW19" s="526"/>
      <c r="BX19" s="526"/>
      <c r="BY19" s="526"/>
      <c r="BZ19" s="526"/>
      <c r="CA19" s="526"/>
      <c r="CB19" s="526"/>
      <c r="CC19" s="529"/>
    </row>
    <row r="21" spans="2:81" ht="12.75" customHeight="1" x14ac:dyDescent="0.25"/>
  </sheetData>
  <sheetProtection password="C925" sheet="1" objects="1" scenarios="1"/>
  <mergeCells count="25">
    <mergeCell ref="B16:I16"/>
    <mergeCell ref="C18:H18"/>
    <mergeCell ref="J16:Q16"/>
    <mergeCell ref="R16:Y16"/>
    <mergeCell ref="Z16:AG16"/>
    <mergeCell ref="K18:P18"/>
    <mergeCell ref="S18:X18"/>
    <mergeCell ref="AA18:AF18"/>
    <mergeCell ref="AH16:AO16"/>
    <mergeCell ref="AI18:AN18"/>
    <mergeCell ref="AP16:AW16"/>
    <mergeCell ref="AQ18:AV18"/>
    <mergeCell ref="BW18:CB18"/>
    <mergeCell ref="BV16:CC16"/>
    <mergeCell ref="AX16:BE16"/>
    <mergeCell ref="AY18:BD18"/>
    <mergeCell ref="BF16:BM16"/>
    <mergeCell ref="BG18:BL18"/>
    <mergeCell ref="BN16:BU16"/>
    <mergeCell ref="BO18:BT18"/>
    <mergeCell ref="B15:AO15"/>
    <mergeCell ref="B4:Q4"/>
    <mergeCell ref="AP15:BM15"/>
    <mergeCell ref="BN15:CC15"/>
    <mergeCell ref="R4:CC4"/>
  </mergeCells>
  <pageMargins left="0.5" right="0.5" top="0.75" bottom="0.75" header="0.3" footer="0.3"/>
  <pageSetup scale="96"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B1:O27"/>
  <sheetViews>
    <sheetView showGridLines="0" showRowColHeaders="0" zoomScale="110" zoomScaleNormal="110" workbookViewId="0">
      <pane ySplit="6" topLeftCell="A20" activePane="bottomLeft" state="frozen"/>
      <selection activeCell="I21" sqref="I21"/>
      <selection pane="bottomLeft" activeCell="M7" sqref="M7:N19"/>
    </sheetView>
  </sheetViews>
  <sheetFormatPr defaultColWidth="9.1796875" defaultRowHeight="13" x14ac:dyDescent="0.3"/>
  <cols>
    <col min="1" max="1" width="1" style="2" customWidth="1"/>
    <col min="2" max="2" width="1.81640625" style="2" customWidth="1"/>
    <col min="3" max="3" width="11.1796875" style="2" customWidth="1"/>
    <col min="4" max="4" width="8.7265625" style="2" hidden="1" customWidth="1"/>
    <col min="5" max="5" width="11.453125" style="2" customWidth="1"/>
    <col min="6" max="6" width="16.7265625" style="2" customWidth="1"/>
    <col min="7" max="7" width="27" style="2" customWidth="1"/>
    <col min="8" max="8" width="17.26953125" style="2" customWidth="1"/>
    <col min="9" max="9" width="19" style="2" customWidth="1"/>
    <col min="10" max="10" width="11.1796875" style="2" customWidth="1"/>
    <col min="11" max="11" width="9.81640625" style="2" customWidth="1"/>
    <col min="12" max="12" width="9.7265625" style="2" customWidth="1"/>
    <col min="13" max="13" width="10" style="2" customWidth="1"/>
    <col min="14" max="14" width="10.453125" style="2" customWidth="1"/>
    <col min="15" max="15" width="2.7265625" style="2" customWidth="1"/>
    <col min="16" max="16" width="1" style="2" customWidth="1"/>
    <col min="17" max="16384" width="9.1796875" style="2"/>
  </cols>
  <sheetData>
    <row r="1" spans="2:15" ht="5.15" customHeight="1" thickBot="1" x14ac:dyDescent="0.35"/>
    <row r="2" spans="2:15" ht="38.25" customHeight="1" thickBot="1" x14ac:dyDescent="0.35">
      <c r="B2" s="629" t="s">
        <v>175</v>
      </c>
      <c r="C2" s="629"/>
      <c r="D2" s="629"/>
      <c r="E2" s="629"/>
      <c r="F2" s="629"/>
      <c r="G2" s="629"/>
      <c r="H2" s="629"/>
      <c r="I2" s="629"/>
      <c r="J2" s="629"/>
      <c r="K2" s="629"/>
      <c r="L2" s="629"/>
      <c r="M2" s="629"/>
      <c r="N2" s="629"/>
      <c r="O2" s="629"/>
    </row>
    <row r="3" spans="2:15" ht="45" customHeight="1" x14ac:dyDescent="0.3"/>
    <row r="4" spans="2:15" ht="14.25" customHeight="1" x14ac:dyDescent="0.3">
      <c r="E4" s="354" t="str">
        <f>IF(D27&gt;0,"Incomplete - All required information for each training must be completed.","")</f>
        <v>Incomplete - All required information for each training must be completed.</v>
      </c>
    </row>
    <row r="5" spans="2:15" ht="7.5" customHeight="1" x14ac:dyDescent="0.3"/>
    <row r="6" spans="2:15" ht="52" x14ac:dyDescent="0.3">
      <c r="C6" s="400" t="s">
        <v>176</v>
      </c>
      <c r="D6" s="400" t="s">
        <v>177</v>
      </c>
      <c r="E6" s="400" t="s">
        <v>178</v>
      </c>
      <c r="F6" s="400" t="s">
        <v>179</v>
      </c>
      <c r="G6" s="400" t="s">
        <v>180</v>
      </c>
      <c r="H6" s="400" t="s">
        <v>181</v>
      </c>
      <c r="I6" s="400" t="s">
        <v>182</v>
      </c>
      <c r="J6" s="400" t="s">
        <v>183</v>
      </c>
      <c r="K6" s="400" t="s">
        <v>184</v>
      </c>
      <c r="L6" s="400" t="s">
        <v>185</v>
      </c>
      <c r="M6" s="400" t="s">
        <v>186</v>
      </c>
      <c r="N6" s="401" t="s">
        <v>187</v>
      </c>
    </row>
    <row r="7" spans="2:15" ht="25" x14ac:dyDescent="0.3">
      <c r="C7" s="399">
        <f t="shared" ref="C7:C24" si="0">ROW()-6</f>
        <v>1</v>
      </c>
      <c r="D7" s="18">
        <f>IF(AND(ISBLANK(Table2[[#This Row],[Start Date]]),ISBLANK(Table2[[#This Row],[Class]]),ISBLANK(Table2[[#This Row],[Class Description]]),ISBLANK(Table2[[#This Row],[No. of Attendees
(A)]])),0,IF(OR(ISBLANK(Table2[[#This Row],[Class]]),ISBLANK(Table2[[#This Row],[No. of Attendees
(A)]]),ISBLANK(Table2[[#This Row],[Length of Session
(B)]])),1,0))</f>
        <v>0</v>
      </c>
      <c r="E7" s="408" t="s">
        <v>717</v>
      </c>
      <c r="F7" s="409" t="s">
        <v>718</v>
      </c>
      <c r="G7" s="410" t="s">
        <v>719</v>
      </c>
      <c r="H7" s="409" t="s">
        <v>720</v>
      </c>
      <c r="I7" s="409" t="s">
        <v>73</v>
      </c>
      <c r="J7" s="411">
        <v>9</v>
      </c>
      <c r="K7" s="411">
        <v>12</v>
      </c>
      <c r="L7" s="402">
        <f>J7*K7</f>
        <v>108</v>
      </c>
      <c r="M7" s="591"/>
      <c r="N7" s="591"/>
    </row>
    <row r="8" spans="2:15" ht="12.75" customHeight="1" x14ac:dyDescent="0.3">
      <c r="C8" s="399">
        <f t="shared" si="0"/>
        <v>2</v>
      </c>
      <c r="D8" s="18">
        <f>IF(AND(ISBLANK(Table2[[#This Row],[Start Date]]),ISBLANK(Table2[[#This Row],[Class]]),ISBLANK(Table2[[#This Row],[Class Description]]),ISBLANK(Table2[[#This Row],[No. of Attendees
(A)]])),0,IF(OR(ISBLANK(Table2[[#This Row],[Class]]),ISBLANK(Table2[[#This Row],[No. of Attendees
(A)]]),ISBLANK(Table2[[#This Row],[Length of Session
(B)]])),1,0))</f>
        <v>0</v>
      </c>
      <c r="E8" s="408" t="s">
        <v>721</v>
      </c>
      <c r="F8" s="409" t="s">
        <v>722</v>
      </c>
      <c r="G8" s="410" t="s">
        <v>723</v>
      </c>
      <c r="H8" s="409" t="s">
        <v>724</v>
      </c>
      <c r="I8" s="409" t="s">
        <v>73</v>
      </c>
      <c r="J8" s="411">
        <v>10</v>
      </c>
      <c r="K8" s="411">
        <v>20</v>
      </c>
      <c r="L8" s="402">
        <f t="shared" ref="L8:L24" si="1">J8*K8</f>
        <v>200</v>
      </c>
      <c r="M8" s="591"/>
      <c r="N8" s="591"/>
    </row>
    <row r="9" spans="2:15" ht="12.75" customHeight="1" x14ac:dyDescent="0.3">
      <c r="C9" s="399">
        <f t="shared" si="0"/>
        <v>3</v>
      </c>
      <c r="D9" s="18">
        <f>IF(AND(ISBLANK(Table2[[#This Row],[Start Date]]),ISBLANK(Table2[[#This Row],[Class]]),ISBLANK(Table2[[#This Row],[Class Description]]),ISBLANK(Table2[[#This Row],[No. of Attendees
(A)]])),0,IF(OR(ISBLANK(Table2[[#This Row],[Class]]),ISBLANK(Table2[[#This Row],[No. of Attendees
(A)]]),ISBLANK(Table2[[#This Row],[Length of Session
(B)]])),1,0))</f>
        <v>0</v>
      </c>
      <c r="E9" s="408" t="s">
        <v>725</v>
      </c>
      <c r="F9" s="409" t="s">
        <v>722</v>
      </c>
      <c r="G9" s="410" t="s">
        <v>726</v>
      </c>
      <c r="H9" s="409" t="s">
        <v>724</v>
      </c>
      <c r="I9" s="409" t="s">
        <v>73</v>
      </c>
      <c r="J9" s="411">
        <v>10</v>
      </c>
      <c r="K9" s="411">
        <v>28</v>
      </c>
      <c r="L9" s="402">
        <f t="shared" si="1"/>
        <v>280</v>
      </c>
      <c r="M9" s="591" t="s">
        <v>190</v>
      </c>
      <c r="N9" s="591">
        <v>10</v>
      </c>
    </row>
    <row r="10" spans="2:15" ht="25" x14ac:dyDescent="0.35">
      <c r="C10" s="399">
        <f t="shared" si="0"/>
        <v>4</v>
      </c>
      <c r="D10" s="18">
        <f>IF(AND(ISBLANK(Table2[[#This Row],[Start Date]]),ISBLANK(Table2[[#This Row],[Class]]),ISBLANK(Table2[[#This Row],[Class Description]]),ISBLANK(Table2[[#This Row],[No. of Attendees
(A)]])),0,IF(OR(ISBLANK(Table2[[#This Row],[Class]]),ISBLANK(Table2[[#This Row],[No. of Attendees
(A)]]),ISBLANK(Table2[[#This Row],[Length of Session
(B)]])),1,0))</f>
        <v>0</v>
      </c>
      <c r="E10" s="408" t="s">
        <v>727</v>
      </c>
      <c r="F10" s="409" t="s">
        <v>728</v>
      </c>
      <c r="G10" s="410" t="s">
        <v>729</v>
      </c>
      <c r="H10" s="409" t="s">
        <v>720</v>
      </c>
      <c r="I10" s="409" t="s">
        <v>73</v>
      </c>
      <c r="J10" s="411">
        <v>12</v>
      </c>
      <c r="K10" s="411">
        <v>16</v>
      </c>
      <c r="L10" s="402">
        <f t="shared" si="1"/>
        <v>192</v>
      </c>
      <c r="M10" s="589"/>
      <c r="N10" s="590"/>
    </row>
    <row r="11" spans="2:15" ht="14.5" x14ac:dyDescent="0.3">
      <c r="C11" s="399">
        <f t="shared" si="0"/>
        <v>5</v>
      </c>
      <c r="D11" s="18">
        <f>IF(AND(ISBLANK(Table2[[#This Row],[Start Date]]),ISBLANK(Table2[[#This Row],[Class]]),ISBLANK(Table2[[#This Row],[Class Description]]),ISBLANK(Table2[[#This Row],[No. of Attendees
(A)]])),0,IF(OR(ISBLANK(Table2[[#This Row],[Class]]),ISBLANK(Table2[[#This Row],[No. of Attendees
(A)]]),ISBLANK(Table2[[#This Row],[Length of Session
(B)]])),1,0))</f>
        <v>0</v>
      </c>
      <c r="E11" s="408">
        <v>45447</v>
      </c>
      <c r="F11" s="409" t="s">
        <v>730</v>
      </c>
      <c r="G11" s="410" t="s">
        <v>731</v>
      </c>
      <c r="H11" s="409" t="s">
        <v>732</v>
      </c>
      <c r="I11" s="409" t="s">
        <v>73</v>
      </c>
      <c r="J11" s="411">
        <v>12</v>
      </c>
      <c r="K11" s="411">
        <v>6</v>
      </c>
      <c r="L11" s="402">
        <f t="shared" si="1"/>
        <v>72</v>
      </c>
      <c r="M11" s="591" t="s">
        <v>190</v>
      </c>
      <c r="N11" s="593">
        <v>10</v>
      </c>
    </row>
    <row r="12" spans="2:15" ht="25" x14ac:dyDescent="0.3">
      <c r="C12" s="399">
        <f t="shared" si="0"/>
        <v>6</v>
      </c>
      <c r="D12" s="18">
        <f>IF(AND(ISBLANK(Table2[[#This Row],[Start Date]]),ISBLANK(Table2[[#This Row],[Class]]),ISBLANK(Table2[[#This Row],[Class Description]]),ISBLANK(Table2[[#This Row],[No. of Attendees
(A)]])),0,IF(OR(ISBLANK(Table2[[#This Row],[Class]]),ISBLANK(Table2[[#This Row],[No. of Attendees
(A)]]),ISBLANK(Table2[[#This Row],[Length of Session
(B)]])),1,0))</f>
        <v>0</v>
      </c>
      <c r="E12" s="408" t="s">
        <v>733</v>
      </c>
      <c r="F12" s="409" t="s">
        <v>718</v>
      </c>
      <c r="G12" s="410" t="s">
        <v>719</v>
      </c>
      <c r="H12" s="409" t="s">
        <v>720</v>
      </c>
      <c r="I12" s="409" t="s">
        <v>73</v>
      </c>
      <c r="J12" s="411">
        <v>8</v>
      </c>
      <c r="K12" s="411">
        <v>12</v>
      </c>
      <c r="L12" s="402">
        <f t="shared" si="1"/>
        <v>96</v>
      </c>
      <c r="M12" s="592"/>
      <c r="N12" s="595"/>
    </row>
    <row r="13" spans="2:15" ht="25" x14ac:dyDescent="0.3">
      <c r="C13" s="399">
        <f t="shared" si="0"/>
        <v>7</v>
      </c>
      <c r="D13" s="18">
        <f>IF(AND(ISBLANK(Table2[[#This Row],[Start Date]]),ISBLANK(Table2[[#This Row],[Class]]),ISBLANK(Table2[[#This Row],[Class Description]]),ISBLANK(Table2[[#This Row],[No. of Attendees
(A)]])),0,IF(OR(ISBLANK(Table2[[#This Row],[Class]]),ISBLANK(Table2[[#This Row],[No. of Attendees
(A)]]),ISBLANK(Table2[[#This Row],[Length of Session
(B)]])),1,0))</f>
        <v>0</v>
      </c>
      <c r="E13" s="408" t="s">
        <v>734</v>
      </c>
      <c r="F13" s="409" t="s">
        <v>722</v>
      </c>
      <c r="G13" s="410" t="s">
        <v>723</v>
      </c>
      <c r="H13" s="409" t="s">
        <v>724</v>
      </c>
      <c r="I13" s="409" t="s">
        <v>73</v>
      </c>
      <c r="J13" s="411">
        <v>8</v>
      </c>
      <c r="K13" s="411">
        <v>20</v>
      </c>
      <c r="L13" s="402">
        <f t="shared" si="1"/>
        <v>160</v>
      </c>
      <c r="M13" s="594"/>
      <c r="N13" s="591"/>
    </row>
    <row r="14" spans="2:15" ht="25" x14ac:dyDescent="0.3">
      <c r="C14" s="399">
        <f t="shared" si="0"/>
        <v>8</v>
      </c>
      <c r="D14" s="18">
        <f>IF(AND(ISBLANK(Table2[[#This Row],[Start Date]]),ISBLANK(Table2[[#This Row],[Class]]),ISBLANK(Table2[[#This Row],[Class Description]]),ISBLANK(Table2[[#This Row],[No. of Attendees
(A)]])),0,IF(OR(ISBLANK(Table2[[#This Row],[Class]]),ISBLANK(Table2[[#This Row],[No. of Attendees
(A)]]),ISBLANK(Table2[[#This Row],[Length of Session
(B)]])),1,0))</f>
        <v>0</v>
      </c>
      <c r="E14" s="408" t="s">
        <v>735</v>
      </c>
      <c r="F14" s="409" t="s">
        <v>722</v>
      </c>
      <c r="G14" s="410" t="s">
        <v>726</v>
      </c>
      <c r="H14" s="409" t="s">
        <v>724</v>
      </c>
      <c r="I14" s="409" t="s">
        <v>73</v>
      </c>
      <c r="J14" s="411">
        <v>8</v>
      </c>
      <c r="K14" s="411">
        <v>20</v>
      </c>
      <c r="L14" s="402">
        <f t="shared" si="1"/>
        <v>160</v>
      </c>
      <c r="M14" s="591" t="s">
        <v>190</v>
      </c>
      <c r="N14" s="591">
        <v>5</v>
      </c>
    </row>
    <row r="15" spans="2:15" ht="25" x14ac:dyDescent="0.35">
      <c r="C15" s="399">
        <f t="shared" si="0"/>
        <v>9</v>
      </c>
      <c r="D15" s="18">
        <f>IF(AND(ISBLANK(Table2[[#This Row],[Start Date]]),ISBLANK(Table2[[#This Row],[Class]]),ISBLANK(Table2[[#This Row],[Class Description]]),ISBLANK(Table2[[#This Row],[No. of Attendees
(A)]])),0,IF(OR(ISBLANK(Table2[[#This Row],[Class]]),ISBLANK(Table2[[#This Row],[No. of Attendees
(A)]]),ISBLANK(Table2[[#This Row],[Length of Session
(B)]])),1,0))</f>
        <v>0</v>
      </c>
      <c r="E15" s="408" t="s">
        <v>736</v>
      </c>
      <c r="F15" s="409" t="s">
        <v>728</v>
      </c>
      <c r="G15" s="410" t="s">
        <v>729</v>
      </c>
      <c r="H15" s="409" t="s">
        <v>720</v>
      </c>
      <c r="I15" s="409" t="s">
        <v>73</v>
      </c>
      <c r="J15" s="411">
        <v>8</v>
      </c>
      <c r="K15" s="411">
        <v>12</v>
      </c>
      <c r="L15" s="402">
        <f t="shared" si="1"/>
        <v>96</v>
      </c>
      <c r="M15" s="589"/>
      <c r="N15" s="590"/>
    </row>
    <row r="16" spans="2:15" ht="14.5" x14ac:dyDescent="0.35">
      <c r="C16" s="399">
        <f t="shared" si="0"/>
        <v>10</v>
      </c>
      <c r="D16" s="18">
        <f>IF(AND(ISBLANK(Table2[[#This Row],[Start Date]]),ISBLANK(Table2[[#This Row],[Class]]),ISBLANK(Table2[[#This Row],[Class Description]]),ISBLANK(Table2[[#This Row],[No. of Attendees
(A)]])),0,IF(OR(ISBLANK(Table2[[#This Row],[Class]]),ISBLANK(Table2[[#This Row],[No. of Attendees
(A)]]),ISBLANK(Table2[[#This Row],[Length of Session
(B)]])),1,0))</f>
        <v>0</v>
      </c>
      <c r="E16" s="408" t="s">
        <v>737</v>
      </c>
      <c r="F16" s="409" t="s">
        <v>730</v>
      </c>
      <c r="G16" s="410" t="s">
        <v>731</v>
      </c>
      <c r="H16" s="409" t="s">
        <v>732</v>
      </c>
      <c r="I16" s="409" t="s">
        <v>73</v>
      </c>
      <c r="J16" s="411">
        <v>8</v>
      </c>
      <c r="K16" s="411">
        <v>6</v>
      </c>
      <c r="L16" s="402">
        <f t="shared" si="1"/>
        <v>48</v>
      </c>
      <c r="M16" s="596" t="s">
        <v>190</v>
      </c>
      <c r="N16" s="590">
        <v>5</v>
      </c>
    </row>
    <row r="17" spans="3:14" ht="14.5" x14ac:dyDescent="0.3">
      <c r="C17" s="399">
        <f t="shared" si="0"/>
        <v>11</v>
      </c>
      <c r="D17" s="18">
        <f>IF(AND(ISBLANK(Table2[[#This Row],[Start Date]]),ISBLANK(Table2[[#This Row],[Class]]),ISBLANK(Table2[[#This Row],[Class Description]]),ISBLANK(Table2[[#This Row],[No. of Attendees
(A)]])),0,IF(OR(ISBLANK(Table2[[#This Row],[Class]]),ISBLANK(Table2[[#This Row],[No. of Attendees
(A)]]),ISBLANK(Table2[[#This Row],[Length of Session
(B)]])),1,0))</f>
        <v>0</v>
      </c>
      <c r="E17" s="408"/>
      <c r="F17" s="409"/>
      <c r="G17" s="410"/>
      <c r="H17" s="409"/>
      <c r="I17" s="409"/>
      <c r="J17" s="411"/>
      <c r="K17" s="411"/>
      <c r="L17" s="402">
        <f t="shared" si="1"/>
        <v>0</v>
      </c>
      <c r="M17" s="591"/>
      <c r="N17" s="591"/>
    </row>
    <row r="18" spans="3:14" ht="37.5" x14ac:dyDescent="0.35">
      <c r="C18" s="399">
        <f t="shared" si="0"/>
        <v>12</v>
      </c>
      <c r="D18" s="18">
        <f>IF(AND(ISBLANK(Table2[[#This Row],[Start Date]]),ISBLANK(Table2[[#This Row],[Class]]),ISBLANK(Table2[[#This Row],[Class Description]]),ISBLANK(Table2[[#This Row],[No. of Attendees
(A)]])),0,IF(OR(ISBLANK(Table2[[#This Row],[Class]]),ISBLANK(Table2[[#This Row],[No. of Attendees
(A)]]),ISBLANK(Table2[[#This Row],[Length of Session
(B)]])),1,0))</f>
        <v>1</v>
      </c>
      <c r="E18" s="408" t="s">
        <v>738</v>
      </c>
      <c r="F18" s="409" t="s">
        <v>739</v>
      </c>
      <c r="G18" s="410" t="s">
        <v>740</v>
      </c>
      <c r="H18" s="409" t="s">
        <v>741</v>
      </c>
      <c r="I18" s="409" t="s">
        <v>73</v>
      </c>
      <c r="J18" s="411"/>
      <c r="K18" s="411">
        <v>2</v>
      </c>
      <c r="L18" s="402">
        <f t="shared" si="1"/>
        <v>0</v>
      </c>
      <c r="M18" s="596" t="s">
        <v>189</v>
      </c>
      <c r="N18" s="590"/>
    </row>
    <row r="19" spans="3:14" ht="14.5" x14ac:dyDescent="0.3">
      <c r="C19" s="399">
        <f t="shared" si="0"/>
        <v>13</v>
      </c>
      <c r="D19" s="18">
        <f>IF(AND(ISBLANK(Table2[[#This Row],[Start Date]]),ISBLANK(Table2[[#This Row],[Class]]),ISBLANK(Table2[[#This Row],[Class Description]]),ISBLANK(Table2[[#This Row],[No. of Attendees
(A)]])),0,IF(OR(ISBLANK(Table2[[#This Row],[Class]]),ISBLANK(Table2[[#This Row],[No. of Attendees
(A)]]),ISBLANK(Table2[[#This Row],[Length of Session
(B)]])),1,0))</f>
        <v>1</v>
      </c>
      <c r="E19" s="408" t="s">
        <v>742</v>
      </c>
      <c r="F19" s="409" t="s">
        <v>739</v>
      </c>
      <c r="G19" s="410" t="s">
        <v>743</v>
      </c>
      <c r="H19" s="409" t="s">
        <v>720</v>
      </c>
      <c r="I19" s="409" t="s">
        <v>73</v>
      </c>
      <c r="J19" s="411"/>
      <c r="K19" s="411">
        <v>2</v>
      </c>
      <c r="L19" s="402">
        <f t="shared" si="1"/>
        <v>0</v>
      </c>
      <c r="M19" s="591" t="s">
        <v>189</v>
      </c>
      <c r="N19" s="591"/>
    </row>
    <row r="20" spans="3:14" x14ac:dyDescent="0.3">
      <c r="C20" s="399">
        <f t="shared" si="0"/>
        <v>14</v>
      </c>
      <c r="D20" s="18">
        <f>IF(AND(ISBLANK(Table2[[#This Row],[Start Date]]),ISBLANK(Table2[[#This Row],[Class]]),ISBLANK(Table2[[#This Row],[Class Description]]),ISBLANK(Table2[[#This Row],[No. of Attendees
(A)]])),0,IF(OR(ISBLANK(Table2[[#This Row],[Class]]),ISBLANK(Table2[[#This Row],[No. of Attendees
(A)]]),ISBLANK(Table2[[#This Row],[Length of Session
(B)]])),1,0))</f>
        <v>1</v>
      </c>
      <c r="E20" s="408" t="s">
        <v>744</v>
      </c>
      <c r="F20" s="409" t="s">
        <v>739</v>
      </c>
      <c r="G20" s="410" t="s">
        <v>745</v>
      </c>
      <c r="H20" s="409" t="s">
        <v>720</v>
      </c>
      <c r="I20" s="409" t="s">
        <v>73</v>
      </c>
      <c r="J20" s="411"/>
      <c r="K20" s="411">
        <v>2</v>
      </c>
      <c r="L20" s="402">
        <f t="shared" si="1"/>
        <v>0</v>
      </c>
      <c r="M20" s="409"/>
      <c r="N20" s="409"/>
    </row>
    <row r="21" spans="3:14" x14ac:dyDescent="0.3">
      <c r="C21" s="399">
        <f t="shared" si="0"/>
        <v>15</v>
      </c>
      <c r="D21" s="18">
        <f>IF(AND(ISBLANK(Table2[[#This Row],[Start Date]]),ISBLANK(Table2[[#This Row],[Class]]),ISBLANK(Table2[[#This Row],[Class Description]]),ISBLANK(Table2[[#This Row],[No. of Attendees
(A)]])),0,IF(OR(ISBLANK(Table2[[#This Row],[Class]]),ISBLANK(Table2[[#This Row],[No. of Attendees
(A)]]),ISBLANK(Table2[[#This Row],[Length of Session
(B)]])),1,0))</f>
        <v>0</v>
      </c>
      <c r="E21" s="408"/>
      <c r="F21" s="409"/>
      <c r="G21" s="410"/>
      <c r="H21" s="409"/>
      <c r="I21" s="409"/>
      <c r="J21" s="411"/>
      <c r="K21" s="411"/>
      <c r="L21" s="402">
        <f t="shared" si="1"/>
        <v>0</v>
      </c>
      <c r="M21" s="409"/>
      <c r="N21" s="409"/>
    </row>
    <row r="22" spans="3:14" x14ac:dyDescent="0.3">
      <c r="C22" s="399">
        <f t="shared" si="0"/>
        <v>16</v>
      </c>
      <c r="D22" s="18">
        <f>IF(AND(ISBLANK(Table2[[#This Row],[Start Date]]),ISBLANK(Table2[[#This Row],[Class]]),ISBLANK(Table2[[#This Row],[Class Description]]),ISBLANK(Table2[[#This Row],[No. of Attendees
(A)]])),0,IF(OR(ISBLANK(Table2[[#This Row],[Class]]),ISBLANK(Table2[[#This Row],[No. of Attendees
(A)]]),ISBLANK(Table2[[#This Row],[Length of Session
(B)]])),1,0))</f>
        <v>0</v>
      </c>
      <c r="E22" s="408"/>
      <c r="F22" s="409"/>
      <c r="G22" s="410"/>
      <c r="H22" s="409"/>
      <c r="I22" s="409"/>
      <c r="J22" s="411"/>
      <c r="K22" s="411"/>
      <c r="L22" s="402">
        <f t="shared" si="1"/>
        <v>0</v>
      </c>
      <c r="M22" s="409"/>
      <c r="N22" s="409"/>
    </row>
    <row r="23" spans="3:14" x14ac:dyDescent="0.3">
      <c r="C23" s="399">
        <f t="shared" si="0"/>
        <v>17</v>
      </c>
      <c r="D23" s="18">
        <f>IF(AND(ISBLANK(Table2[[#This Row],[Start Date]]),ISBLANK(Table2[[#This Row],[Class]]),ISBLANK(Table2[[#This Row],[Class Description]]),ISBLANK(Table2[[#This Row],[No. of Attendees
(A)]])),0,IF(OR(ISBLANK(Table2[[#This Row],[Class]]),ISBLANK(Table2[[#This Row],[No. of Attendees
(A)]]),ISBLANK(Table2[[#This Row],[Length of Session
(B)]])),1,0))</f>
        <v>0</v>
      </c>
      <c r="E23" s="408"/>
      <c r="F23" s="409"/>
      <c r="G23" s="410"/>
      <c r="H23" s="409"/>
      <c r="I23" s="409"/>
      <c r="J23" s="411"/>
      <c r="K23" s="411"/>
      <c r="L23" s="402">
        <f t="shared" si="1"/>
        <v>0</v>
      </c>
      <c r="M23" s="409"/>
      <c r="N23" s="409"/>
    </row>
    <row r="24" spans="3:14" x14ac:dyDescent="0.3">
      <c r="C24" s="399">
        <f t="shared" si="0"/>
        <v>18</v>
      </c>
      <c r="D24" s="18">
        <f>IF(AND(ISBLANK(Table2[[#This Row],[Start Date]]),ISBLANK(Table2[[#This Row],[Class]]),ISBLANK(Table2[[#This Row],[Class Description]]),ISBLANK(Table2[[#This Row],[No. of Attendees
(A)]])),0,IF(OR(ISBLANK(Table2[[#This Row],[Class]]),ISBLANK(Table2[[#This Row],[No. of Attendees
(A)]]),ISBLANK(Table2[[#This Row],[Length of Session
(B)]])),1,0))</f>
        <v>0</v>
      </c>
      <c r="E24" s="408"/>
      <c r="F24" s="409"/>
      <c r="G24" s="410"/>
      <c r="H24" s="409"/>
      <c r="I24" s="409"/>
      <c r="J24" s="411"/>
      <c r="K24" s="411"/>
      <c r="L24" s="402">
        <f t="shared" si="1"/>
        <v>0</v>
      </c>
      <c r="M24" s="409"/>
      <c r="N24" s="409"/>
    </row>
    <row r="25" spans="3:14" x14ac:dyDescent="0.3">
      <c r="C25" s="399">
        <f>ROW()-6</f>
        <v>19</v>
      </c>
      <c r="D25" s="18">
        <f>IF(AND(ISBLANK(Table2[[#This Row],[Start Date]]),ISBLANK(Table2[[#This Row],[Class]]),ISBLANK(Table2[[#This Row],[Class Description]]),ISBLANK(Table2[[#This Row],[No. of Attendees
(A)]])),0,IF(OR(ISBLANK(Table2[[#This Row],[Class]]),ISBLANK(Table2[[#This Row],[No. of Attendees
(A)]]),ISBLANK(Table2[[#This Row],[Length of Session
(B)]])),1,0))</f>
        <v>0</v>
      </c>
      <c r="E25" s="408"/>
      <c r="F25" s="409"/>
      <c r="G25" s="410"/>
      <c r="H25" s="409"/>
      <c r="I25" s="409"/>
      <c r="J25" s="411"/>
      <c r="K25" s="411"/>
      <c r="L25" s="402">
        <f>J25*K25</f>
        <v>0</v>
      </c>
      <c r="M25" s="409"/>
      <c r="N25" s="409"/>
    </row>
    <row r="26" spans="3:14" x14ac:dyDescent="0.3">
      <c r="C26" s="399">
        <f>ROW()-6</f>
        <v>20</v>
      </c>
      <c r="D26" s="18">
        <f>IF(AND(ISBLANK(Table2[[#This Row],[Start Date]]),ISBLANK(Table2[[#This Row],[Class]]),ISBLANK(Table2[[#This Row],[Class Description]]),ISBLANK(Table2[[#This Row],[No. of Attendees
(A)]])),0,IF(OR(ISBLANK(Table2[[#This Row],[Class]]),ISBLANK(Table2[[#This Row],[No. of Attendees
(A)]]),ISBLANK(Table2[[#This Row],[Length of Session
(B)]])),1,0))</f>
        <v>0</v>
      </c>
      <c r="E26" s="408"/>
      <c r="F26" s="409"/>
      <c r="G26" s="410"/>
      <c r="H26" s="409"/>
      <c r="I26" s="409"/>
      <c r="J26" s="411"/>
      <c r="K26" s="411"/>
      <c r="L26" s="402">
        <f>J26*K26</f>
        <v>0</v>
      </c>
      <c r="M26" s="409"/>
      <c r="N26" s="409"/>
    </row>
    <row r="27" spans="3:14" x14ac:dyDescent="0.3">
      <c r="C27" s="403" t="s">
        <v>191</v>
      </c>
      <c r="D27" s="407">
        <f>SUM(Table2[Test])</f>
        <v>3</v>
      </c>
      <c r="E27" s="403" t="s">
        <v>192</v>
      </c>
      <c r="F27" s="404">
        <f>COUNTA(Table2[Class])</f>
        <v>13</v>
      </c>
      <c r="G27" s="405"/>
      <c r="H27" s="405"/>
      <c r="I27" s="405"/>
      <c r="J27" s="406">
        <f>SUM(J7:J26)</f>
        <v>93</v>
      </c>
      <c r="K27" s="405"/>
      <c r="L27" s="406">
        <f>SUM(L7:L26)</f>
        <v>1412</v>
      </c>
      <c r="M27" s="405"/>
      <c r="N27" s="406">
        <f>SUM(N7:N26)</f>
        <v>30</v>
      </c>
    </row>
  </sheetData>
  <sheetProtection algorithmName="SHA-512" hashValue="7VaalviIpkIQXM5VGISxnvC89XHFgtTIRYXabi6vBbIwm/42av80KMFpbySjqV76V496wCUgi7JWkadRqOk7gg==" saltValue="a0nkBMAH697M+Q0uclsxDw==" spinCount="100000" sheet="1" formatCells="0" formatRows="0" insertRows="0"/>
  <mergeCells count="1">
    <mergeCell ref="B2:O2"/>
  </mergeCells>
  <pageMargins left="0.25" right="0.25" top="0.5" bottom="0.5" header="0.3" footer="0.3"/>
  <pageSetup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B1:O19"/>
  <sheetViews>
    <sheetView showGridLines="0" showRowColHeaders="0" zoomScale="130" zoomScaleNormal="130" workbookViewId="0">
      <pane ySplit="6" topLeftCell="A10" activePane="bottomLeft" state="frozen"/>
      <selection activeCell="A7" sqref="A7"/>
      <selection pane="bottomLeft" activeCell="G10" sqref="G10"/>
    </sheetView>
  </sheetViews>
  <sheetFormatPr defaultColWidth="9.1796875" defaultRowHeight="13" x14ac:dyDescent="0.3"/>
  <cols>
    <col min="1" max="1" width="1" style="2" customWidth="1"/>
    <col min="2" max="2" width="1.81640625" style="2" customWidth="1"/>
    <col min="3" max="3" width="11.1796875" style="2" customWidth="1"/>
    <col min="4" max="4" width="8.7265625" style="2" hidden="1" customWidth="1"/>
    <col min="5" max="5" width="11.453125" style="2" customWidth="1"/>
    <col min="6" max="6" width="16.7265625" style="2" customWidth="1"/>
    <col min="7" max="7" width="27" style="2" customWidth="1"/>
    <col min="8" max="8" width="17.26953125" style="2" customWidth="1"/>
    <col min="9" max="9" width="19" style="2" customWidth="1"/>
    <col min="10" max="10" width="11.1796875" style="2" customWidth="1"/>
    <col min="11" max="11" width="9.81640625" style="2" customWidth="1"/>
    <col min="12" max="12" width="9.7265625" style="2" customWidth="1"/>
    <col min="13" max="13" width="10" style="2" customWidth="1"/>
    <col min="14" max="14" width="10.453125" style="2" customWidth="1"/>
    <col min="15" max="15" width="2.7265625" style="2" customWidth="1"/>
    <col min="16" max="16" width="1" style="2" customWidth="1"/>
    <col min="17" max="16384" width="9.1796875" style="2"/>
  </cols>
  <sheetData>
    <row r="1" spans="2:15" ht="5.15" customHeight="1" thickBot="1" x14ac:dyDescent="0.35"/>
    <row r="2" spans="2:15" ht="38.25" customHeight="1" thickBot="1" x14ac:dyDescent="0.35">
      <c r="B2" s="629" t="s">
        <v>193</v>
      </c>
      <c r="C2" s="629"/>
      <c r="D2" s="629"/>
      <c r="E2" s="629"/>
      <c r="F2" s="629"/>
      <c r="G2" s="629"/>
      <c r="H2" s="629"/>
      <c r="I2" s="629"/>
      <c r="J2" s="629"/>
      <c r="K2" s="629"/>
      <c r="L2" s="629"/>
      <c r="M2" s="629"/>
      <c r="N2" s="629"/>
      <c r="O2" s="629"/>
    </row>
    <row r="3" spans="2:15" ht="45" customHeight="1" x14ac:dyDescent="0.3"/>
    <row r="4" spans="2:15" ht="14.25" customHeight="1" x14ac:dyDescent="0.3">
      <c r="E4" s="354" t="str">
        <f>IF(D19&gt;0,"Incomplete - All required information for each training must be completed.","")</f>
        <v/>
      </c>
    </row>
    <row r="5" spans="2:15" ht="7.5" customHeight="1" x14ac:dyDescent="0.3"/>
    <row r="6" spans="2:15" ht="52" x14ac:dyDescent="0.3">
      <c r="C6" s="400" t="s">
        <v>176</v>
      </c>
      <c r="D6" s="400" t="s">
        <v>177</v>
      </c>
      <c r="E6" s="400" t="s">
        <v>178</v>
      </c>
      <c r="F6" s="400" t="s">
        <v>179</v>
      </c>
      <c r="G6" s="400" t="s">
        <v>180</v>
      </c>
      <c r="H6" s="400" t="s">
        <v>181</v>
      </c>
      <c r="I6" s="400" t="s">
        <v>182</v>
      </c>
      <c r="J6" s="400" t="s">
        <v>183</v>
      </c>
      <c r="K6" s="400" t="s">
        <v>184</v>
      </c>
      <c r="L6" s="400" t="s">
        <v>185</v>
      </c>
      <c r="M6" s="400" t="s">
        <v>186</v>
      </c>
      <c r="N6" s="401" t="s">
        <v>187</v>
      </c>
    </row>
    <row r="7" spans="2:15" x14ac:dyDescent="0.3">
      <c r="C7" s="399">
        <f t="shared" ref="C7:C14" si="0">ROW()-6</f>
        <v>1</v>
      </c>
      <c r="D7" s="18">
        <f>IF(AND(ISBLANK(Table22[[#This Row],[Start Date]]),ISBLANK(Table22[[#This Row],[Class]]),ISBLANK(Table22[[#This Row],[Class Description]]),ISBLANK(Table22[[#This Row],[No. of Attendees
(A)]])),0,IF(OR(ISBLANK(Table22[[#This Row],[Class]]),ISBLANK(Table22[[#This Row],[No. of Attendees
(A)]]),ISBLANK(Table22[[#This Row],[Length of Session
(B)]])),1,0))</f>
        <v>0</v>
      </c>
      <c r="E7" s="408">
        <v>45563</v>
      </c>
      <c r="F7" s="409" t="s">
        <v>188</v>
      </c>
      <c r="G7" s="410" t="s">
        <v>194</v>
      </c>
      <c r="H7" s="409" t="s">
        <v>195</v>
      </c>
      <c r="I7" s="409" t="s">
        <v>188</v>
      </c>
      <c r="J7" s="411">
        <v>1</v>
      </c>
      <c r="K7" s="411">
        <v>15</v>
      </c>
      <c r="L7" s="402">
        <v>15</v>
      </c>
      <c r="M7" s="409" t="s">
        <v>189</v>
      </c>
      <c r="N7" s="409"/>
    </row>
    <row r="8" spans="2:15" ht="25.5" customHeight="1" x14ac:dyDescent="0.35">
      <c r="C8" s="399"/>
      <c r="D8" s="18"/>
      <c r="E8" s="598" t="s">
        <v>746</v>
      </c>
      <c r="F8" s="597" t="s">
        <v>747</v>
      </c>
      <c r="G8" s="597" t="s">
        <v>748</v>
      </c>
      <c r="H8" s="597" t="s">
        <v>749</v>
      </c>
      <c r="I8" s="597" t="s">
        <v>73</v>
      </c>
      <c r="J8" s="597">
        <v>15</v>
      </c>
      <c r="K8" s="597">
        <v>4</v>
      </c>
      <c r="L8" s="524"/>
      <c r="M8" s="443"/>
      <c r="N8" s="443"/>
    </row>
    <row r="9" spans="2:15" ht="26.25" customHeight="1" x14ac:dyDescent="0.3">
      <c r="C9" s="399">
        <f t="shared" si="0"/>
        <v>3</v>
      </c>
      <c r="D9" s="18">
        <f>IF(AND(ISBLANK(Table22[[#This Row],[Start Date]]),ISBLANK(Table22[[#This Row],[Class]]),ISBLANK(Table22[[#This Row],[Class Description]]),ISBLANK(Table22[[#This Row],[No. of Attendees
(A)]])),0,IF(OR(ISBLANK(Table22[[#This Row],[Class]]),ISBLANK(Table22[[#This Row],[No. of Attendees
(A)]]),ISBLANK(Table22[[#This Row],[Length of Session
(B)]])),1,0))</f>
        <v>0</v>
      </c>
      <c r="E9" s="408"/>
      <c r="F9" s="409"/>
      <c r="G9" s="410"/>
      <c r="H9" s="409"/>
      <c r="I9" s="409"/>
      <c r="J9" s="411"/>
      <c r="K9" s="411"/>
      <c r="L9" s="402">
        <v>62</v>
      </c>
      <c r="M9" s="409" t="s">
        <v>189</v>
      </c>
      <c r="N9" s="409"/>
    </row>
    <row r="10" spans="2:15" ht="38.25" customHeight="1" x14ac:dyDescent="0.35">
      <c r="C10" s="399">
        <f t="shared" si="0"/>
        <v>4</v>
      </c>
      <c r="D10" s="18">
        <f>IF(AND(ISBLANK(Table22[[#This Row],[Start Date]]),ISBLANK(Table22[[#This Row],[Class]]),ISBLANK(Table22[[#This Row],[Class Description]]),ISBLANK(Table22[[#This Row],[No. of Attendees
(A)]])),0,IF(OR(ISBLANK(Table22[[#This Row],[Class]]),ISBLANK(Table22[[#This Row],[No. of Attendees
(A)]]),ISBLANK(Table22[[#This Row],[Length of Session
(B)]])),1,0))</f>
        <v>0</v>
      </c>
      <c r="E10" s="598"/>
      <c r="F10" s="597"/>
      <c r="G10" s="597"/>
      <c r="H10" s="597"/>
      <c r="I10" s="597"/>
      <c r="J10" s="597"/>
      <c r="K10" s="597"/>
      <c r="L10" s="402">
        <v>58</v>
      </c>
      <c r="M10" s="409" t="s">
        <v>189</v>
      </c>
      <c r="N10" s="409"/>
    </row>
    <row r="11" spans="2:15" x14ac:dyDescent="0.3">
      <c r="C11" s="399">
        <f t="shared" si="0"/>
        <v>5</v>
      </c>
      <c r="D11" s="18">
        <f>IF(AND(ISBLANK(Table22[[#This Row],[Start Date]]),ISBLANK(Table22[[#This Row],[Class]]),ISBLANK(Table22[[#This Row],[Class Description]]),ISBLANK(Table22[[#This Row],[No. of Attendees
(A)]])),0,IF(OR(ISBLANK(Table22[[#This Row],[Class]]),ISBLANK(Table22[[#This Row],[No. of Attendees
(A)]]),ISBLANK(Table22[[#This Row],[Length of Session
(B)]])),1,0))</f>
        <v>0</v>
      </c>
      <c r="E11" s="408"/>
      <c r="F11" s="409"/>
      <c r="G11" s="410"/>
      <c r="H11" s="409"/>
      <c r="I11" s="409"/>
      <c r="J11" s="540"/>
      <c r="K11" s="540"/>
      <c r="L11" s="402">
        <v>37</v>
      </c>
      <c r="M11" s="409"/>
      <c r="N11" s="409"/>
    </row>
    <row r="12" spans="2:15" x14ac:dyDescent="0.3">
      <c r="C12" s="399">
        <f t="shared" si="0"/>
        <v>6</v>
      </c>
      <c r="D12" s="18">
        <f>IF(AND(ISBLANK(Table22[[#This Row],[Start Date]]),ISBLANK(Table22[[#This Row],[Class]]),ISBLANK(Table22[[#This Row],[Class Description]]),ISBLANK(Table22[[#This Row],[No. of Attendees
(A)]])),0,IF(OR(ISBLANK(Table22[[#This Row],[Class]]),ISBLANK(Table22[[#This Row],[No. of Attendees
(A)]]),ISBLANK(Table22[[#This Row],[Length of Session
(B)]])),1,0))</f>
        <v>0</v>
      </c>
      <c r="E12" s="408"/>
      <c r="F12" s="409"/>
      <c r="G12" s="410"/>
      <c r="H12" s="409"/>
      <c r="I12" s="409"/>
      <c r="J12" s="540"/>
      <c r="K12" s="540"/>
      <c r="L12" s="402">
        <v>42</v>
      </c>
      <c r="M12" s="409"/>
      <c r="N12" s="409"/>
    </row>
    <row r="13" spans="2:15" x14ac:dyDescent="0.3">
      <c r="C13" s="399">
        <f t="shared" si="0"/>
        <v>7</v>
      </c>
      <c r="D13" s="18">
        <f>IF(AND(ISBLANK(Table22[[#This Row],[Start Date]]),ISBLANK(Table22[[#This Row],[Class]]),ISBLANK(Table22[[#This Row],[Class Description]]),ISBLANK(Table22[[#This Row],[No. of Attendees
(A)]])),0,IF(OR(ISBLANK(Table22[[#This Row],[Class]]),ISBLANK(Table22[[#This Row],[No. of Attendees
(A)]]),ISBLANK(Table22[[#This Row],[Length of Session
(B)]])),1,0))</f>
        <v>0</v>
      </c>
      <c r="E13" s="408"/>
      <c r="F13" s="409"/>
      <c r="G13" s="410"/>
      <c r="H13" s="409"/>
      <c r="I13" s="409"/>
      <c r="J13" s="540"/>
      <c r="K13" s="540"/>
      <c r="L13" s="402">
        <v>49</v>
      </c>
      <c r="M13" s="409"/>
      <c r="N13" s="409"/>
    </row>
    <row r="14" spans="2:15" x14ac:dyDescent="0.3">
      <c r="C14" s="399">
        <f t="shared" si="0"/>
        <v>8</v>
      </c>
      <c r="D14" s="18">
        <f>IF(AND(ISBLANK(Table22[[#This Row],[Start Date]]),ISBLANK(Table22[[#This Row],[Class]]),ISBLANK(Table22[[#This Row],[Class Description]]),ISBLANK(Table22[[#This Row],[No. of Attendees
(A)]])),0,IF(OR(ISBLANK(Table22[[#This Row],[Class]]),ISBLANK(Table22[[#This Row],[No. of Attendees
(A)]]),ISBLANK(Table22[[#This Row],[Length of Session
(B)]])),1,0))</f>
        <v>0</v>
      </c>
      <c r="E14" s="408"/>
      <c r="F14" s="409"/>
      <c r="G14" s="410"/>
      <c r="H14" s="409"/>
      <c r="I14" s="409"/>
      <c r="J14" s="540"/>
      <c r="K14" s="540"/>
      <c r="L14" s="402">
        <v>0</v>
      </c>
      <c r="M14" s="409"/>
      <c r="N14" s="409"/>
    </row>
    <row r="15" spans="2:15" x14ac:dyDescent="0.3">
      <c r="C15" s="399">
        <f>ROW()-6</f>
        <v>9</v>
      </c>
      <c r="D15" s="18">
        <f>IF(AND(ISBLANK(Table22[[#This Row],[Start Date]]),ISBLANK(Table22[[#This Row],[Class]]),ISBLANK(Table22[[#This Row],[Class Description]]),ISBLANK(Table22[[#This Row],[No. of Attendees
(A)]])),0,IF(OR(ISBLANK(Table22[[#This Row],[Class]]),ISBLANK(Table22[[#This Row],[No. of Attendees
(A)]]),ISBLANK(Table22[[#This Row],[Length of Session
(B)]])),1,0))</f>
        <v>0</v>
      </c>
      <c r="E15" s="408"/>
      <c r="F15" s="409"/>
      <c r="G15" s="410"/>
      <c r="H15" s="409"/>
      <c r="I15" s="409"/>
      <c r="J15" s="540"/>
      <c r="K15" s="540"/>
      <c r="L15" s="402">
        <v>0</v>
      </c>
      <c r="M15" s="409"/>
      <c r="N15" s="409"/>
    </row>
    <row r="16" spans="2:15" x14ac:dyDescent="0.3">
      <c r="C16" s="399">
        <f>ROW()-6</f>
        <v>10</v>
      </c>
      <c r="D16" s="18">
        <f>IF(AND(ISBLANK(Table22[[#This Row],[Start Date]]),ISBLANK(Table22[[#This Row],[Class]]),ISBLANK(Table22[[#This Row],[Class Description]]),ISBLANK(Table22[[#This Row],[No. of Attendees
(A)]])),0,IF(OR(ISBLANK(Table22[[#This Row],[Class]]),ISBLANK(Table22[[#This Row],[No. of Attendees
(A)]]),ISBLANK(Table22[[#This Row],[Length of Session
(B)]])),1,0))</f>
        <v>0</v>
      </c>
      <c r="E16" s="408"/>
      <c r="F16" s="409"/>
      <c r="G16" s="410"/>
      <c r="H16" s="409"/>
      <c r="I16" s="409"/>
      <c r="J16" s="540"/>
      <c r="K16" s="540"/>
      <c r="L16" s="402">
        <v>0</v>
      </c>
      <c r="M16" s="409"/>
      <c r="N16" s="409"/>
    </row>
    <row r="17" spans="3:14" x14ac:dyDescent="0.3">
      <c r="C17" s="399">
        <f>ROW()-6</f>
        <v>11</v>
      </c>
      <c r="D17" s="18">
        <f>IF(AND(ISBLANK(Table22[[#This Row],[Start Date]]),ISBLANK(Table22[[#This Row],[Class]]),ISBLANK(Table22[[#This Row],[Class Description]]),ISBLANK(Table22[[#This Row],[No. of Attendees
(A)]])),0,IF(OR(ISBLANK(Table22[[#This Row],[Class]]),ISBLANK(Table22[[#This Row],[No. of Attendees
(A)]]),ISBLANK(Table22[[#This Row],[Length of Session
(B)]])),1,0))</f>
        <v>0</v>
      </c>
      <c r="E17" s="442"/>
      <c r="F17" s="443"/>
      <c r="G17" s="444"/>
      <c r="H17" s="443"/>
      <c r="I17" s="443"/>
      <c r="J17" s="540"/>
      <c r="K17" s="540"/>
      <c r="L17" s="402">
        <v>0</v>
      </c>
      <c r="M17" s="409"/>
      <c r="N17" s="409"/>
    </row>
    <row r="18" spans="3:14" x14ac:dyDescent="0.3">
      <c r="C18" s="399">
        <f>ROW()-6</f>
        <v>12</v>
      </c>
      <c r="D18" s="18">
        <f>IF(AND(ISBLANK(Table22[[#This Row],[Start Date]]),ISBLANK(Table22[[#This Row],[Class]]),ISBLANK(Table22[[#This Row],[Class Description]]),ISBLANK(Table22[[#This Row],[No. of Attendees
(A)]])),0,IF(OR(ISBLANK(Table22[[#This Row],[Class]]),ISBLANK(Table22[[#This Row],[No. of Attendees
(A)]]),ISBLANK(Table22[[#This Row],[Length of Session
(B)]])),1,0))</f>
        <v>0</v>
      </c>
      <c r="E18" s="442"/>
      <c r="F18" s="443"/>
      <c r="G18" s="444"/>
      <c r="H18" s="443"/>
      <c r="I18" s="443"/>
      <c r="J18" s="540"/>
      <c r="K18" s="540"/>
      <c r="L18" s="402">
        <v>0</v>
      </c>
      <c r="M18" s="409"/>
      <c r="N18" s="409"/>
    </row>
    <row r="19" spans="3:14" x14ac:dyDescent="0.3">
      <c r="C19" s="403" t="s">
        <v>191</v>
      </c>
      <c r="D19" s="407">
        <f>SUM(Table22[Test])</f>
        <v>0</v>
      </c>
      <c r="E19" s="403" t="s">
        <v>192</v>
      </c>
      <c r="F19" s="404">
        <f>COUNTA(Table22[Class])</f>
        <v>2</v>
      </c>
      <c r="G19" s="405"/>
      <c r="H19" s="405"/>
      <c r="I19" s="405"/>
      <c r="J19" s="406">
        <f>SUBTOTAL(109,Table22[No. of Attendees
(A)])</f>
        <v>16</v>
      </c>
      <c r="K19" s="405"/>
      <c r="L19" s="406">
        <f>SUM(L7:L14)</f>
        <v>263</v>
      </c>
      <c r="M19" s="405"/>
      <c r="N19" s="406">
        <f>SUM(N7:N18)</f>
        <v>0</v>
      </c>
    </row>
  </sheetData>
  <mergeCells count="1">
    <mergeCell ref="B2:O2"/>
  </mergeCells>
  <pageMargins left="0.25" right="0.25" top="0.5" bottom="0.5" header="0.3" footer="0.3"/>
  <pageSetup orientation="landscape"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O112"/>
  <sheetViews>
    <sheetView showGridLines="0" showRowColHeaders="0" topLeftCell="D1"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4.453125" style="2" customWidth="1"/>
    <col min="3" max="9" width="10.7265625" style="2" customWidth="1"/>
    <col min="10" max="10" width="9.1796875" style="2" customWidth="1"/>
    <col min="11" max="11" width="10.7265625" style="2" customWidth="1"/>
    <col min="12" max="12" width="9.1796875" style="2" customWidth="1"/>
    <col min="13" max="13" width="10.7265625" style="2" customWidth="1"/>
    <col min="14" max="14" width="9.1796875" style="2" customWidth="1"/>
    <col min="15" max="15" width="4.7265625" style="2" customWidth="1"/>
    <col min="16" max="16" width="1" style="2" customWidth="1"/>
    <col min="17" max="17" width="16" style="2" customWidth="1"/>
    <col min="18" max="16384" width="9.1796875" style="2"/>
  </cols>
  <sheetData>
    <row r="1" spans="2:15" ht="28.5" customHeight="1" x14ac:dyDescent="0.3"/>
    <row r="2" spans="2:15" ht="64.5" customHeight="1" x14ac:dyDescent="0.3">
      <c r="B2" s="456"/>
      <c r="C2" s="457"/>
      <c r="D2" s="457"/>
      <c r="E2" s="457"/>
      <c r="F2" s="457"/>
      <c r="G2" s="457"/>
      <c r="H2" s="457"/>
      <c r="I2" s="457"/>
      <c r="J2" s="457"/>
      <c r="K2" s="457"/>
      <c r="L2" s="457"/>
      <c r="M2" s="457"/>
      <c r="N2" s="457"/>
      <c r="O2" s="458"/>
    </row>
    <row r="3" spans="2:15" ht="7.5" customHeight="1" x14ac:dyDescent="0.3">
      <c r="B3" s="459"/>
      <c r="C3" s="351"/>
      <c r="D3" s="351"/>
      <c r="E3" s="351"/>
      <c r="F3" s="351"/>
      <c r="G3" s="351"/>
      <c r="H3" s="351"/>
      <c r="I3" s="351"/>
      <c r="J3" s="351"/>
      <c r="K3" s="351"/>
      <c r="L3" s="351"/>
      <c r="M3" s="351"/>
      <c r="N3" s="351"/>
      <c r="O3" s="460"/>
    </row>
    <row r="4" spans="2:15" ht="15" customHeight="1" x14ac:dyDescent="0.35">
      <c r="B4" s="3"/>
      <c r="C4" s="320"/>
      <c r="D4" s="307"/>
      <c r="E4" s="307"/>
      <c r="F4" s="307"/>
      <c r="G4" s="307"/>
      <c r="H4" s="307"/>
      <c r="I4" s="307"/>
      <c r="J4" s="307"/>
      <c r="K4" s="307"/>
      <c r="L4" s="307"/>
      <c r="M4" s="307"/>
      <c r="N4" s="307"/>
      <c r="O4" s="4"/>
    </row>
    <row r="5" spans="2:15" ht="15" customHeight="1" x14ac:dyDescent="0.3">
      <c r="B5" s="3"/>
      <c r="C5" s="29"/>
      <c r="D5" s="321"/>
      <c r="E5" s="307"/>
      <c r="F5" s="29"/>
      <c r="G5" s="29"/>
      <c r="I5" s="321"/>
      <c r="J5" s="307"/>
      <c r="K5" s="321"/>
      <c r="L5" s="307"/>
      <c r="M5" s="321"/>
      <c r="N5" s="307"/>
      <c r="O5" s="4"/>
    </row>
    <row r="6" spans="2:15" ht="50.25" customHeight="1" x14ac:dyDescent="0.3">
      <c r="B6" s="3"/>
      <c r="D6" s="322"/>
      <c r="E6" s="322"/>
      <c r="F6" s="322"/>
      <c r="G6" s="322"/>
      <c r="H6" s="322"/>
      <c r="I6" s="322"/>
      <c r="J6" s="323"/>
      <c r="K6" s="322"/>
      <c r="L6" s="323"/>
      <c r="M6" s="322"/>
      <c r="N6" s="323"/>
      <c r="O6" s="4"/>
    </row>
    <row r="7" spans="2:15" ht="11.25" customHeight="1" x14ac:dyDescent="0.3">
      <c r="B7" s="3"/>
      <c r="H7" s="324"/>
      <c r="I7" s="324"/>
      <c r="J7" s="324"/>
      <c r="K7" s="324"/>
      <c r="L7" s="324"/>
      <c r="M7" s="324"/>
      <c r="N7" s="324"/>
      <c r="O7" s="4"/>
    </row>
    <row r="8" spans="2:15" ht="15" customHeight="1" x14ac:dyDescent="0.3">
      <c r="B8" s="3"/>
      <c r="C8" s="250"/>
      <c r="D8" s="325"/>
      <c r="E8" s="326"/>
      <c r="F8" s="325"/>
      <c r="G8" s="325"/>
      <c r="H8" s="266"/>
      <c r="I8" s="266"/>
      <c r="J8" s="327"/>
      <c r="K8" s="328"/>
      <c r="L8" s="327"/>
      <c r="M8" s="266"/>
      <c r="N8" s="327"/>
      <c r="O8" s="4"/>
    </row>
    <row r="9" spans="2:15" ht="15" customHeight="1" x14ac:dyDescent="0.3">
      <c r="B9" s="3"/>
      <c r="C9" s="250"/>
      <c r="D9" s="325"/>
      <c r="E9" s="326"/>
      <c r="F9" s="325"/>
      <c r="G9" s="325"/>
      <c r="H9" s="266"/>
      <c r="I9" s="266"/>
      <c r="J9" s="327"/>
      <c r="K9" s="328"/>
      <c r="L9" s="327"/>
      <c r="M9" s="266"/>
      <c r="N9" s="327"/>
      <c r="O9" s="4"/>
    </row>
    <row r="10" spans="2:15" ht="15" customHeight="1" x14ac:dyDescent="0.35">
      <c r="B10" s="3"/>
      <c r="C10" s="250"/>
      <c r="D10" s="325"/>
      <c r="E10" s="632" t="s">
        <v>196</v>
      </c>
      <c r="F10" s="632"/>
      <c r="G10" s="632"/>
      <c r="H10" s="632"/>
      <c r="I10" s="632"/>
      <c r="J10" s="632"/>
      <c r="K10" s="328"/>
      <c r="L10" s="327"/>
      <c r="M10" s="266"/>
      <c r="N10" s="327"/>
      <c r="O10" s="4"/>
    </row>
    <row r="11" spans="2:15" ht="15" customHeight="1" x14ac:dyDescent="0.3">
      <c r="B11" s="3"/>
      <c r="C11" s="250"/>
      <c r="D11" s="325"/>
      <c r="E11" s="326"/>
      <c r="F11" s="325"/>
      <c r="G11" s="325"/>
      <c r="H11" s="266"/>
      <c r="I11" s="266"/>
      <c r="J11" s="327"/>
      <c r="K11" s="328"/>
      <c r="L11" s="327"/>
      <c r="M11" s="266"/>
      <c r="N11" s="327"/>
      <c r="O11" s="4"/>
    </row>
    <row r="12" spans="2:15" ht="15" customHeight="1" x14ac:dyDescent="0.3">
      <c r="B12" s="3"/>
      <c r="C12" s="250"/>
      <c r="D12" s="325"/>
      <c r="E12" s="326"/>
      <c r="F12" s="325"/>
      <c r="G12" s="325"/>
      <c r="H12" s="266"/>
      <c r="I12" s="266"/>
      <c r="J12" s="327"/>
      <c r="K12" s="328"/>
      <c r="L12" s="327"/>
      <c r="M12" s="266"/>
      <c r="N12" s="327"/>
      <c r="O12" s="4"/>
    </row>
    <row r="13" spans="2:15" ht="15" customHeight="1" x14ac:dyDescent="0.3">
      <c r="B13" s="3"/>
      <c r="O13" s="4"/>
    </row>
    <row r="14" spans="2:15" ht="15" customHeight="1" x14ac:dyDescent="0.3">
      <c r="B14" s="3"/>
      <c r="O14" s="4"/>
    </row>
    <row r="15" spans="2:15" ht="15" customHeight="1" x14ac:dyDescent="0.35">
      <c r="B15" s="3"/>
      <c r="D15" s="631"/>
      <c r="E15" s="631"/>
      <c r="F15" s="631"/>
      <c r="G15" s="631"/>
      <c r="H15" s="631"/>
      <c r="I15" s="631"/>
      <c r="J15" s="631"/>
      <c r="K15" s="631"/>
      <c r="L15" s="631"/>
      <c r="M15" s="631"/>
      <c r="O15" s="4"/>
    </row>
    <row r="16" spans="2:15" ht="15" customHeight="1" x14ac:dyDescent="0.3">
      <c r="B16" s="3"/>
      <c r="D16" s="329"/>
      <c r="E16" s="630"/>
      <c r="F16" s="630"/>
      <c r="G16" s="630"/>
      <c r="H16" s="630"/>
      <c r="I16" s="630"/>
      <c r="J16" s="630"/>
      <c r="K16" s="630"/>
      <c r="L16" s="630"/>
      <c r="M16" s="630"/>
      <c r="O16" s="4"/>
    </row>
    <row r="17" spans="2:15" ht="15" customHeight="1" x14ac:dyDescent="0.3">
      <c r="B17" s="3"/>
      <c r="D17" s="329"/>
      <c r="O17" s="4"/>
    </row>
    <row r="18" spans="2:15" ht="15" customHeight="1" x14ac:dyDescent="0.3">
      <c r="B18" s="3"/>
      <c r="D18" s="329"/>
      <c r="O18" s="4"/>
    </row>
    <row r="19" spans="2:15" ht="15" customHeight="1" x14ac:dyDescent="0.3">
      <c r="B19" s="3"/>
      <c r="D19" s="329"/>
      <c r="O19" s="4"/>
    </row>
    <row r="20" spans="2:15" ht="15" customHeight="1" x14ac:dyDescent="0.3">
      <c r="B20" s="3"/>
      <c r="D20" s="329"/>
      <c r="O20" s="4"/>
    </row>
    <row r="21" spans="2:15" ht="15" customHeight="1" x14ac:dyDescent="0.3">
      <c r="B21" s="3"/>
      <c r="D21" s="329"/>
      <c r="O21" s="4"/>
    </row>
    <row r="22" spans="2:15" ht="15" customHeight="1" x14ac:dyDescent="0.3">
      <c r="B22" s="3"/>
      <c r="D22" s="329"/>
      <c r="O22" s="4"/>
    </row>
    <row r="23" spans="2:15" ht="15" customHeight="1" x14ac:dyDescent="0.3">
      <c r="B23" s="3"/>
      <c r="D23" s="329"/>
      <c r="O23" s="4"/>
    </row>
    <row r="24" spans="2:15" ht="15" customHeight="1" x14ac:dyDescent="0.3">
      <c r="B24" s="3"/>
      <c r="D24" s="329"/>
      <c r="O24" s="4"/>
    </row>
    <row r="25" spans="2:15" ht="15" customHeight="1" x14ac:dyDescent="0.3">
      <c r="B25" s="5"/>
      <c r="C25" s="6"/>
      <c r="D25" s="6"/>
      <c r="E25" s="6"/>
      <c r="F25" s="6"/>
      <c r="G25" s="6"/>
      <c r="H25" s="6"/>
      <c r="I25" s="6"/>
      <c r="J25" s="6"/>
      <c r="K25" s="6"/>
      <c r="L25" s="6"/>
      <c r="M25" s="6"/>
      <c r="N25" s="6"/>
      <c r="O25" s="7"/>
    </row>
    <row r="26" spans="2:15" ht="15" customHeight="1" x14ac:dyDescent="0.3"/>
    <row r="27" spans="2:15" ht="15" customHeight="1" x14ac:dyDescent="0.3"/>
    <row r="28" spans="2:15" ht="15" customHeight="1" x14ac:dyDescent="0.3"/>
    <row r="29" spans="2:15" ht="15" customHeight="1" x14ac:dyDescent="0.3"/>
    <row r="30" spans="2:15" ht="15" customHeight="1" x14ac:dyDescent="0.3"/>
    <row r="31" spans="2:15" ht="15" customHeight="1" x14ac:dyDescent="0.3"/>
    <row r="32" spans="2:15"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sheetData>
  <sheetProtection password="C925" sheet="1" objects="1" scenarios="1" formatRows="0"/>
  <mergeCells count="4">
    <mergeCell ref="L16:M16"/>
    <mergeCell ref="E16:K16"/>
    <mergeCell ref="D15:M15"/>
    <mergeCell ref="E10:J10"/>
  </mergeCells>
  <pageMargins left="0.25" right="0.25" top="0.25" bottom="0.2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B1:K179"/>
  <sheetViews>
    <sheetView showGridLines="0" showRowColHeaders="0" zoomScale="110" zoomScaleNormal="110" workbookViewId="0">
      <pane ySplit="4" topLeftCell="A87" activePane="bottomLeft" state="frozen"/>
      <selection activeCell="A7" sqref="A7"/>
      <selection pane="bottomLeft" activeCell="N92" sqref="N92"/>
    </sheetView>
  </sheetViews>
  <sheetFormatPr defaultColWidth="9.1796875" defaultRowHeight="13" x14ac:dyDescent="0.3"/>
  <cols>
    <col min="1" max="1" width="1" style="2" customWidth="1"/>
    <col min="2" max="2" width="3.7265625" style="2" customWidth="1"/>
    <col min="3" max="3" width="36.453125" style="2" customWidth="1"/>
    <col min="4" max="9" width="12.7265625" style="2" customWidth="1"/>
    <col min="10" max="10" width="13.81640625" style="2" customWidth="1"/>
    <col min="11" max="11" width="2.7265625" style="2" customWidth="1"/>
    <col min="12" max="12" width="1" style="2" customWidth="1"/>
    <col min="13" max="13" width="16" style="2" customWidth="1"/>
    <col min="14" max="16384" width="9.1796875" style="2"/>
  </cols>
  <sheetData>
    <row r="1" spans="2:11" ht="28.5" customHeight="1" x14ac:dyDescent="0.3"/>
    <row r="2" spans="2:11" ht="64.5" customHeight="1" x14ac:dyDescent="0.3">
      <c r="B2" s="456"/>
      <c r="C2" s="457"/>
      <c r="D2" s="457"/>
      <c r="E2" s="457"/>
      <c r="F2" s="457"/>
      <c r="G2" s="457"/>
      <c r="H2" s="457"/>
      <c r="I2" s="457"/>
      <c r="J2" s="457"/>
      <c r="K2" s="458"/>
    </row>
    <row r="3" spans="2:11" ht="7.5" customHeight="1" x14ac:dyDescent="0.3">
      <c r="B3" s="459"/>
      <c r="C3" s="351"/>
      <c r="D3" s="351"/>
      <c r="E3" s="351"/>
      <c r="F3" s="351"/>
      <c r="G3" s="351"/>
      <c r="H3" s="351"/>
      <c r="I3" s="351"/>
      <c r="J3" s="351"/>
      <c r="K3" s="460"/>
    </row>
    <row r="4" spans="2:11" ht="39.5" x14ac:dyDescent="0.35">
      <c r="B4" s="3"/>
      <c r="C4" s="9" t="s">
        <v>85</v>
      </c>
      <c r="D4" s="278" t="str">
        <f>Cost!B4</f>
        <v>Planning / Design</v>
      </c>
      <c r="E4" s="278" t="str">
        <f>Cost!C4</f>
        <v>Marketing &amp; Delivery</v>
      </c>
      <c r="F4" s="278" t="str">
        <f>Cost!B14</f>
        <v>Incentives / Direct Install Costs</v>
      </c>
      <c r="G4" s="278" t="str">
        <f>Cost!C19</f>
        <v>EM&amp;V</v>
      </c>
      <c r="H4" s="278" t="str">
        <f>Cost!B25</f>
        <v>Administration</v>
      </c>
      <c r="I4" s="279" t="s">
        <v>149</v>
      </c>
      <c r="J4" s="279"/>
      <c r="K4" s="4"/>
    </row>
    <row r="5" spans="2:11" ht="15" customHeight="1" x14ac:dyDescent="0.3">
      <c r="B5" s="282">
        <v>1</v>
      </c>
      <c r="C5" s="10" t="str">
        <f>'Program Descriptions'!C5</f>
        <v>Commercial &amp; Industrial Solutions Program</v>
      </c>
      <c r="D5" s="283">
        <f>SUM(D6:D8)</f>
        <v>0</v>
      </c>
      <c r="E5" s="283">
        <f>SUM(E6:E8)</f>
        <v>846789.42</v>
      </c>
      <c r="F5" s="283">
        <f>SUM(F6:F8)</f>
        <v>431263.65</v>
      </c>
      <c r="G5" s="283">
        <f>SUM(G6:G8)</f>
        <v>86403.92</v>
      </c>
      <c r="H5" s="283">
        <f>SUM(H6:H8)</f>
        <v>27491</v>
      </c>
      <c r="I5" s="11">
        <f t="shared" ref="I5:I36" si="0">SUM(D5:H5)</f>
        <v>1391947.99</v>
      </c>
      <c r="J5" s="11"/>
      <c r="K5" s="4"/>
    </row>
    <row r="6" spans="2:11" ht="15" customHeight="1" x14ac:dyDescent="0.3">
      <c r="B6" s="3"/>
      <c r="C6" s="64" t="s">
        <v>197</v>
      </c>
      <c r="D6" s="464"/>
      <c r="E6" s="464"/>
      <c r="F6" s="464"/>
      <c r="G6" s="464"/>
      <c r="H6" s="464">
        <v>27491</v>
      </c>
      <c r="I6" s="63">
        <f t="shared" si="0"/>
        <v>27491</v>
      </c>
      <c r="J6" s="63"/>
      <c r="K6" s="4"/>
    </row>
    <row r="7" spans="2:11" ht="15" customHeight="1" x14ac:dyDescent="0.3">
      <c r="B7" s="3"/>
      <c r="C7" s="64" t="s">
        <v>198</v>
      </c>
      <c r="D7" s="464"/>
      <c r="E7" s="464"/>
      <c r="F7" s="464"/>
      <c r="G7" s="464"/>
      <c r="H7" s="464"/>
      <c r="I7" s="63">
        <f t="shared" si="0"/>
        <v>0</v>
      </c>
      <c r="J7" s="63"/>
      <c r="K7" s="4"/>
    </row>
    <row r="8" spans="2:11" ht="15" customHeight="1" x14ac:dyDescent="0.3">
      <c r="B8" s="3"/>
      <c r="C8" s="64" t="s">
        <v>199</v>
      </c>
      <c r="D8" s="464">
        <v>0</v>
      </c>
      <c r="E8" s="464">
        <v>846789.42</v>
      </c>
      <c r="F8" s="464">
        <v>431263.65</v>
      </c>
      <c r="G8" s="464">
        <v>86403.92</v>
      </c>
      <c r="H8" s="464">
        <v>0</v>
      </c>
      <c r="I8" s="63">
        <f t="shared" si="0"/>
        <v>1364456.99</v>
      </c>
      <c r="J8" s="63"/>
      <c r="K8" s="4"/>
    </row>
    <row r="9" spans="2:11" ht="15" customHeight="1" x14ac:dyDescent="0.3">
      <c r="B9" s="282">
        <f>B5+1</f>
        <v>2</v>
      </c>
      <c r="C9" s="10" t="str">
        <f>'Program Descriptions'!C6</f>
        <v>Energy Efficiency Arkansas</v>
      </c>
      <c r="D9" s="283">
        <f>SUM(D10:D12)</f>
        <v>0</v>
      </c>
      <c r="E9" s="283">
        <f>SUM(E10:E12)</f>
        <v>0</v>
      </c>
      <c r="F9" s="283">
        <f>SUM(F10:F12)</f>
        <v>0</v>
      </c>
      <c r="G9" s="283">
        <f>SUM(G10:G12)</f>
        <v>0</v>
      </c>
      <c r="H9" s="283">
        <f>SUM(H10:H12)</f>
        <v>0</v>
      </c>
      <c r="I9" s="11">
        <f t="shared" si="0"/>
        <v>0</v>
      </c>
      <c r="J9" s="11"/>
      <c r="K9" s="4"/>
    </row>
    <row r="10" spans="2:11" ht="15" customHeight="1" x14ac:dyDescent="0.3">
      <c r="B10" s="3"/>
      <c r="C10" s="64" t="s">
        <v>197</v>
      </c>
      <c r="D10" s="464"/>
      <c r="E10" s="464"/>
      <c r="F10" s="464"/>
      <c r="G10" s="464"/>
      <c r="H10" s="464"/>
      <c r="I10" s="63">
        <f t="shared" si="0"/>
        <v>0</v>
      </c>
      <c r="J10" s="63"/>
      <c r="K10" s="4"/>
    </row>
    <row r="11" spans="2:11" ht="15" customHeight="1" x14ac:dyDescent="0.3">
      <c r="B11" s="3"/>
      <c r="C11" s="64" t="s">
        <v>198</v>
      </c>
      <c r="D11" s="464"/>
      <c r="E11" s="464"/>
      <c r="F11" s="464"/>
      <c r="G11" s="464"/>
      <c r="H11" s="464"/>
      <c r="I11" s="63">
        <f t="shared" si="0"/>
        <v>0</v>
      </c>
      <c r="J11" s="63"/>
      <c r="K11" s="4"/>
    </row>
    <row r="12" spans="2:11" ht="15" customHeight="1" x14ac:dyDescent="0.3">
      <c r="B12" s="3"/>
      <c r="C12" s="64" t="s">
        <v>199</v>
      </c>
      <c r="D12" s="464">
        <v>0</v>
      </c>
      <c r="E12" s="464">
        <v>0</v>
      </c>
      <c r="F12" s="464">
        <v>0</v>
      </c>
      <c r="G12" s="464">
        <v>0</v>
      </c>
      <c r="H12" s="464">
        <v>0</v>
      </c>
      <c r="I12" s="63">
        <f t="shared" si="0"/>
        <v>0</v>
      </c>
      <c r="J12" s="63"/>
      <c r="K12" s="4"/>
    </row>
    <row r="13" spans="2:11" ht="15" customHeight="1" x14ac:dyDescent="0.3">
      <c r="B13" s="282">
        <f>B9+1</f>
        <v>3</v>
      </c>
      <c r="C13" s="10" t="str">
        <f>'Program Descriptions'!C7</f>
        <v>Residential Solution Program</v>
      </c>
      <c r="D13" s="283">
        <f>SUM(D14:D16)</f>
        <v>0</v>
      </c>
      <c r="E13" s="283">
        <f>SUM(E14:E16)</f>
        <v>790400.69</v>
      </c>
      <c r="F13" s="283">
        <f>SUM(F14:F16)</f>
        <v>1474236.44</v>
      </c>
      <c r="G13" s="283">
        <f>SUM(G14:G16)</f>
        <v>99664.06</v>
      </c>
      <c r="H13" s="283">
        <f>SUM(H14:H16)</f>
        <v>26995.95</v>
      </c>
      <c r="I13" s="11">
        <f t="shared" si="0"/>
        <v>2391297.14</v>
      </c>
      <c r="J13" s="11"/>
      <c r="K13" s="4"/>
    </row>
    <row r="14" spans="2:11" ht="15" customHeight="1" x14ac:dyDescent="0.3">
      <c r="B14" s="3"/>
      <c r="C14" s="64" t="s">
        <v>197</v>
      </c>
      <c r="D14" s="464"/>
      <c r="E14" s="464"/>
      <c r="F14" s="464"/>
      <c r="G14" s="464"/>
      <c r="H14" s="464">
        <v>26995.95</v>
      </c>
      <c r="I14" s="63">
        <f t="shared" si="0"/>
        <v>26995.95</v>
      </c>
      <c r="J14" s="63"/>
      <c r="K14" s="4"/>
    </row>
    <row r="15" spans="2:11" ht="15" customHeight="1" x14ac:dyDescent="0.3">
      <c r="B15" s="3"/>
      <c r="C15" s="64" t="s">
        <v>198</v>
      </c>
      <c r="D15" s="464"/>
      <c r="E15" s="464"/>
      <c r="F15" s="464"/>
      <c r="G15" s="464"/>
      <c r="H15" s="464"/>
      <c r="I15" s="63">
        <f t="shared" si="0"/>
        <v>0</v>
      </c>
      <c r="J15" s="63"/>
      <c r="K15" s="4"/>
    </row>
    <row r="16" spans="2:11" ht="15" customHeight="1" x14ac:dyDescent="0.3">
      <c r="B16" s="3"/>
      <c r="C16" s="64" t="s">
        <v>199</v>
      </c>
      <c r="D16" s="464">
        <v>0</v>
      </c>
      <c r="E16" s="464">
        <v>790400.69</v>
      </c>
      <c r="F16" s="464">
        <v>1474236.44</v>
      </c>
      <c r="G16" s="464">
        <v>99664.06</v>
      </c>
      <c r="H16" s="464">
        <v>0</v>
      </c>
      <c r="I16" s="63">
        <f t="shared" si="0"/>
        <v>2364301.19</v>
      </c>
      <c r="J16" s="63"/>
      <c r="K16" s="4"/>
    </row>
    <row r="17" spans="2:11" ht="15" customHeight="1" x14ac:dyDescent="0.3">
      <c r="B17" s="282">
        <f>B13+1</f>
        <v>4</v>
      </c>
      <c r="C17" s="10" t="str">
        <f>'Program Descriptions'!C8</f>
        <v>Income Qualified Program</v>
      </c>
      <c r="D17" s="283">
        <f>SUM(D18:D20)</f>
        <v>0</v>
      </c>
      <c r="E17" s="283">
        <f>SUM(E18:E20)</f>
        <v>71397.279999999999</v>
      </c>
      <c r="F17" s="283">
        <f>SUM(F18:F20)</f>
        <v>91189</v>
      </c>
      <c r="G17" s="283">
        <f>SUM(G18:G20)</f>
        <v>3722.5</v>
      </c>
      <c r="H17" s="283">
        <f>SUM(H18:H20)</f>
        <v>2319.59</v>
      </c>
      <c r="I17" s="11">
        <f t="shared" si="0"/>
        <v>168628.37</v>
      </c>
      <c r="J17" s="11"/>
      <c r="K17" s="4"/>
    </row>
    <row r="18" spans="2:11" ht="15" customHeight="1" x14ac:dyDescent="0.3">
      <c r="B18" s="3"/>
      <c r="C18" s="64" t="s">
        <v>197</v>
      </c>
      <c r="D18" s="464"/>
      <c r="E18" s="464"/>
      <c r="F18" s="464"/>
      <c r="G18" s="464"/>
      <c r="H18" s="464">
        <v>2319.59</v>
      </c>
      <c r="I18" s="63">
        <f t="shared" si="0"/>
        <v>2319.59</v>
      </c>
      <c r="J18" s="63"/>
      <c r="K18" s="4"/>
    </row>
    <row r="19" spans="2:11" ht="15" customHeight="1" x14ac:dyDescent="0.3">
      <c r="B19" s="3"/>
      <c r="C19" s="64" t="s">
        <v>198</v>
      </c>
      <c r="D19" s="464"/>
      <c r="E19" s="464"/>
      <c r="F19" s="464"/>
      <c r="G19" s="464"/>
      <c r="H19" s="464"/>
      <c r="I19" s="63">
        <f t="shared" si="0"/>
        <v>0</v>
      </c>
      <c r="J19" s="63"/>
      <c r="K19" s="4"/>
    </row>
    <row r="20" spans="2:11" ht="15" customHeight="1" x14ac:dyDescent="0.3">
      <c r="B20" s="3"/>
      <c r="C20" s="64" t="s">
        <v>199</v>
      </c>
      <c r="D20" s="464">
        <v>0</v>
      </c>
      <c r="E20" s="464">
        <v>71397.279999999999</v>
      </c>
      <c r="F20" s="464">
        <v>91189</v>
      </c>
      <c r="G20" s="464">
        <v>3722.5</v>
      </c>
      <c r="H20" s="464">
        <v>0</v>
      </c>
      <c r="I20" s="63">
        <f t="shared" si="0"/>
        <v>166308.78</v>
      </c>
      <c r="J20" s="63"/>
      <c r="K20" s="4"/>
    </row>
    <row r="21" spans="2:11" ht="15" hidden="1" customHeight="1" x14ac:dyDescent="0.3">
      <c r="B21" s="282">
        <f>B17+1</f>
        <v>5</v>
      </c>
      <c r="C21" s="10" t="str">
        <f>'Program Descriptions'!C9</f>
        <v>Empty</v>
      </c>
      <c r="D21" s="283">
        <f>SUM(D22:D24)</f>
        <v>0</v>
      </c>
      <c r="E21" s="283">
        <f>SUM(E22:E24)</f>
        <v>0</v>
      </c>
      <c r="F21" s="283">
        <f>SUM(F22:F24)</f>
        <v>0</v>
      </c>
      <c r="G21" s="283">
        <f>SUM(G22:G24)</f>
        <v>0</v>
      </c>
      <c r="H21" s="283">
        <f>SUM(H22:H24)</f>
        <v>0</v>
      </c>
      <c r="I21" s="11">
        <f t="shared" si="0"/>
        <v>0</v>
      </c>
      <c r="J21" s="11"/>
      <c r="K21" s="4"/>
    </row>
    <row r="22" spans="2:11" ht="15" hidden="1" customHeight="1" x14ac:dyDescent="0.3">
      <c r="B22" s="3"/>
      <c r="C22" s="64" t="s">
        <v>197</v>
      </c>
      <c r="D22" s="464"/>
      <c r="E22" s="464"/>
      <c r="F22" s="464"/>
      <c r="G22" s="464"/>
      <c r="H22" s="464"/>
      <c r="I22" s="63">
        <f t="shared" si="0"/>
        <v>0</v>
      </c>
      <c r="J22" s="63"/>
      <c r="K22" s="4"/>
    </row>
    <row r="23" spans="2:11" ht="15" hidden="1" customHeight="1" x14ac:dyDescent="0.3">
      <c r="B23" s="3"/>
      <c r="C23" s="64" t="s">
        <v>198</v>
      </c>
      <c r="D23" s="464"/>
      <c r="E23" s="464"/>
      <c r="F23" s="464"/>
      <c r="G23" s="464"/>
      <c r="H23" s="464"/>
      <c r="I23" s="63">
        <f t="shared" si="0"/>
        <v>0</v>
      </c>
      <c r="J23" s="63"/>
      <c r="K23" s="4"/>
    </row>
    <row r="24" spans="2:11" ht="15" hidden="1" customHeight="1" x14ac:dyDescent="0.3">
      <c r="B24" s="3"/>
      <c r="C24" s="64" t="s">
        <v>199</v>
      </c>
      <c r="D24" s="464"/>
      <c r="E24" s="464"/>
      <c r="F24" s="464"/>
      <c r="G24" s="464"/>
      <c r="H24" s="464"/>
      <c r="I24" s="63">
        <f t="shared" si="0"/>
        <v>0</v>
      </c>
      <c r="J24" s="63"/>
      <c r="K24" s="4"/>
    </row>
    <row r="25" spans="2:11" ht="15" hidden="1" customHeight="1" x14ac:dyDescent="0.3">
      <c r="B25" s="282">
        <f>B21+1</f>
        <v>6</v>
      </c>
      <c r="C25" s="10" t="str">
        <f>'Program Descriptions'!C10</f>
        <v>Empty</v>
      </c>
      <c r="D25" s="283">
        <f>SUM(D26:D28)</f>
        <v>0</v>
      </c>
      <c r="E25" s="283">
        <f>SUM(E26:E28)</f>
        <v>0</v>
      </c>
      <c r="F25" s="283">
        <f>SUM(F26:F28)</f>
        <v>0</v>
      </c>
      <c r="G25" s="283">
        <f>SUM(G26:G28)</f>
        <v>0</v>
      </c>
      <c r="H25" s="283">
        <f>SUM(H26:H28)</f>
        <v>0</v>
      </c>
      <c r="I25" s="11">
        <f t="shared" si="0"/>
        <v>0</v>
      </c>
      <c r="J25" s="11"/>
      <c r="K25" s="4"/>
    </row>
    <row r="26" spans="2:11" ht="15" hidden="1" customHeight="1" x14ac:dyDescent="0.3">
      <c r="B26" s="3"/>
      <c r="C26" s="64" t="s">
        <v>197</v>
      </c>
      <c r="D26" s="464"/>
      <c r="E26" s="464"/>
      <c r="F26" s="464"/>
      <c r="G26" s="464"/>
      <c r="H26" s="464"/>
      <c r="I26" s="63">
        <f t="shared" si="0"/>
        <v>0</v>
      </c>
      <c r="J26" s="63"/>
      <c r="K26" s="4"/>
    </row>
    <row r="27" spans="2:11" ht="15" hidden="1" customHeight="1" x14ac:dyDescent="0.3">
      <c r="B27" s="3"/>
      <c r="C27" s="64" t="s">
        <v>198</v>
      </c>
      <c r="D27" s="464"/>
      <c r="E27" s="464"/>
      <c r="F27" s="464"/>
      <c r="G27" s="464"/>
      <c r="H27" s="464"/>
      <c r="I27" s="63">
        <f t="shared" si="0"/>
        <v>0</v>
      </c>
      <c r="J27" s="63"/>
      <c r="K27" s="4"/>
    </row>
    <row r="28" spans="2:11" ht="15" hidden="1" customHeight="1" x14ac:dyDescent="0.3">
      <c r="B28" s="3"/>
      <c r="C28" s="64" t="s">
        <v>199</v>
      </c>
      <c r="D28" s="464"/>
      <c r="E28" s="464"/>
      <c r="F28" s="464"/>
      <c r="G28" s="464"/>
      <c r="H28" s="464"/>
      <c r="I28" s="63">
        <f t="shared" si="0"/>
        <v>0</v>
      </c>
      <c r="J28" s="63"/>
      <c r="K28" s="4"/>
    </row>
    <row r="29" spans="2:11" ht="15" hidden="1" customHeight="1" x14ac:dyDescent="0.3">
      <c r="B29" s="282">
        <f>B25+1</f>
        <v>7</v>
      </c>
      <c r="C29" s="10" t="str">
        <f>'Program Descriptions'!C11</f>
        <v>Empty</v>
      </c>
      <c r="D29" s="283">
        <f>SUM(D30:D32)</f>
        <v>0</v>
      </c>
      <c r="E29" s="283">
        <f>SUM(E30:E32)</f>
        <v>0</v>
      </c>
      <c r="F29" s="283">
        <f>SUM(F30:F32)</f>
        <v>0</v>
      </c>
      <c r="G29" s="283">
        <f>SUM(G30:G32)</f>
        <v>0</v>
      </c>
      <c r="H29" s="283">
        <f>SUM(H30:H32)</f>
        <v>0</v>
      </c>
      <c r="I29" s="11">
        <f t="shared" si="0"/>
        <v>0</v>
      </c>
      <c r="J29" s="11"/>
      <c r="K29" s="4"/>
    </row>
    <row r="30" spans="2:11" ht="15" hidden="1" customHeight="1" x14ac:dyDescent="0.3">
      <c r="B30" s="3"/>
      <c r="C30" s="64" t="s">
        <v>197</v>
      </c>
      <c r="D30" s="464"/>
      <c r="E30" s="464"/>
      <c r="F30" s="464"/>
      <c r="G30" s="464"/>
      <c r="H30" s="464"/>
      <c r="I30" s="63">
        <f t="shared" si="0"/>
        <v>0</v>
      </c>
      <c r="J30" s="63"/>
      <c r="K30" s="4"/>
    </row>
    <row r="31" spans="2:11" ht="15" hidden="1" customHeight="1" x14ac:dyDescent="0.3">
      <c r="B31" s="3"/>
      <c r="C31" s="64" t="s">
        <v>198</v>
      </c>
      <c r="D31" s="464"/>
      <c r="E31" s="464"/>
      <c r="F31" s="464"/>
      <c r="G31" s="464"/>
      <c r="H31" s="464"/>
      <c r="I31" s="63">
        <f t="shared" si="0"/>
        <v>0</v>
      </c>
      <c r="J31" s="63"/>
      <c r="K31" s="4"/>
    </row>
    <row r="32" spans="2:11" ht="15" hidden="1" customHeight="1" x14ac:dyDescent="0.3">
      <c r="B32" s="3"/>
      <c r="C32" s="64" t="s">
        <v>199</v>
      </c>
      <c r="D32" s="464"/>
      <c r="E32" s="464"/>
      <c r="F32" s="464"/>
      <c r="G32" s="464"/>
      <c r="H32" s="464"/>
      <c r="I32" s="63">
        <f t="shared" si="0"/>
        <v>0</v>
      </c>
      <c r="J32" s="63"/>
      <c r="K32" s="4"/>
    </row>
    <row r="33" spans="2:11" ht="15" hidden="1" customHeight="1" x14ac:dyDescent="0.3">
      <c r="B33" s="282">
        <f>B29+1</f>
        <v>8</v>
      </c>
      <c r="C33" s="10" t="str">
        <f>'Program Descriptions'!C12</f>
        <v>Empty</v>
      </c>
      <c r="D33" s="283">
        <f>SUM(D34:D36)</f>
        <v>0</v>
      </c>
      <c r="E33" s="283">
        <f>SUM(E34:E36)</f>
        <v>0</v>
      </c>
      <c r="F33" s="283">
        <f>SUM(F34:F36)</f>
        <v>0</v>
      </c>
      <c r="G33" s="283">
        <f>SUM(G34:G36)</f>
        <v>0</v>
      </c>
      <c r="H33" s="283">
        <f>SUM(H34:H36)</f>
        <v>0</v>
      </c>
      <c r="I33" s="11">
        <f t="shared" si="0"/>
        <v>0</v>
      </c>
      <c r="J33" s="11"/>
      <c r="K33" s="4"/>
    </row>
    <row r="34" spans="2:11" ht="15" hidden="1" customHeight="1" x14ac:dyDescent="0.3">
      <c r="B34" s="3"/>
      <c r="C34" s="64" t="s">
        <v>197</v>
      </c>
      <c r="D34" s="464"/>
      <c r="E34" s="464"/>
      <c r="F34" s="464"/>
      <c r="G34" s="464"/>
      <c r="H34" s="464"/>
      <c r="I34" s="63">
        <f t="shared" si="0"/>
        <v>0</v>
      </c>
      <c r="J34" s="63"/>
      <c r="K34" s="4"/>
    </row>
    <row r="35" spans="2:11" ht="15" hidden="1" customHeight="1" x14ac:dyDescent="0.3">
      <c r="B35" s="3"/>
      <c r="C35" s="64" t="s">
        <v>198</v>
      </c>
      <c r="D35" s="464"/>
      <c r="E35" s="464"/>
      <c r="F35" s="464"/>
      <c r="G35" s="464"/>
      <c r="H35" s="464"/>
      <c r="I35" s="63">
        <f t="shared" si="0"/>
        <v>0</v>
      </c>
      <c r="J35" s="63"/>
      <c r="K35" s="4"/>
    </row>
    <row r="36" spans="2:11" ht="15" hidden="1" customHeight="1" x14ac:dyDescent="0.3">
      <c r="B36" s="3"/>
      <c r="C36" s="64" t="s">
        <v>199</v>
      </c>
      <c r="D36" s="464"/>
      <c r="E36" s="464"/>
      <c r="F36" s="464"/>
      <c r="G36" s="464"/>
      <c r="H36" s="464"/>
      <c r="I36" s="63">
        <f t="shared" si="0"/>
        <v>0</v>
      </c>
      <c r="J36" s="63"/>
      <c r="K36" s="4"/>
    </row>
    <row r="37" spans="2:11" ht="15" hidden="1" customHeight="1" x14ac:dyDescent="0.3">
      <c r="B37" s="282">
        <f>B33+1</f>
        <v>9</v>
      </c>
      <c r="C37" s="10" t="str">
        <f>'Program Descriptions'!C13</f>
        <v>Empty</v>
      </c>
      <c r="D37" s="283">
        <f>SUM(D38:D40)</f>
        <v>0</v>
      </c>
      <c r="E37" s="283">
        <f>SUM(E38:E40)</f>
        <v>0</v>
      </c>
      <c r="F37" s="283">
        <f>SUM(F38:F40)</f>
        <v>0</v>
      </c>
      <c r="G37" s="283">
        <f>SUM(G38:G40)</f>
        <v>0</v>
      </c>
      <c r="H37" s="283">
        <f>SUM(H38:H40)</f>
        <v>0</v>
      </c>
      <c r="I37" s="11">
        <f t="shared" ref="I37:I68" si="1">SUM(D37:H37)</f>
        <v>0</v>
      </c>
      <c r="J37" s="11"/>
      <c r="K37" s="4"/>
    </row>
    <row r="38" spans="2:11" ht="15" hidden="1" customHeight="1" x14ac:dyDescent="0.3">
      <c r="B38" s="3"/>
      <c r="C38" s="64" t="s">
        <v>197</v>
      </c>
      <c r="D38" s="464"/>
      <c r="E38" s="464"/>
      <c r="F38" s="464"/>
      <c r="G38" s="464"/>
      <c r="H38" s="464"/>
      <c r="I38" s="63">
        <f t="shared" si="1"/>
        <v>0</v>
      </c>
      <c r="J38" s="63"/>
      <c r="K38" s="4"/>
    </row>
    <row r="39" spans="2:11" ht="15" hidden="1" customHeight="1" x14ac:dyDescent="0.3">
      <c r="B39" s="3"/>
      <c r="C39" s="64" t="s">
        <v>198</v>
      </c>
      <c r="D39" s="464"/>
      <c r="E39" s="464"/>
      <c r="F39" s="464"/>
      <c r="G39" s="464"/>
      <c r="H39" s="464"/>
      <c r="I39" s="63">
        <f t="shared" si="1"/>
        <v>0</v>
      </c>
      <c r="J39" s="63"/>
      <c r="K39" s="4"/>
    </row>
    <row r="40" spans="2:11" ht="15" hidden="1" customHeight="1" x14ac:dyDescent="0.3">
      <c r="B40" s="3"/>
      <c r="C40" s="64" t="s">
        <v>199</v>
      </c>
      <c r="D40" s="464"/>
      <c r="E40" s="464"/>
      <c r="F40" s="464"/>
      <c r="G40" s="464"/>
      <c r="H40" s="464"/>
      <c r="I40" s="63">
        <f t="shared" si="1"/>
        <v>0</v>
      </c>
      <c r="J40" s="63"/>
      <c r="K40" s="4"/>
    </row>
    <row r="41" spans="2:11" ht="15" hidden="1" customHeight="1" x14ac:dyDescent="0.3">
      <c r="B41" s="282">
        <f>B37+1</f>
        <v>10</v>
      </c>
      <c r="C41" s="10" t="str">
        <f>'Program Descriptions'!C14</f>
        <v>Empty</v>
      </c>
      <c r="D41" s="283">
        <f>SUM(D42:D44)</f>
        <v>0</v>
      </c>
      <c r="E41" s="283">
        <f>SUM(E42:E44)</f>
        <v>0</v>
      </c>
      <c r="F41" s="283">
        <f>SUM(F42:F44)</f>
        <v>0</v>
      </c>
      <c r="G41" s="283">
        <f>SUM(G42:G44)</f>
        <v>0</v>
      </c>
      <c r="H41" s="283">
        <f>SUM(H42:H44)</f>
        <v>0</v>
      </c>
      <c r="I41" s="11">
        <f t="shared" si="1"/>
        <v>0</v>
      </c>
      <c r="J41" s="11"/>
      <c r="K41" s="4"/>
    </row>
    <row r="42" spans="2:11" ht="15" hidden="1" customHeight="1" x14ac:dyDescent="0.3">
      <c r="B42" s="3"/>
      <c r="C42" s="64" t="s">
        <v>197</v>
      </c>
      <c r="D42" s="464"/>
      <c r="E42" s="464"/>
      <c r="F42" s="464"/>
      <c r="G42" s="464"/>
      <c r="H42" s="464"/>
      <c r="I42" s="63">
        <f t="shared" si="1"/>
        <v>0</v>
      </c>
      <c r="J42" s="63"/>
      <c r="K42" s="4"/>
    </row>
    <row r="43" spans="2:11" ht="15" hidden="1" customHeight="1" x14ac:dyDescent="0.3">
      <c r="B43" s="3"/>
      <c r="C43" s="64" t="s">
        <v>198</v>
      </c>
      <c r="D43" s="464"/>
      <c r="E43" s="464"/>
      <c r="F43" s="464"/>
      <c r="G43" s="464"/>
      <c r="H43" s="464"/>
      <c r="I43" s="63">
        <f t="shared" si="1"/>
        <v>0</v>
      </c>
      <c r="J43" s="63"/>
      <c r="K43" s="4"/>
    </row>
    <row r="44" spans="2:11" ht="15" hidden="1" customHeight="1" x14ac:dyDescent="0.3">
      <c r="B44" s="3"/>
      <c r="C44" s="64" t="s">
        <v>199</v>
      </c>
      <c r="D44" s="464"/>
      <c r="E44" s="464"/>
      <c r="F44" s="464"/>
      <c r="G44" s="464"/>
      <c r="H44" s="464"/>
      <c r="I44" s="63">
        <f t="shared" si="1"/>
        <v>0</v>
      </c>
      <c r="J44" s="63"/>
      <c r="K44" s="4"/>
    </row>
    <row r="45" spans="2:11" ht="15" hidden="1" customHeight="1" x14ac:dyDescent="0.3">
      <c r="B45" s="282">
        <f>B41+1</f>
        <v>11</v>
      </c>
      <c r="C45" s="10" t="str">
        <f>'Program Descriptions'!C15</f>
        <v>Empty</v>
      </c>
      <c r="D45" s="283">
        <f>SUM(D46:D48)</f>
        <v>0</v>
      </c>
      <c r="E45" s="283">
        <f>SUM(E46:E48)</f>
        <v>0</v>
      </c>
      <c r="F45" s="283">
        <f>SUM(F46:F48)</f>
        <v>0</v>
      </c>
      <c r="G45" s="283">
        <f>SUM(G46:G48)</f>
        <v>0</v>
      </c>
      <c r="H45" s="283">
        <f>SUM(H46:H48)</f>
        <v>0</v>
      </c>
      <c r="I45" s="11">
        <f t="shared" si="1"/>
        <v>0</v>
      </c>
      <c r="J45" s="11"/>
      <c r="K45" s="4"/>
    </row>
    <row r="46" spans="2:11" ht="15" hidden="1" customHeight="1" x14ac:dyDescent="0.3">
      <c r="B46" s="3"/>
      <c r="C46" s="64" t="s">
        <v>197</v>
      </c>
      <c r="D46" s="464"/>
      <c r="E46" s="464"/>
      <c r="F46" s="464"/>
      <c r="G46" s="464"/>
      <c r="H46" s="464"/>
      <c r="I46" s="63">
        <f t="shared" si="1"/>
        <v>0</v>
      </c>
      <c r="J46" s="63"/>
      <c r="K46" s="4"/>
    </row>
    <row r="47" spans="2:11" ht="15" hidden="1" customHeight="1" x14ac:dyDescent="0.3">
      <c r="B47" s="3"/>
      <c r="C47" s="64" t="s">
        <v>198</v>
      </c>
      <c r="D47" s="464"/>
      <c r="E47" s="464"/>
      <c r="F47" s="464"/>
      <c r="G47" s="464"/>
      <c r="H47" s="464"/>
      <c r="I47" s="63">
        <f t="shared" si="1"/>
        <v>0</v>
      </c>
      <c r="J47" s="63"/>
      <c r="K47" s="4"/>
    </row>
    <row r="48" spans="2:11" ht="15" hidden="1" customHeight="1" x14ac:dyDescent="0.3">
      <c r="B48" s="3"/>
      <c r="C48" s="64" t="s">
        <v>199</v>
      </c>
      <c r="D48" s="464"/>
      <c r="E48" s="464"/>
      <c r="F48" s="464"/>
      <c r="G48" s="464"/>
      <c r="H48" s="464"/>
      <c r="I48" s="63">
        <f t="shared" si="1"/>
        <v>0</v>
      </c>
      <c r="J48" s="63"/>
      <c r="K48" s="4"/>
    </row>
    <row r="49" spans="2:11" ht="15" hidden="1" customHeight="1" x14ac:dyDescent="0.3">
      <c r="B49" s="282">
        <f>B45+1</f>
        <v>12</v>
      </c>
      <c r="C49" s="10" t="str">
        <f>'Program Descriptions'!C16</f>
        <v>Empty</v>
      </c>
      <c r="D49" s="283">
        <f>SUM(D50:D52)</f>
        <v>0</v>
      </c>
      <c r="E49" s="283">
        <f>SUM(E50:E52)</f>
        <v>0</v>
      </c>
      <c r="F49" s="283">
        <f>SUM(F50:F52)</f>
        <v>0</v>
      </c>
      <c r="G49" s="283">
        <f>SUM(G50:G52)</f>
        <v>0</v>
      </c>
      <c r="H49" s="283">
        <f>SUM(H50:H52)</f>
        <v>0</v>
      </c>
      <c r="I49" s="11">
        <f t="shared" si="1"/>
        <v>0</v>
      </c>
      <c r="J49" s="11"/>
      <c r="K49" s="4"/>
    </row>
    <row r="50" spans="2:11" ht="15" hidden="1" customHeight="1" x14ac:dyDescent="0.3">
      <c r="B50" s="3"/>
      <c r="C50" s="64" t="s">
        <v>197</v>
      </c>
      <c r="D50" s="464"/>
      <c r="E50" s="464"/>
      <c r="F50" s="464"/>
      <c r="G50" s="464"/>
      <c r="H50" s="464"/>
      <c r="I50" s="63">
        <f t="shared" si="1"/>
        <v>0</v>
      </c>
      <c r="J50" s="63"/>
      <c r="K50" s="4"/>
    </row>
    <row r="51" spans="2:11" ht="15" hidden="1" customHeight="1" x14ac:dyDescent="0.3">
      <c r="B51" s="3"/>
      <c r="C51" s="64" t="s">
        <v>198</v>
      </c>
      <c r="D51" s="464"/>
      <c r="E51" s="464"/>
      <c r="F51" s="464"/>
      <c r="G51" s="464"/>
      <c r="H51" s="464"/>
      <c r="I51" s="63">
        <f t="shared" si="1"/>
        <v>0</v>
      </c>
      <c r="J51" s="63"/>
      <c r="K51" s="4"/>
    </row>
    <row r="52" spans="2:11" ht="15" hidden="1" customHeight="1" x14ac:dyDescent="0.3">
      <c r="B52" s="3"/>
      <c r="C52" s="64" t="s">
        <v>199</v>
      </c>
      <c r="D52" s="464"/>
      <c r="E52" s="464"/>
      <c r="F52" s="464"/>
      <c r="G52" s="464"/>
      <c r="H52" s="464"/>
      <c r="I52" s="63">
        <f t="shared" si="1"/>
        <v>0</v>
      </c>
      <c r="J52" s="63"/>
      <c r="K52" s="4"/>
    </row>
    <row r="53" spans="2:11" ht="15" hidden="1" customHeight="1" x14ac:dyDescent="0.3">
      <c r="B53" s="282">
        <f>B49+1</f>
        <v>13</v>
      </c>
      <c r="C53" s="10" t="str">
        <f>'Program Descriptions'!C17</f>
        <v>Empty</v>
      </c>
      <c r="D53" s="283">
        <f>SUM(D54:D56)</f>
        <v>0</v>
      </c>
      <c r="E53" s="283">
        <f>SUM(E54:E56)</f>
        <v>0</v>
      </c>
      <c r="F53" s="283">
        <f>SUM(F54:F56)</f>
        <v>0</v>
      </c>
      <c r="G53" s="283">
        <f>SUM(G54:G56)</f>
        <v>0</v>
      </c>
      <c r="H53" s="283">
        <f>SUM(H54:H56)</f>
        <v>0</v>
      </c>
      <c r="I53" s="11">
        <f t="shared" si="1"/>
        <v>0</v>
      </c>
      <c r="J53" s="11"/>
      <c r="K53" s="4"/>
    </row>
    <row r="54" spans="2:11" ht="15" hidden="1" customHeight="1" x14ac:dyDescent="0.3">
      <c r="B54" s="3"/>
      <c r="C54" s="64" t="s">
        <v>197</v>
      </c>
      <c r="D54" s="464"/>
      <c r="E54" s="464"/>
      <c r="F54" s="464"/>
      <c r="G54" s="464"/>
      <c r="H54" s="464"/>
      <c r="I54" s="63">
        <f t="shared" si="1"/>
        <v>0</v>
      </c>
      <c r="J54" s="63"/>
      <c r="K54" s="4"/>
    </row>
    <row r="55" spans="2:11" ht="15" hidden="1" customHeight="1" x14ac:dyDescent="0.3">
      <c r="B55" s="3"/>
      <c r="C55" s="64" t="s">
        <v>198</v>
      </c>
      <c r="D55" s="464"/>
      <c r="E55" s="464"/>
      <c r="F55" s="464"/>
      <c r="G55" s="464"/>
      <c r="H55" s="464"/>
      <c r="I55" s="63">
        <f t="shared" si="1"/>
        <v>0</v>
      </c>
      <c r="J55" s="63"/>
      <c r="K55" s="4"/>
    </row>
    <row r="56" spans="2:11" ht="15" hidden="1" customHeight="1" x14ac:dyDescent="0.3">
      <c r="B56" s="3"/>
      <c r="C56" s="64" t="s">
        <v>199</v>
      </c>
      <c r="D56" s="464"/>
      <c r="E56" s="464"/>
      <c r="F56" s="464"/>
      <c r="G56" s="464"/>
      <c r="H56" s="464"/>
      <c r="I56" s="63">
        <f t="shared" si="1"/>
        <v>0</v>
      </c>
      <c r="J56" s="63"/>
      <c r="K56" s="4"/>
    </row>
    <row r="57" spans="2:11" ht="15" hidden="1" customHeight="1" x14ac:dyDescent="0.3">
      <c r="B57" s="282">
        <f>B53+1</f>
        <v>14</v>
      </c>
      <c r="C57" s="10" t="str">
        <f>'Program Descriptions'!C18</f>
        <v>Empty</v>
      </c>
      <c r="D57" s="283">
        <f>SUM(D58:D60)</f>
        <v>0</v>
      </c>
      <c r="E57" s="283">
        <f>SUM(E58:E60)</f>
        <v>0</v>
      </c>
      <c r="F57" s="283">
        <f>SUM(F58:F60)</f>
        <v>0</v>
      </c>
      <c r="G57" s="283">
        <f>SUM(G58:G60)</f>
        <v>0</v>
      </c>
      <c r="H57" s="283">
        <f>SUM(H58:H60)</f>
        <v>0</v>
      </c>
      <c r="I57" s="11">
        <f t="shared" si="1"/>
        <v>0</v>
      </c>
      <c r="J57" s="11"/>
      <c r="K57" s="4"/>
    </row>
    <row r="58" spans="2:11" ht="15" hidden="1" customHeight="1" x14ac:dyDescent="0.3">
      <c r="B58" s="3"/>
      <c r="C58" s="64" t="s">
        <v>197</v>
      </c>
      <c r="D58" s="464"/>
      <c r="E58" s="464"/>
      <c r="F58" s="464"/>
      <c r="G58" s="464"/>
      <c r="H58" s="464"/>
      <c r="I58" s="63">
        <f t="shared" si="1"/>
        <v>0</v>
      </c>
      <c r="J58" s="63"/>
      <c r="K58" s="4"/>
    </row>
    <row r="59" spans="2:11" ht="15" hidden="1" customHeight="1" x14ac:dyDescent="0.3">
      <c r="B59" s="3"/>
      <c r="C59" s="64" t="s">
        <v>198</v>
      </c>
      <c r="D59" s="464"/>
      <c r="E59" s="464"/>
      <c r="F59" s="464"/>
      <c r="G59" s="464"/>
      <c r="H59" s="464"/>
      <c r="I59" s="63">
        <f t="shared" si="1"/>
        <v>0</v>
      </c>
      <c r="J59" s="63"/>
      <c r="K59" s="4"/>
    </row>
    <row r="60" spans="2:11" ht="15" hidden="1" customHeight="1" x14ac:dyDescent="0.3">
      <c r="B60" s="3"/>
      <c r="C60" s="64" t="s">
        <v>199</v>
      </c>
      <c r="D60" s="464"/>
      <c r="E60" s="464"/>
      <c r="F60" s="464"/>
      <c r="G60" s="464"/>
      <c r="H60" s="464"/>
      <c r="I60" s="63">
        <f t="shared" si="1"/>
        <v>0</v>
      </c>
      <c r="J60" s="63"/>
      <c r="K60" s="4"/>
    </row>
    <row r="61" spans="2:11" ht="15" hidden="1" customHeight="1" x14ac:dyDescent="0.3">
      <c r="B61" s="282">
        <f>B57+1</f>
        <v>15</v>
      </c>
      <c r="C61" s="10" t="str">
        <f>'Program Descriptions'!C19</f>
        <v>Empty</v>
      </c>
      <c r="D61" s="283">
        <f>SUM(D62:D64)</f>
        <v>0</v>
      </c>
      <c r="E61" s="283">
        <f>SUM(E62:E64)</f>
        <v>0</v>
      </c>
      <c r="F61" s="283">
        <f>SUM(F62:F64)</f>
        <v>0</v>
      </c>
      <c r="G61" s="283">
        <f>SUM(G62:G64)</f>
        <v>0</v>
      </c>
      <c r="H61" s="283">
        <f>SUM(H62:H64)</f>
        <v>0</v>
      </c>
      <c r="I61" s="11">
        <f t="shared" si="1"/>
        <v>0</v>
      </c>
      <c r="J61" s="11"/>
      <c r="K61" s="4"/>
    </row>
    <row r="62" spans="2:11" ht="15" hidden="1" customHeight="1" x14ac:dyDescent="0.3">
      <c r="B62" s="3"/>
      <c r="C62" s="64" t="s">
        <v>197</v>
      </c>
      <c r="D62" s="464"/>
      <c r="E62" s="464"/>
      <c r="F62" s="464"/>
      <c r="G62" s="464"/>
      <c r="H62" s="464"/>
      <c r="I62" s="63">
        <f t="shared" si="1"/>
        <v>0</v>
      </c>
      <c r="J62" s="63"/>
      <c r="K62" s="4"/>
    </row>
    <row r="63" spans="2:11" ht="15" hidden="1" customHeight="1" x14ac:dyDescent="0.3">
      <c r="B63" s="3"/>
      <c r="C63" s="64" t="s">
        <v>198</v>
      </c>
      <c r="D63" s="464"/>
      <c r="E63" s="464"/>
      <c r="F63" s="464"/>
      <c r="G63" s="464"/>
      <c r="H63" s="464"/>
      <c r="I63" s="63">
        <f t="shared" si="1"/>
        <v>0</v>
      </c>
      <c r="J63" s="63"/>
      <c r="K63" s="4"/>
    </row>
    <row r="64" spans="2:11" ht="15" hidden="1" customHeight="1" x14ac:dyDescent="0.3">
      <c r="B64" s="3"/>
      <c r="C64" s="64" t="s">
        <v>199</v>
      </c>
      <c r="D64" s="464"/>
      <c r="E64" s="464"/>
      <c r="F64" s="464"/>
      <c r="G64" s="464"/>
      <c r="H64" s="464"/>
      <c r="I64" s="63">
        <f t="shared" si="1"/>
        <v>0</v>
      </c>
      <c r="J64" s="63"/>
      <c r="K64" s="4"/>
    </row>
    <row r="65" spans="2:11" ht="15" hidden="1" customHeight="1" x14ac:dyDescent="0.3">
      <c r="B65" s="282">
        <f>B61+1</f>
        <v>16</v>
      </c>
      <c r="C65" s="10" t="str">
        <f>'Program Descriptions'!C20</f>
        <v>Empty</v>
      </c>
      <c r="D65" s="283">
        <f>SUM(D66:D68)</f>
        <v>0</v>
      </c>
      <c r="E65" s="283">
        <f>SUM(E66:E68)</f>
        <v>0</v>
      </c>
      <c r="F65" s="283">
        <f>SUM(F66:F68)</f>
        <v>0</v>
      </c>
      <c r="G65" s="283">
        <f>SUM(G66:G68)</f>
        <v>0</v>
      </c>
      <c r="H65" s="283">
        <f>SUM(H66:H68)</f>
        <v>0</v>
      </c>
      <c r="I65" s="11">
        <f t="shared" si="1"/>
        <v>0</v>
      </c>
      <c r="J65" s="11"/>
      <c r="K65" s="4"/>
    </row>
    <row r="66" spans="2:11" ht="15" hidden="1" customHeight="1" x14ac:dyDescent="0.3">
      <c r="B66" s="3"/>
      <c r="C66" s="64" t="s">
        <v>197</v>
      </c>
      <c r="D66" s="464"/>
      <c r="E66" s="464"/>
      <c r="F66" s="464"/>
      <c r="G66" s="464"/>
      <c r="H66" s="464"/>
      <c r="I66" s="63">
        <f t="shared" si="1"/>
        <v>0</v>
      </c>
      <c r="J66" s="63"/>
      <c r="K66" s="4"/>
    </row>
    <row r="67" spans="2:11" ht="15" hidden="1" customHeight="1" x14ac:dyDescent="0.3">
      <c r="B67" s="3"/>
      <c r="C67" s="64" t="s">
        <v>198</v>
      </c>
      <c r="D67" s="464"/>
      <c r="E67" s="464"/>
      <c r="F67" s="464"/>
      <c r="G67" s="464"/>
      <c r="H67" s="464"/>
      <c r="I67" s="63">
        <f t="shared" si="1"/>
        <v>0</v>
      </c>
      <c r="J67" s="63"/>
      <c r="K67" s="4"/>
    </row>
    <row r="68" spans="2:11" ht="15" hidden="1" customHeight="1" x14ac:dyDescent="0.3">
      <c r="B68" s="3"/>
      <c r="C68" s="64" t="s">
        <v>199</v>
      </c>
      <c r="D68" s="464"/>
      <c r="E68" s="464"/>
      <c r="F68" s="464"/>
      <c r="G68" s="464"/>
      <c r="H68" s="464"/>
      <c r="I68" s="63">
        <f t="shared" si="1"/>
        <v>0</v>
      </c>
      <c r="J68" s="63"/>
      <c r="K68" s="4"/>
    </row>
    <row r="69" spans="2:11" ht="15" hidden="1" customHeight="1" x14ac:dyDescent="0.3">
      <c r="B69" s="282">
        <f>B65+1</f>
        <v>17</v>
      </c>
      <c r="C69" s="10" t="str">
        <f>'Program Descriptions'!C21</f>
        <v>Empty</v>
      </c>
      <c r="D69" s="283">
        <f>SUM(D70:D72)</f>
        <v>0</v>
      </c>
      <c r="E69" s="283">
        <f>SUM(E70:E72)</f>
        <v>0</v>
      </c>
      <c r="F69" s="283">
        <f>SUM(F70:F72)</f>
        <v>0</v>
      </c>
      <c r="G69" s="283">
        <f>SUM(G70:G72)</f>
        <v>0</v>
      </c>
      <c r="H69" s="283">
        <f>SUM(H70:H72)</f>
        <v>0</v>
      </c>
      <c r="I69" s="11">
        <f t="shared" ref="I69:I84" si="2">SUM(D69:H69)</f>
        <v>0</v>
      </c>
      <c r="J69" s="11"/>
      <c r="K69" s="4"/>
    </row>
    <row r="70" spans="2:11" ht="15" hidden="1" customHeight="1" x14ac:dyDescent="0.3">
      <c r="B70" s="3"/>
      <c r="C70" s="64" t="s">
        <v>197</v>
      </c>
      <c r="D70" s="464"/>
      <c r="E70" s="464"/>
      <c r="F70" s="464"/>
      <c r="G70" s="464"/>
      <c r="H70" s="464"/>
      <c r="I70" s="63">
        <f t="shared" si="2"/>
        <v>0</v>
      </c>
      <c r="J70" s="63"/>
      <c r="K70" s="4"/>
    </row>
    <row r="71" spans="2:11" ht="15" hidden="1" customHeight="1" x14ac:dyDescent="0.3">
      <c r="B71" s="3"/>
      <c r="C71" s="64" t="s">
        <v>198</v>
      </c>
      <c r="D71" s="464"/>
      <c r="E71" s="464"/>
      <c r="F71" s="464"/>
      <c r="G71" s="464"/>
      <c r="H71" s="464"/>
      <c r="I71" s="63">
        <f t="shared" si="2"/>
        <v>0</v>
      </c>
      <c r="J71" s="63"/>
      <c r="K71" s="4"/>
    </row>
    <row r="72" spans="2:11" ht="15" hidden="1" customHeight="1" x14ac:dyDescent="0.3">
      <c r="B72" s="3"/>
      <c r="C72" s="64" t="s">
        <v>199</v>
      </c>
      <c r="D72" s="464"/>
      <c r="E72" s="464"/>
      <c r="F72" s="464"/>
      <c r="G72" s="464"/>
      <c r="H72" s="464"/>
      <c r="I72" s="63">
        <f t="shared" si="2"/>
        <v>0</v>
      </c>
      <c r="J72" s="63"/>
      <c r="K72" s="4"/>
    </row>
    <row r="73" spans="2:11" ht="15" hidden="1" customHeight="1" x14ac:dyDescent="0.3">
      <c r="B73" s="282">
        <f>B69+1</f>
        <v>18</v>
      </c>
      <c r="C73" s="10" t="str">
        <f>'Program Descriptions'!C22</f>
        <v>Empty</v>
      </c>
      <c r="D73" s="283">
        <f>SUM(D74:D76)</f>
        <v>0</v>
      </c>
      <c r="E73" s="283">
        <f>SUM(E74:E76)</f>
        <v>0</v>
      </c>
      <c r="F73" s="283">
        <f>SUM(F74:F76)</f>
        <v>0</v>
      </c>
      <c r="G73" s="283">
        <f>SUM(G74:G76)</f>
        <v>0</v>
      </c>
      <c r="H73" s="283">
        <f>SUM(H74:H76)</f>
        <v>0</v>
      </c>
      <c r="I73" s="11">
        <f t="shared" si="2"/>
        <v>0</v>
      </c>
      <c r="J73" s="11"/>
      <c r="K73" s="4"/>
    </row>
    <row r="74" spans="2:11" ht="15" hidden="1" customHeight="1" x14ac:dyDescent="0.3">
      <c r="B74" s="3"/>
      <c r="C74" s="64" t="s">
        <v>197</v>
      </c>
      <c r="D74" s="464"/>
      <c r="E74" s="464"/>
      <c r="F74" s="464"/>
      <c r="G74" s="464"/>
      <c r="H74" s="464"/>
      <c r="I74" s="63">
        <f t="shared" si="2"/>
        <v>0</v>
      </c>
      <c r="J74" s="63"/>
      <c r="K74" s="4"/>
    </row>
    <row r="75" spans="2:11" ht="15" hidden="1" customHeight="1" x14ac:dyDescent="0.3">
      <c r="B75" s="3"/>
      <c r="C75" s="64" t="s">
        <v>198</v>
      </c>
      <c r="D75" s="464"/>
      <c r="E75" s="464"/>
      <c r="F75" s="464"/>
      <c r="G75" s="464"/>
      <c r="H75" s="464"/>
      <c r="I75" s="63">
        <f t="shared" si="2"/>
        <v>0</v>
      </c>
      <c r="J75" s="63"/>
      <c r="K75" s="4"/>
    </row>
    <row r="76" spans="2:11" ht="15" hidden="1" customHeight="1" x14ac:dyDescent="0.3">
      <c r="B76" s="3"/>
      <c r="C76" s="64" t="s">
        <v>199</v>
      </c>
      <c r="D76" s="464"/>
      <c r="E76" s="464"/>
      <c r="F76" s="464"/>
      <c r="G76" s="464"/>
      <c r="H76" s="464"/>
      <c r="I76" s="63">
        <f t="shared" si="2"/>
        <v>0</v>
      </c>
      <c r="J76" s="63"/>
      <c r="K76" s="4"/>
    </row>
    <row r="77" spans="2:11" ht="15" hidden="1" customHeight="1" x14ac:dyDescent="0.3">
      <c r="B77" s="282">
        <f>B73+1</f>
        <v>19</v>
      </c>
      <c r="C77" s="10" t="str">
        <f>'Program Descriptions'!C23</f>
        <v>Empty</v>
      </c>
      <c r="D77" s="283">
        <f>SUM(D78:D80)</f>
        <v>0</v>
      </c>
      <c r="E77" s="283">
        <f>SUM(E78:E80)</f>
        <v>0</v>
      </c>
      <c r="F77" s="283">
        <f>SUM(F78:F80)</f>
        <v>0</v>
      </c>
      <c r="G77" s="283">
        <f>SUM(G78:G80)</f>
        <v>0</v>
      </c>
      <c r="H77" s="283">
        <f>SUM(H78:H80)</f>
        <v>0</v>
      </c>
      <c r="I77" s="11">
        <f t="shared" si="2"/>
        <v>0</v>
      </c>
      <c r="J77" s="11"/>
      <c r="K77" s="4"/>
    </row>
    <row r="78" spans="2:11" ht="15" hidden="1" customHeight="1" x14ac:dyDescent="0.3">
      <c r="B78" s="3"/>
      <c r="C78" s="64" t="s">
        <v>197</v>
      </c>
      <c r="D78" s="464"/>
      <c r="E78" s="464"/>
      <c r="F78" s="464"/>
      <c r="G78" s="464"/>
      <c r="H78" s="464"/>
      <c r="I78" s="63">
        <f t="shared" si="2"/>
        <v>0</v>
      </c>
      <c r="J78" s="63"/>
      <c r="K78" s="4"/>
    </row>
    <row r="79" spans="2:11" ht="15" hidden="1" customHeight="1" x14ac:dyDescent="0.3">
      <c r="B79" s="3"/>
      <c r="C79" s="64" t="s">
        <v>198</v>
      </c>
      <c r="D79" s="464"/>
      <c r="E79" s="464"/>
      <c r="F79" s="464"/>
      <c r="G79" s="464"/>
      <c r="H79" s="464"/>
      <c r="I79" s="63">
        <f t="shared" si="2"/>
        <v>0</v>
      </c>
      <c r="J79" s="63"/>
      <c r="K79" s="4"/>
    </row>
    <row r="80" spans="2:11" ht="15" hidden="1" customHeight="1" x14ac:dyDescent="0.3">
      <c r="B80" s="3"/>
      <c r="C80" s="64" t="s">
        <v>199</v>
      </c>
      <c r="D80" s="464"/>
      <c r="E80" s="464"/>
      <c r="F80" s="464"/>
      <c r="G80" s="464"/>
      <c r="H80" s="464"/>
      <c r="I80" s="63">
        <f t="shared" si="2"/>
        <v>0</v>
      </c>
      <c r="J80" s="63"/>
      <c r="K80" s="4"/>
    </row>
    <row r="81" spans="2:11" ht="15" hidden="1" customHeight="1" x14ac:dyDescent="0.3">
      <c r="B81" s="282">
        <f>B77+1</f>
        <v>20</v>
      </c>
      <c r="C81" s="10" t="str">
        <f>'Program Descriptions'!C24</f>
        <v>Empty</v>
      </c>
      <c r="D81" s="283">
        <f>SUM(D82:D84)</f>
        <v>0</v>
      </c>
      <c r="E81" s="283">
        <f>SUM(E82:E84)</f>
        <v>0</v>
      </c>
      <c r="F81" s="283">
        <f>SUM(F82:F84)</f>
        <v>0</v>
      </c>
      <c r="G81" s="283">
        <f>SUM(G82:G84)</f>
        <v>0</v>
      </c>
      <c r="H81" s="283">
        <f>SUM(H82:H84)</f>
        <v>0</v>
      </c>
      <c r="I81" s="11">
        <f t="shared" si="2"/>
        <v>0</v>
      </c>
      <c r="J81" s="11"/>
      <c r="K81" s="4"/>
    </row>
    <row r="82" spans="2:11" ht="15" hidden="1" customHeight="1" x14ac:dyDescent="0.3">
      <c r="B82" s="3"/>
      <c r="C82" s="64" t="s">
        <v>197</v>
      </c>
      <c r="D82" s="464"/>
      <c r="E82" s="464"/>
      <c r="F82" s="464"/>
      <c r="G82" s="464"/>
      <c r="H82" s="464"/>
      <c r="I82" s="63">
        <f t="shared" si="2"/>
        <v>0</v>
      </c>
      <c r="J82" s="63"/>
      <c r="K82" s="4"/>
    </row>
    <row r="83" spans="2:11" ht="15" hidden="1" customHeight="1" x14ac:dyDescent="0.3">
      <c r="B83" s="3"/>
      <c r="C83" s="64" t="s">
        <v>198</v>
      </c>
      <c r="D83" s="464"/>
      <c r="E83" s="464"/>
      <c r="F83" s="464"/>
      <c r="G83" s="464"/>
      <c r="H83" s="464"/>
      <c r="I83" s="63">
        <f t="shared" si="2"/>
        <v>0</v>
      </c>
      <c r="J83" s="63"/>
      <c r="K83" s="4"/>
    </row>
    <row r="84" spans="2:11" ht="15" hidden="1" customHeight="1" x14ac:dyDescent="0.3">
      <c r="B84" s="3"/>
      <c r="C84" s="64" t="s">
        <v>199</v>
      </c>
      <c r="D84" s="464"/>
      <c r="E84" s="464"/>
      <c r="F84" s="464"/>
      <c r="G84" s="464"/>
      <c r="H84" s="464"/>
      <c r="I84" s="63">
        <f t="shared" si="2"/>
        <v>0</v>
      </c>
      <c r="J84" s="63"/>
      <c r="K84" s="4"/>
    </row>
    <row r="85" spans="2:11" ht="15" customHeight="1" x14ac:dyDescent="0.3">
      <c r="B85" s="3"/>
      <c r="K85" s="4"/>
    </row>
    <row r="86" spans="2:11" ht="15" customHeight="1" x14ac:dyDescent="0.3">
      <c r="B86" s="3"/>
      <c r="K86" s="4"/>
    </row>
    <row r="87" spans="2:11" ht="41.25" customHeight="1" x14ac:dyDescent="0.35">
      <c r="B87" s="3"/>
      <c r="C87" s="9" t="s">
        <v>200</v>
      </c>
      <c r="D87" s="278" t="str">
        <f>D4</f>
        <v>Planning / Design</v>
      </c>
      <c r="E87" s="278" t="str">
        <f>E4</f>
        <v>Marketing &amp; Delivery</v>
      </c>
      <c r="F87" s="278" t="str">
        <f>F4</f>
        <v>Incentives / Direct Install Costs</v>
      </c>
      <c r="G87" s="278" t="str">
        <f>G4</f>
        <v>EM&amp;V</v>
      </c>
      <c r="H87" s="278" t="str">
        <f>H4</f>
        <v>Administration</v>
      </c>
      <c r="I87" s="278" t="str">
        <f>Cost!C25</f>
        <v>Regulatory</v>
      </c>
      <c r="J87" s="278" t="s">
        <v>149</v>
      </c>
      <c r="K87" s="4"/>
    </row>
    <row r="88" spans="2:11" ht="15" customHeight="1" x14ac:dyDescent="0.3">
      <c r="B88" s="3"/>
      <c r="C88" s="64" t="s">
        <v>197</v>
      </c>
      <c r="D88" s="475">
        <f t="array" ref="D88">SUM(IF(MOD(ROW(D6:D$84)-ROW(D6),4)=0,D6:D$84,0))</f>
        <v>0</v>
      </c>
      <c r="E88" s="475">
        <f t="array" ref="E88">SUM(IF(MOD(ROW(E6:E$84)-ROW(E6),4)=0,E6:E$84,0))</f>
        <v>0</v>
      </c>
      <c r="F88" s="475">
        <f t="array" ref="F88">SUM(IF(MOD(ROW(F6:F$84)-ROW(F6),4)=0,F6:F$84,0))</f>
        <v>0</v>
      </c>
      <c r="G88" s="475">
        <f t="array" ref="G88">SUM(IF(MOD(ROW(G6:G$84)-ROW(G6),4)=0,G6:G$84,0))</f>
        <v>0</v>
      </c>
      <c r="H88" s="475">
        <f t="array" ref="H88">SUM(IF(MOD(ROW(H6:H$84)-ROW(H6),4)=0,H6:H$84,0))</f>
        <v>56806.539999999994</v>
      </c>
      <c r="I88" s="465">
        <v>0</v>
      </c>
      <c r="J88" s="11">
        <f>SUM(D88:I88)</f>
        <v>56806.539999999994</v>
      </c>
      <c r="K88" s="4"/>
    </row>
    <row r="89" spans="2:11" ht="15" customHeight="1" x14ac:dyDescent="0.3">
      <c r="B89" s="3"/>
      <c r="C89" s="64" t="s">
        <v>198</v>
      </c>
      <c r="D89" s="475">
        <f t="array" ref="D89">SUM(IF(MOD(ROW(D7:D$84)-ROW(D7),4)=0,D7:D$84,0))</f>
        <v>0</v>
      </c>
      <c r="E89" s="475">
        <f t="array" ref="E89">SUM(IF(MOD(ROW(E7:E$84)-ROW(E7),4)=0,E7:E$84,0))</f>
        <v>0</v>
      </c>
      <c r="F89" s="475">
        <f t="array" ref="F89">SUM(IF(MOD(ROW(F7:F$84)-ROW(F7),4)=0,F7:F$84,0))</f>
        <v>0</v>
      </c>
      <c r="G89" s="475">
        <f t="array" ref="G89">SUM(IF(MOD(ROW(G7:G$84)-ROW(G7),4)=0,G7:G$84,0))</f>
        <v>0</v>
      </c>
      <c r="H89" s="475">
        <f t="array" ref="H89">SUM(IF(MOD(ROW(H7:H$84)-ROW(H7),4)=0,H7:H$84,0))</f>
        <v>0</v>
      </c>
      <c r="I89" s="465">
        <v>0</v>
      </c>
      <c r="J89" s="11">
        <f>SUM(D89:I89)</f>
        <v>0</v>
      </c>
      <c r="K89" s="4"/>
    </row>
    <row r="90" spans="2:11" ht="15" customHeight="1" thickBot="1" x14ac:dyDescent="0.35">
      <c r="B90" s="3"/>
      <c r="C90" s="64" t="s">
        <v>199</v>
      </c>
      <c r="D90" s="476">
        <f t="array" ref="D90">SUM(IF(MOD(ROW(D8:D$84)-ROW(D8),4)=0,D8:D$84,0))</f>
        <v>0</v>
      </c>
      <c r="E90" s="476">
        <f t="array" ref="E90">SUM(IF(MOD(ROW(E8:E$84)-ROW(E8),4)=0,E8:E$84,0))</f>
        <v>1708587.39</v>
      </c>
      <c r="F90" s="476">
        <f t="array" ref="F90">SUM(IF(MOD(ROW(F8:F$84)-ROW(F8),4)=0,F8:F$84,0))</f>
        <v>1996689.0899999999</v>
      </c>
      <c r="G90" s="476">
        <f t="array" ref="G90">SUM(IF(MOD(ROW(G8:G$84)-ROW(G8),4)=0,G8:G$84,0))</f>
        <v>189790.47999999998</v>
      </c>
      <c r="H90" s="476">
        <f t="array" ref="H90">SUM(IF(MOD(ROW(H8:H$84)-ROW(H8),4)=0,H8:H$84,0))</f>
        <v>0</v>
      </c>
      <c r="I90" s="466">
        <v>9751.39</v>
      </c>
      <c r="J90" s="11">
        <f>SUM(D90:I90)</f>
        <v>3904818.3499999996</v>
      </c>
      <c r="K90" s="4"/>
    </row>
    <row r="91" spans="2:11" ht="15" customHeight="1" x14ac:dyDescent="0.35">
      <c r="B91" s="3"/>
      <c r="C91" s="280" t="s">
        <v>150</v>
      </c>
      <c r="D91" s="14">
        <f>SUM(D88:D90)</f>
        <v>0</v>
      </c>
      <c r="E91" s="14">
        <f t="shared" ref="E91:J91" si="3">SUM(E88:E90)</f>
        <v>1708587.39</v>
      </c>
      <c r="F91" s="14">
        <f t="shared" si="3"/>
        <v>1996689.0899999999</v>
      </c>
      <c r="G91" s="14">
        <f t="shared" si="3"/>
        <v>189790.47999999998</v>
      </c>
      <c r="H91" s="14">
        <f t="shared" si="3"/>
        <v>56806.539999999994</v>
      </c>
      <c r="I91" s="14">
        <f t="shared" si="3"/>
        <v>9751.39</v>
      </c>
      <c r="J91" s="14">
        <f t="shared" si="3"/>
        <v>3961624.8899999997</v>
      </c>
      <c r="K91" s="4"/>
    </row>
    <row r="92" spans="2:11" ht="15" customHeight="1" x14ac:dyDescent="0.3">
      <c r="B92" s="5"/>
      <c r="C92" s="6"/>
      <c r="D92" s="6"/>
      <c r="E92" s="6"/>
      <c r="F92" s="6"/>
      <c r="G92" s="6"/>
      <c r="H92" s="6"/>
      <c r="I92" s="6"/>
      <c r="J92" s="6"/>
      <c r="K92" s="7"/>
    </row>
    <row r="93" spans="2:11" ht="15" customHeight="1" x14ac:dyDescent="0.3"/>
    <row r="94" spans="2:11" ht="15" customHeight="1" x14ac:dyDescent="0.3"/>
    <row r="95" spans="2:11" ht="15" customHeight="1" x14ac:dyDescent="0.3"/>
    <row r="96" spans="2:11"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sheetData>
  <sheetProtection algorithmName="SHA-512" hashValue="DPgESCKf3Onx0YU2GCyW/EF5GFT3vDZ50YJkjtnKDsS7v+D359XKl9RujPn1sNg96p3OJM0roHBXfF0DMJfkyw==" saltValue="NbgWMvg1d9wKWIkWYKiCrw==" spinCount="100000" sheet="1" formatRows="0"/>
  <conditionalFormatting sqref="D6:H6">
    <cfRule type="expression" dxfId="77" priority="66">
      <formula>$B5&gt;Programs</formula>
    </cfRule>
  </conditionalFormatting>
  <conditionalFormatting sqref="D7:H7">
    <cfRule type="expression" dxfId="76" priority="65">
      <formula>$B5&gt;Programs</formula>
    </cfRule>
  </conditionalFormatting>
  <conditionalFormatting sqref="D8:H8">
    <cfRule type="expression" dxfId="75" priority="64">
      <formula>$B5&gt;Programs</formula>
    </cfRule>
  </conditionalFormatting>
  <conditionalFormatting sqref="D10:H10">
    <cfRule type="expression" dxfId="74" priority="54">
      <formula>$B9&gt;Programs</formula>
    </cfRule>
  </conditionalFormatting>
  <conditionalFormatting sqref="D11:H11">
    <cfRule type="expression" dxfId="73" priority="53">
      <formula>$B9&gt;Programs</formula>
    </cfRule>
  </conditionalFormatting>
  <conditionalFormatting sqref="D12:H12">
    <cfRule type="expression" dxfId="72" priority="52">
      <formula>$B9&gt;Programs</formula>
    </cfRule>
  </conditionalFormatting>
  <conditionalFormatting sqref="D14:H14">
    <cfRule type="expression" dxfId="71" priority="51">
      <formula>$B13&gt;Programs</formula>
    </cfRule>
  </conditionalFormatting>
  <conditionalFormatting sqref="D15:H15">
    <cfRule type="expression" dxfId="70" priority="50">
      <formula>$B13&gt;Programs</formula>
    </cfRule>
  </conditionalFormatting>
  <conditionalFormatting sqref="D16:H16">
    <cfRule type="expression" dxfId="69" priority="49">
      <formula>$B13&gt;Programs</formula>
    </cfRule>
  </conditionalFormatting>
  <conditionalFormatting sqref="D18:H18">
    <cfRule type="expression" dxfId="68" priority="48">
      <formula>$B17&gt;Programs</formula>
    </cfRule>
  </conditionalFormatting>
  <conditionalFormatting sqref="D19:H19">
    <cfRule type="expression" dxfId="67" priority="47">
      <formula>$B17&gt;Programs</formula>
    </cfRule>
  </conditionalFormatting>
  <conditionalFormatting sqref="D20:H20">
    <cfRule type="expression" dxfId="66" priority="46">
      <formula>$B17&gt;Programs</formula>
    </cfRule>
  </conditionalFormatting>
  <conditionalFormatting sqref="D22:H22">
    <cfRule type="expression" dxfId="65" priority="57">
      <formula>$B21&gt;Programs</formula>
    </cfRule>
  </conditionalFormatting>
  <conditionalFormatting sqref="D23:H23">
    <cfRule type="expression" dxfId="64" priority="56">
      <formula>$B21&gt;Programs</formula>
    </cfRule>
  </conditionalFormatting>
  <conditionalFormatting sqref="D24:H24">
    <cfRule type="expression" dxfId="63" priority="55">
      <formula>$B21&gt;Programs</formula>
    </cfRule>
  </conditionalFormatting>
  <conditionalFormatting sqref="D26:H26">
    <cfRule type="expression" dxfId="62" priority="45">
      <formula>$B25&gt;Programs</formula>
    </cfRule>
  </conditionalFormatting>
  <conditionalFormatting sqref="D27:H27">
    <cfRule type="expression" dxfId="61" priority="44">
      <formula>$B25&gt;Programs</formula>
    </cfRule>
  </conditionalFormatting>
  <conditionalFormatting sqref="D28:H28">
    <cfRule type="expression" dxfId="60" priority="43">
      <formula>$B25&gt;Programs</formula>
    </cfRule>
  </conditionalFormatting>
  <conditionalFormatting sqref="D30:H30">
    <cfRule type="expression" dxfId="59" priority="42">
      <formula>$B29&gt;Programs</formula>
    </cfRule>
  </conditionalFormatting>
  <conditionalFormatting sqref="D31:H31">
    <cfRule type="expression" dxfId="58" priority="41">
      <formula>$B29&gt;Programs</formula>
    </cfRule>
  </conditionalFormatting>
  <conditionalFormatting sqref="D32:H32">
    <cfRule type="expression" dxfId="57" priority="40">
      <formula>$B29&gt;Programs</formula>
    </cfRule>
  </conditionalFormatting>
  <conditionalFormatting sqref="D34:H34">
    <cfRule type="expression" dxfId="56" priority="39">
      <formula>$B33&gt;Programs</formula>
    </cfRule>
  </conditionalFormatting>
  <conditionalFormatting sqref="D35:H35">
    <cfRule type="expression" dxfId="55" priority="38">
      <formula>$B33&gt;Programs</formula>
    </cfRule>
  </conditionalFormatting>
  <conditionalFormatting sqref="D36:H36">
    <cfRule type="expression" dxfId="54" priority="37">
      <formula>$B33&gt;Programs</formula>
    </cfRule>
  </conditionalFormatting>
  <conditionalFormatting sqref="D38:H38">
    <cfRule type="expression" dxfId="53" priority="36">
      <formula>$B37&gt;Programs</formula>
    </cfRule>
  </conditionalFormatting>
  <conditionalFormatting sqref="D39:H39">
    <cfRule type="expression" dxfId="52" priority="35">
      <formula>$B37&gt;Programs</formula>
    </cfRule>
  </conditionalFormatting>
  <conditionalFormatting sqref="D40:H40">
    <cfRule type="expression" dxfId="51" priority="34">
      <formula>$B37&gt;Programs</formula>
    </cfRule>
  </conditionalFormatting>
  <conditionalFormatting sqref="D42:H42">
    <cfRule type="expression" dxfId="50" priority="33">
      <formula>$B41&gt;Programs</formula>
    </cfRule>
  </conditionalFormatting>
  <conditionalFormatting sqref="D43:H43">
    <cfRule type="expression" dxfId="49" priority="32">
      <formula>$B41&gt;Programs</formula>
    </cfRule>
  </conditionalFormatting>
  <conditionalFormatting sqref="D44:H44">
    <cfRule type="expression" dxfId="48" priority="31">
      <formula>$B41&gt;Programs</formula>
    </cfRule>
  </conditionalFormatting>
  <conditionalFormatting sqref="D46:H46">
    <cfRule type="expression" dxfId="47" priority="30">
      <formula>$B45&gt;Programs</formula>
    </cfRule>
  </conditionalFormatting>
  <conditionalFormatting sqref="D47:H47">
    <cfRule type="expression" dxfId="46" priority="29">
      <formula>$B45&gt;Programs</formula>
    </cfRule>
  </conditionalFormatting>
  <conditionalFormatting sqref="D48:H48">
    <cfRule type="expression" dxfId="45" priority="28">
      <formula>$B45&gt;Programs</formula>
    </cfRule>
  </conditionalFormatting>
  <conditionalFormatting sqref="D50:H50">
    <cfRule type="expression" dxfId="44" priority="27">
      <formula>$B49&gt;Programs</formula>
    </cfRule>
  </conditionalFormatting>
  <conditionalFormatting sqref="D51:H51">
    <cfRule type="expression" dxfId="43" priority="26">
      <formula>$B49&gt;Programs</formula>
    </cfRule>
  </conditionalFormatting>
  <conditionalFormatting sqref="D52:H52">
    <cfRule type="expression" dxfId="42" priority="25">
      <formula>$B49&gt;Programs</formula>
    </cfRule>
  </conditionalFormatting>
  <conditionalFormatting sqref="D54:H54">
    <cfRule type="expression" dxfId="41" priority="24">
      <formula>$B53&gt;Programs</formula>
    </cfRule>
  </conditionalFormatting>
  <conditionalFormatting sqref="D55:H55">
    <cfRule type="expression" dxfId="40" priority="23">
      <formula>$B53&gt;Programs</formula>
    </cfRule>
  </conditionalFormatting>
  <conditionalFormatting sqref="D56:H56">
    <cfRule type="expression" dxfId="39" priority="22">
      <formula>$B53&gt;Programs</formula>
    </cfRule>
  </conditionalFormatting>
  <conditionalFormatting sqref="D58:H58">
    <cfRule type="expression" dxfId="38" priority="21">
      <formula>$B57&gt;Programs</formula>
    </cfRule>
  </conditionalFormatting>
  <conditionalFormatting sqref="D59:H59">
    <cfRule type="expression" dxfId="37" priority="20">
      <formula>$B57&gt;Programs</formula>
    </cfRule>
  </conditionalFormatting>
  <conditionalFormatting sqref="D60:H60">
    <cfRule type="expression" dxfId="36" priority="19">
      <formula>$B57&gt;Programs</formula>
    </cfRule>
  </conditionalFormatting>
  <conditionalFormatting sqref="D62:H62">
    <cfRule type="expression" dxfId="35" priority="18">
      <formula>$B61&gt;Programs</formula>
    </cfRule>
  </conditionalFormatting>
  <conditionalFormatting sqref="D63:H63">
    <cfRule type="expression" dxfId="34" priority="17">
      <formula>$B61&gt;Programs</formula>
    </cfRule>
  </conditionalFormatting>
  <conditionalFormatting sqref="D64:H64">
    <cfRule type="expression" dxfId="33" priority="16">
      <formula>$B61&gt;Programs</formula>
    </cfRule>
  </conditionalFormatting>
  <conditionalFormatting sqref="D66:H66">
    <cfRule type="expression" dxfId="32" priority="15">
      <formula>$B65&gt;Programs</formula>
    </cfRule>
  </conditionalFormatting>
  <conditionalFormatting sqref="D67:H67">
    <cfRule type="expression" dxfId="31" priority="14">
      <formula>$B65&gt;Programs</formula>
    </cfRule>
  </conditionalFormatting>
  <conditionalFormatting sqref="D68:H68">
    <cfRule type="expression" dxfId="30" priority="13">
      <formula>$B65&gt;Programs</formula>
    </cfRule>
  </conditionalFormatting>
  <conditionalFormatting sqref="D70:H70">
    <cfRule type="expression" dxfId="29" priority="12">
      <formula>$B69&gt;Programs</formula>
    </cfRule>
  </conditionalFormatting>
  <conditionalFormatting sqref="D71:H71">
    <cfRule type="expression" dxfId="28" priority="11">
      <formula>$B69&gt;Programs</formula>
    </cfRule>
  </conditionalFormatting>
  <conditionalFormatting sqref="D72:H72">
    <cfRule type="expression" dxfId="27" priority="10">
      <formula>$B69&gt;Programs</formula>
    </cfRule>
  </conditionalFormatting>
  <conditionalFormatting sqref="D74:H74">
    <cfRule type="expression" dxfId="26" priority="9">
      <formula>$B73&gt;Programs</formula>
    </cfRule>
  </conditionalFormatting>
  <conditionalFormatting sqref="D75:H75">
    <cfRule type="expression" dxfId="25" priority="8">
      <formula>$B73&gt;Programs</formula>
    </cfRule>
  </conditionalFormatting>
  <conditionalFormatting sqref="D76:H76">
    <cfRule type="expression" dxfId="24" priority="7">
      <formula>$B73&gt;Programs</formula>
    </cfRule>
  </conditionalFormatting>
  <conditionalFormatting sqref="D78:H78">
    <cfRule type="expression" dxfId="23" priority="6">
      <formula>$B77&gt;Programs</formula>
    </cfRule>
  </conditionalFormatting>
  <conditionalFormatting sqref="D79:H79">
    <cfRule type="expression" dxfId="22" priority="5">
      <formula>$B77&gt;Programs</formula>
    </cfRule>
  </conditionalFormatting>
  <conditionalFormatting sqref="D80:H80">
    <cfRule type="expression" dxfId="21" priority="4">
      <formula>$B77&gt;Programs</formula>
    </cfRule>
  </conditionalFormatting>
  <conditionalFormatting sqref="D82:H82">
    <cfRule type="expression" dxfId="20" priority="3">
      <formula>$B81&gt;Programs</formula>
    </cfRule>
  </conditionalFormatting>
  <conditionalFormatting sqref="D83:H83">
    <cfRule type="expression" dxfId="19" priority="2">
      <formula>$B81&gt;Programs</formula>
    </cfRule>
  </conditionalFormatting>
  <conditionalFormatting sqref="D84:H84">
    <cfRule type="expression" dxfId="18" priority="1">
      <formula>$B81&gt;Programs</formula>
    </cfRule>
  </conditionalFormatting>
  <pageMargins left="0.25" right="0.25" top="0.25" bottom="0.2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B1:L15"/>
  <sheetViews>
    <sheetView showGridLines="0" showRowColHeaders="0" zoomScale="110" zoomScaleNormal="110" workbookViewId="0">
      <selection activeCell="M20" sqref="M20"/>
    </sheetView>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7" width="12.7265625" style="2" customWidth="1"/>
    <col min="8" max="8" width="49.7265625" style="2" customWidth="1"/>
    <col min="9" max="9" width="3" style="2" customWidth="1"/>
    <col min="10" max="10" width="1" style="2" customWidth="1"/>
    <col min="11" max="11" width="9.1796875" style="2"/>
    <col min="12" max="12" width="0" style="2" hidden="1" customWidth="1"/>
    <col min="13" max="16384" width="9.1796875" style="2"/>
  </cols>
  <sheetData>
    <row r="1" spans="2:12" ht="5.15" customHeight="1" thickBot="1" x14ac:dyDescent="0.35"/>
    <row r="2" spans="2:12" ht="38.25" customHeight="1" thickBot="1" x14ac:dyDescent="0.35">
      <c r="B2" s="629" t="s">
        <v>201</v>
      </c>
      <c r="C2" s="629"/>
      <c r="D2" s="629"/>
      <c r="E2" s="629"/>
      <c r="F2" s="629"/>
      <c r="G2" s="629"/>
      <c r="H2" s="629"/>
      <c r="I2" s="629"/>
    </row>
    <row r="3" spans="2:12" ht="36" customHeight="1" x14ac:dyDescent="0.3">
      <c r="B3" s="459"/>
      <c r="C3" s="351"/>
      <c r="D3" s="351"/>
      <c r="E3" s="351"/>
      <c r="F3" s="351"/>
      <c r="G3" s="351"/>
      <c r="H3" s="351"/>
      <c r="I3" s="460"/>
    </row>
    <row r="4" spans="2:12" ht="11.25" customHeight="1" x14ac:dyDescent="0.3">
      <c r="B4" s="3"/>
      <c r="D4" s="354" t="str">
        <f>IF(L11&gt;0,"Incomplete - Explanation for difference must be provided.","")</f>
        <v/>
      </c>
      <c r="I4" s="4"/>
    </row>
    <row r="5" spans="2:12" x14ac:dyDescent="0.3">
      <c r="B5" s="3"/>
      <c r="D5" s="31" t="s">
        <v>202</v>
      </c>
      <c r="E5" s="33">
        <f>'Actual Expenses'!J91</f>
        <v>3961624.8899999997</v>
      </c>
      <c r="G5" s="29"/>
      <c r="H5" s="29"/>
      <c r="I5" s="4"/>
    </row>
    <row r="6" spans="2:12" x14ac:dyDescent="0.3">
      <c r="B6" s="3"/>
      <c r="D6" s="31" t="s">
        <v>203</v>
      </c>
      <c r="E6" s="472">
        <v>3961625</v>
      </c>
      <c r="F6" s="29"/>
      <c r="G6" s="29"/>
      <c r="H6" s="29"/>
      <c r="I6" s="4"/>
      <c r="L6" s="2">
        <f>IF(E7&lt;&gt;0,1,0)</f>
        <v>1</v>
      </c>
    </row>
    <row r="7" spans="2:12" x14ac:dyDescent="0.3">
      <c r="B7" s="3"/>
      <c r="D7" s="31" t="s">
        <v>155</v>
      </c>
      <c r="E7" s="267">
        <f>E5-E6</f>
        <v>-0.11000000033527613</v>
      </c>
      <c r="F7" s="29"/>
      <c r="G7" s="29"/>
      <c r="H7" s="29"/>
      <c r="I7" s="4"/>
    </row>
    <row r="8" spans="2:12" x14ac:dyDescent="0.3">
      <c r="B8" s="3"/>
      <c r="D8" s="10"/>
      <c r="E8" s="29"/>
      <c r="F8" s="29"/>
      <c r="G8" s="29"/>
      <c r="H8" s="29"/>
      <c r="I8" s="4"/>
    </row>
    <row r="9" spans="2:12" x14ac:dyDescent="0.3">
      <c r="B9" s="3"/>
      <c r="D9" s="10" t="s">
        <v>204</v>
      </c>
      <c r="I9" s="4"/>
    </row>
    <row r="10" spans="2:12" x14ac:dyDescent="0.3">
      <c r="B10" s="3"/>
      <c r="D10" s="633" t="s">
        <v>205</v>
      </c>
      <c r="E10" s="634"/>
      <c r="F10" s="634"/>
      <c r="G10" s="634"/>
      <c r="H10" s="635"/>
      <c r="I10" s="4"/>
    </row>
    <row r="11" spans="2:12" x14ac:dyDescent="0.3">
      <c r="B11" s="3"/>
      <c r="D11" s="636"/>
      <c r="E11" s="637"/>
      <c r="F11" s="637"/>
      <c r="G11" s="637"/>
      <c r="H11" s="638"/>
      <c r="I11" s="4"/>
      <c r="L11" s="2">
        <f>IF(L6=1,IF(ISBLANK(D10),1,0),0)</f>
        <v>0</v>
      </c>
    </row>
    <row r="12" spans="2:12" x14ac:dyDescent="0.3">
      <c r="B12" s="3"/>
      <c r="D12" s="636"/>
      <c r="E12" s="637"/>
      <c r="F12" s="637"/>
      <c r="G12" s="637"/>
      <c r="H12" s="638"/>
      <c r="I12" s="4"/>
    </row>
    <row r="13" spans="2:12" x14ac:dyDescent="0.3">
      <c r="B13" s="3"/>
      <c r="D13" s="636"/>
      <c r="E13" s="637"/>
      <c r="F13" s="637"/>
      <c r="G13" s="637"/>
      <c r="H13" s="638"/>
      <c r="I13" s="4"/>
    </row>
    <row r="14" spans="2:12" x14ac:dyDescent="0.3">
      <c r="B14" s="3"/>
      <c r="D14" s="639"/>
      <c r="E14" s="640"/>
      <c r="F14" s="640"/>
      <c r="G14" s="640"/>
      <c r="H14" s="641"/>
      <c r="I14" s="4"/>
    </row>
    <row r="15" spans="2:12" x14ac:dyDescent="0.3">
      <c r="B15" s="5"/>
      <c r="C15" s="6"/>
      <c r="D15" s="6"/>
      <c r="E15" s="6"/>
      <c r="F15" s="6"/>
      <c r="G15" s="6"/>
      <c r="H15" s="6"/>
      <c r="I15" s="7"/>
    </row>
  </sheetData>
  <sheetProtection password="C925" sheet="1" objects="1" scenarios="1" formatRows="0"/>
  <mergeCells count="2">
    <mergeCell ref="D10:H14"/>
    <mergeCell ref="B2:I2"/>
  </mergeCells>
  <pageMargins left="0.25" right="0.25" top="0.5" bottom="0.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B1:N114"/>
  <sheetViews>
    <sheetView showGridLines="0" showRowColHeaders="0" zoomScale="110" zoomScaleNormal="110" workbookViewId="0">
      <pane ySplit="5" topLeftCell="A6" activePane="bottomLeft" state="frozen"/>
      <selection activeCell="A7" sqref="A7"/>
      <selection pane="bottomLeft" activeCell="E7" sqref="E7"/>
    </sheetView>
  </sheetViews>
  <sheetFormatPr defaultColWidth="9.1796875" defaultRowHeight="13" x14ac:dyDescent="0.3"/>
  <cols>
    <col min="1" max="1" width="1" style="2" customWidth="1"/>
    <col min="2" max="2" width="3.7265625" style="2" customWidth="1"/>
    <col min="3" max="3" width="36.1796875" style="2" customWidth="1"/>
    <col min="4" max="5" width="14.1796875" style="2" customWidth="1"/>
    <col min="6" max="6" width="9.1796875" style="2" customWidth="1"/>
    <col min="7" max="7" width="14.1796875" style="2" customWidth="1"/>
    <col min="8" max="10" width="9.1796875" style="2"/>
    <col min="11" max="11" width="14.26953125"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ht="64.5" customHeight="1" x14ac:dyDescent="0.3">
      <c r="B2" s="456"/>
      <c r="C2" s="457"/>
      <c r="D2" s="457"/>
      <c r="E2" s="457"/>
      <c r="F2" s="457"/>
      <c r="G2" s="457"/>
      <c r="H2" s="457"/>
      <c r="I2" s="457"/>
      <c r="J2" s="457"/>
      <c r="K2" s="458"/>
    </row>
    <row r="3" spans="2:14" ht="13.5" customHeight="1" x14ac:dyDescent="0.3">
      <c r="B3" s="459"/>
      <c r="C3" s="354" t="str">
        <f>IF(N26&gt;0,"Incomplete - All yellow shaded cells must be completed.","")</f>
        <v/>
      </c>
      <c r="D3" s="351"/>
      <c r="E3" s="351"/>
      <c r="F3" s="351"/>
      <c r="G3" s="351"/>
      <c r="H3" s="351"/>
      <c r="I3" s="351"/>
      <c r="J3" s="351"/>
      <c r="K3" s="460"/>
    </row>
    <row r="4" spans="2:14" ht="26" x14ac:dyDescent="0.3">
      <c r="B4" s="3"/>
      <c r="D4" s="278" t="s">
        <v>161</v>
      </c>
      <c r="E4" s="278" t="s">
        <v>162</v>
      </c>
      <c r="K4" s="4"/>
    </row>
    <row r="5" spans="2:14" ht="15" customHeight="1" x14ac:dyDescent="0.35">
      <c r="B5" s="3"/>
      <c r="C5" s="9" t="s">
        <v>85</v>
      </c>
      <c r="D5" s="278" t="str">
        <f>"("&amp;Demand_1&amp;")"</f>
        <v>(Therms)</v>
      </c>
      <c r="E5" s="278" t="str">
        <f>"("&amp;Energy_1&amp;")"</f>
        <v>(Therms)</v>
      </c>
      <c r="G5" s="278" t="s">
        <v>163</v>
      </c>
      <c r="H5" s="10" t="s">
        <v>164</v>
      </c>
      <c r="K5" s="4"/>
    </row>
    <row r="6" spans="2:14" ht="15" customHeight="1" x14ac:dyDescent="0.3">
      <c r="B6" s="276">
        <v>1</v>
      </c>
      <c r="C6" s="277" t="str">
        <f>'Program Descriptions'!C5</f>
        <v>Commercial &amp; Industrial Solutions Program</v>
      </c>
      <c r="D6" s="288"/>
      <c r="E6" s="288">
        <v>647132</v>
      </c>
      <c r="G6" s="474">
        <v>232</v>
      </c>
      <c r="H6" s="642" t="str">
        <f>IF(ISBLANK('Savings &amp; Participants'!H6),"",'Savings &amp; Participants'!H6)</f>
        <v>Equipment</v>
      </c>
      <c r="I6" s="642"/>
      <c r="K6" s="4"/>
      <c r="N6" s="336">
        <f t="shared" ref="N6:N25" si="0">IF(C6="Empty",0,IF(OR(ISBLANK(IF(Demand_1=NG_Demand,E6,D6)),ISBLANK(E6),ISBLANK(G6),ISBLANK(H6)),1,0))</f>
        <v>0</v>
      </c>
    </row>
    <row r="7" spans="2:14" ht="15" customHeight="1" x14ac:dyDescent="0.3">
      <c r="B7" s="276">
        <v>2</v>
      </c>
      <c r="C7" s="277" t="str">
        <f>'Program Descriptions'!C6</f>
        <v>Energy Efficiency Arkansas</v>
      </c>
      <c r="D7" s="288"/>
      <c r="E7" s="288">
        <v>0</v>
      </c>
      <c r="G7" s="474">
        <v>0</v>
      </c>
      <c r="H7" s="642" t="str">
        <f>IF(ISBLANK('Savings &amp; Participants'!H7),"",'Savings &amp; Participants'!H7)</f>
        <v>Customer</v>
      </c>
      <c r="I7" s="642"/>
      <c r="K7" s="4"/>
      <c r="N7" s="336">
        <f t="shared" si="0"/>
        <v>0</v>
      </c>
    </row>
    <row r="8" spans="2:14" ht="15" customHeight="1" x14ac:dyDescent="0.3">
      <c r="B8" s="276">
        <v>3</v>
      </c>
      <c r="C8" s="277" t="str">
        <f>'Program Descriptions'!C7</f>
        <v>Residential Solution Program</v>
      </c>
      <c r="D8" s="288"/>
      <c r="E8" s="288">
        <v>651784</v>
      </c>
      <c r="G8" s="474">
        <v>2225</v>
      </c>
      <c r="H8" s="642" t="str">
        <f>IF(ISBLANK('Savings &amp; Participants'!H8),"",'Savings &amp; Participants'!H8)</f>
        <v>Measure</v>
      </c>
      <c r="I8" s="642"/>
      <c r="K8" s="4"/>
      <c r="N8" s="336">
        <f t="shared" si="0"/>
        <v>0</v>
      </c>
    </row>
    <row r="9" spans="2:14" ht="15" customHeight="1" thickBot="1" x14ac:dyDescent="0.35">
      <c r="B9" s="276">
        <v>4</v>
      </c>
      <c r="C9" s="277" t="str">
        <f>'Program Descriptions'!C8</f>
        <v>Income Qualified Program</v>
      </c>
      <c r="D9" s="288"/>
      <c r="E9" s="288">
        <v>51497</v>
      </c>
      <c r="G9" s="474">
        <v>68</v>
      </c>
      <c r="H9" s="642" t="str">
        <f>IF(ISBLANK('Savings &amp; Participants'!H9),"",'Savings &amp; Participants'!H9)</f>
        <v>Measure</v>
      </c>
      <c r="I9" s="642"/>
      <c r="K9" s="4"/>
      <c r="N9" s="336">
        <f t="shared" si="0"/>
        <v>0</v>
      </c>
    </row>
    <row r="10" spans="2:14" ht="15" hidden="1" customHeight="1" x14ac:dyDescent="0.3">
      <c r="B10" s="276">
        <v>5</v>
      </c>
      <c r="C10" s="277" t="str">
        <f>'Program Descriptions'!C9</f>
        <v>Empty</v>
      </c>
      <c r="D10" s="288"/>
      <c r="E10" s="288"/>
      <c r="G10" s="288"/>
      <c r="H10" s="642" t="str">
        <f>IF(ISBLANK('Savings &amp; Participants'!H10),"",'Savings &amp; Participants'!H10)</f>
        <v/>
      </c>
      <c r="I10" s="642"/>
      <c r="K10" s="4"/>
      <c r="N10" s="336">
        <f t="shared" si="0"/>
        <v>0</v>
      </c>
    </row>
    <row r="11" spans="2:14" ht="15" hidden="1" customHeight="1" x14ac:dyDescent="0.3">
      <c r="B11" s="276">
        <v>6</v>
      </c>
      <c r="C11" s="277" t="str">
        <f>'Program Descriptions'!C10</f>
        <v>Empty</v>
      </c>
      <c r="D11" s="288"/>
      <c r="E11" s="288"/>
      <c r="G11" s="288"/>
      <c r="H11" s="642" t="str">
        <f>IF(ISBLANK('Savings &amp; Participants'!H11),"",'Savings &amp; Participants'!H11)</f>
        <v/>
      </c>
      <c r="I11" s="642"/>
      <c r="K11" s="4"/>
      <c r="N11" s="336">
        <f t="shared" si="0"/>
        <v>0</v>
      </c>
    </row>
    <row r="12" spans="2:14" ht="15" hidden="1" customHeight="1" x14ac:dyDescent="0.3">
      <c r="B12" s="276">
        <v>7</v>
      </c>
      <c r="C12" s="277" t="str">
        <f>'Program Descriptions'!C11</f>
        <v>Empty</v>
      </c>
      <c r="D12" s="288"/>
      <c r="E12" s="288"/>
      <c r="G12" s="288"/>
      <c r="H12" s="642" t="str">
        <f>IF(ISBLANK('Savings &amp; Participants'!H12),"",'Savings &amp; Participants'!H12)</f>
        <v/>
      </c>
      <c r="I12" s="642"/>
      <c r="K12" s="4"/>
      <c r="N12" s="336">
        <f t="shared" si="0"/>
        <v>0</v>
      </c>
    </row>
    <row r="13" spans="2:14" ht="15" hidden="1" customHeight="1" x14ac:dyDescent="0.3">
      <c r="B13" s="276">
        <v>8</v>
      </c>
      <c r="C13" s="277" t="str">
        <f>'Program Descriptions'!C12</f>
        <v>Empty</v>
      </c>
      <c r="D13" s="288"/>
      <c r="E13" s="288"/>
      <c r="G13" s="288"/>
      <c r="H13" s="642" t="str">
        <f>IF(ISBLANK('Savings &amp; Participants'!H13),"",'Savings &amp; Participants'!H13)</f>
        <v/>
      </c>
      <c r="I13" s="642"/>
      <c r="K13" s="4"/>
      <c r="N13" s="336">
        <f t="shared" si="0"/>
        <v>0</v>
      </c>
    </row>
    <row r="14" spans="2:14" ht="15" hidden="1" customHeight="1" x14ac:dyDescent="0.3">
      <c r="B14" s="276">
        <v>9</v>
      </c>
      <c r="C14" s="277" t="str">
        <f>'Program Descriptions'!C13</f>
        <v>Empty</v>
      </c>
      <c r="D14" s="288"/>
      <c r="E14" s="288"/>
      <c r="G14" s="288"/>
      <c r="H14" s="642" t="str">
        <f>IF(ISBLANK('Savings &amp; Participants'!H14),"",'Savings &amp; Participants'!H14)</f>
        <v/>
      </c>
      <c r="I14" s="642"/>
      <c r="K14" s="4"/>
      <c r="N14" s="336">
        <f t="shared" si="0"/>
        <v>0</v>
      </c>
    </row>
    <row r="15" spans="2:14" ht="15" hidden="1" customHeight="1" x14ac:dyDescent="0.3">
      <c r="B15" s="276">
        <v>10</v>
      </c>
      <c r="C15" s="277" t="str">
        <f>'Program Descriptions'!C14</f>
        <v>Empty</v>
      </c>
      <c r="D15" s="288"/>
      <c r="E15" s="288"/>
      <c r="G15" s="288"/>
      <c r="H15" s="642" t="str">
        <f>IF(ISBLANK('Savings &amp; Participants'!H15),"",'Savings &amp; Participants'!H15)</f>
        <v/>
      </c>
      <c r="I15" s="642"/>
      <c r="K15" s="4"/>
      <c r="N15" s="336">
        <f t="shared" si="0"/>
        <v>0</v>
      </c>
    </row>
    <row r="16" spans="2:14" ht="15" hidden="1" customHeight="1" x14ac:dyDescent="0.3">
      <c r="B16" s="276">
        <v>11</v>
      </c>
      <c r="C16" s="277" t="str">
        <f>'Program Descriptions'!C15</f>
        <v>Empty</v>
      </c>
      <c r="D16" s="288"/>
      <c r="E16" s="288"/>
      <c r="G16" s="288"/>
      <c r="H16" s="642" t="str">
        <f>IF(ISBLANK('Savings &amp; Participants'!H16),"",'Savings &amp; Participants'!H16)</f>
        <v/>
      </c>
      <c r="I16" s="642"/>
      <c r="K16" s="4"/>
      <c r="N16" s="336">
        <f t="shared" si="0"/>
        <v>0</v>
      </c>
    </row>
    <row r="17" spans="2:14" ht="15" hidden="1" customHeight="1" x14ac:dyDescent="0.3">
      <c r="B17" s="276">
        <v>12</v>
      </c>
      <c r="C17" s="277" t="str">
        <f>'Program Descriptions'!C16</f>
        <v>Empty</v>
      </c>
      <c r="D17" s="288"/>
      <c r="E17" s="288"/>
      <c r="G17" s="288"/>
      <c r="H17" s="642" t="str">
        <f>IF(ISBLANK('Savings &amp; Participants'!H17),"",'Savings &amp; Participants'!H17)</f>
        <v/>
      </c>
      <c r="I17" s="642"/>
      <c r="K17" s="4"/>
      <c r="N17" s="336">
        <f t="shared" si="0"/>
        <v>0</v>
      </c>
    </row>
    <row r="18" spans="2:14" ht="15" hidden="1" customHeight="1" x14ac:dyDescent="0.3">
      <c r="B18" s="276">
        <v>13</v>
      </c>
      <c r="C18" s="277" t="str">
        <f>'Program Descriptions'!C17</f>
        <v>Empty</v>
      </c>
      <c r="D18" s="288"/>
      <c r="E18" s="288"/>
      <c r="G18" s="288"/>
      <c r="H18" s="642" t="str">
        <f>IF(ISBLANK('Savings &amp; Participants'!H18),"",'Savings &amp; Participants'!H18)</f>
        <v/>
      </c>
      <c r="I18" s="642"/>
      <c r="K18" s="4"/>
      <c r="N18" s="336">
        <f t="shared" si="0"/>
        <v>0</v>
      </c>
    </row>
    <row r="19" spans="2:14" ht="15" hidden="1" customHeight="1" x14ac:dyDescent="0.3">
      <c r="B19" s="276">
        <v>14</v>
      </c>
      <c r="C19" s="277" t="str">
        <f>'Program Descriptions'!C18</f>
        <v>Empty</v>
      </c>
      <c r="D19" s="288"/>
      <c r="E19" s="288"/>
      <c r="G19" s="288"/>
      <c r="H19" s="642" t="str">
        <f>IF(ISBLANK('Savings &amp; Participants'!H19),"",'Savings &amp; Participants'!H19)</f>
        <v/>
      </c>
      <c r="I19" s="642"/>
      <c r="K19" s="4"/>
      <c r="N19" s="336">
        <f t="shared" si="0"/>
        <v>0</v>
      </c>
    </row>
    <row r="20" spans="2:14" ht="15" hidden="1" customHeight="1" x14ac:dyDescent="0.3">
      <c r="B20" s="276">
        <v>15</v>
      </c>
      <c r="C20" s="277" t="str">
        <f>'Program Descriptions'!C19</f>
        <v>Empty</v>
      </c>
      <c r="D20" s="288"/>
      <c r="E20" s="288"/>
      <c r="G20" s="288"/>
      <c r="H20" s="642" t="str">
        <f>IF(ISBLANK('Savings &amp; Participants'!H20),"",'Savings &amp; Participants'!H20)</f>
        <v/>
      </c>
      <c r="I20" s="642"/>
      <c r="K20" s="4"/>
      <c r="N20" s="336">
        <f t="shared" si="0"/>
        <v>0</v>
      </c>
    </row>
    <row r="21" spans="2:14" ht="15" hidden="1" customHeight="1" x14ac:dyDescent="0.3">
      <c r="B21" s="276">
        <v>16</v>
      </c>
      <c r="C21" s="277" t="str">
        <f>'Program Descriptions'!C20</f>
        <v>Empty</v>
      </c>
      <c r="D21" s="288"/>
      <c r="E21" s="288"/>
      <c r="G21" s="288"/>
      <c r="H21" s="642" t="str">
        <f>IF(ISBLANK('Savings &amp; Participants'!H21),"",'Savings &amp; Participants'!H21)</f>
        <v/>
      </c>
      <c r="I21" s="642"/>
      <c r="K21" s="4"/>
      <c r="N21" s="336">
        <f t="shared" si="0"/>
        <v>0</v>
      </c>
    </row>
    <row r="22" spans="2:14" ht="15" hidden="1" customHeight="1" x14ac:dyDescent="0.3">
      <c r="B22" s="276">
        <v>17</v>
      </c>
      <c r="C22" s="277" t="str">
        <f>'Program Descriptions'!C21</f>
        <v>Empty</v>
      </c>
      <c r="D22" s="288"/>
      <c r="E22" s="288"/>
      <c r="G22" s="288"/>
      <c r="H22" s="642" t="str">
        <f>IF(ISBLANK('Savings &amp; Participants'!H22),"",'Savings &amp; Participants'!H22)</f>
        <v/>
      </c>
      <c r="I22" s="642"/>
      <c r="K22" s="4"/>
      <c r="N22" s="336">
        <f t="shared" si="0"/>
        <v>0</v>
      </c>
    </row>
    <row r="23" spans="2:14" ht="15" hidden="1" customHeight="1" x14ac:dyDescent="0.3">
      <c r="B23" s="276">
        <v>18</v>
      </c>
      <c r="C23" s="277" t="str">
        <f>'Program Descriptions'!C22</f>
        <v>Empty</v>
      </c>
      <c r="D23" s="288"/>
      <c r="E23" s="288"/>
      <c r="G23" s="288"/>
      <c r="H23" s="642" t="str">
        <f>IF(ISBLANK('Savings &amp; Participants'!H23),"",'Savings &amp; Participants'!H23)</f>
        <v/>
      </c>
      <c r="I23" s="642"/>
      <c r="K23" s="4"/>
      <c r="N23" s="336">
        <f t="shared" si="0"/>
        <v>0</v>
      </c>
    </row>
    <row r="24" spans="2:14" ht="15" hidden="1" customHeight="1" x14ac:dyDescent="0.3">
      <c r="B24" s="276">
        <v>19</v>
      </c>
      <c r="C24" s="277" t="str">
        <f>'Program Descriptions'!C23</f>
        <v>Empty</v>
      </c>
      <c r="D24" s="288"/>
      <c r="E24" s="288"/>
      <c r="G24" s="288"/>
      <c r="H24" s="642" t="str">
        <f>IF(ISBLANK('Savings &amp; Participants'!H24),"",'Savings &amp; Participants'!H24)</f>
        <v/>
      </c>
      <c r="I24" s="642"/>
      <c r="K24" s="4"/>
      <c r="N24" s="336">
        <f t="shared" si="0"/>
        <v>0</v>
      </c>
    </row>
    <row r="25" spans="2:14" ht="15" hidden="1" customHeight="1" thickBot="1" x14ac:dyDescent="0.35">
      <c r="B25" s="276">
        <v>20</v>
      </c>
      <c r="C25" s="277" t="str">
        <f>'Program Descriptions'!C24</f>
        <v>Empty</v>
      </c>
      <c r="D25" s="288"/>
      <c r="E25" s="288"/>
      <c r="G25" s="288"/>
      <c r="H25" s="642" t="str">
        <f>IF(ISBLANK('Savings &amp; Participants'!H25),"",'Savings &amp; Participants'!H25)</f>
        <v/>
      </c>
      <c r="I25" s="642"/>
      <c r="K25" s="4"/>
      <c r="N25" s="336">
        <f t="shared" si="0"/>
        <v>0</v>
      </c>
    </row>
    <row r="26" spans="2:14" ht="15" customHeight="1" x14ac:dyDescent="0.3">
      <c r="B26" s="3"/>
      <c r="C26" s="281" t="s">
        <v>150</v>
      </c>
      <c r="D26" s="16">
        <f>SUM(D6:D25)</f>
        <v>0</v>
      </c>
      <c r="E26" s="16">
        <f>SUM(E6:E25)</f>
        <v>1350413</v>
      </c>
      <c r="G26" s="16">
        <f>SUM(G6:G25)</f>
        <v>2525</v>
      </c>
      <c r="K26" s="4"/>
      <c r="N26" s="2">
        <f>SUM(N6:N25)</f>
        <v>0</v>
      </c>
    </row>
    <row r="27" spans="2:14" ht="15" customHeight="1" x14ac:dyDescent="0.3">
      <c r="B27" s="5"/>
      <c r="C27" s="6"/>
      <c r="D27" s="6"/>
      <c r="E27" s="6"/>
      <c r="F27" s="6"/>
      <c r="G27" s="6"/>
      <c r="H27" s="6"/>
      <c r="I27" s="6"/>
      <c r="J27" s="6"/>
      <c r="K27" s="7"/>
    </row>
    <row r="28" spans="2:14" ht="15" customHeight="1" x14ac:dyDescent="0.3">
      <c r="C28" s="2" t="s">
        <v>206</v>
      </c>
    </row>
    <row r="29" spans="2:14" ht="15" customHeight="1" x14ac:dyDescent="0.3"/>
    <row r="30" spans="2:14" ht="15" customHeight="1" x14ac:dyDescent="0.3"/>
    <row r="31" spans="2:14" ht="15" customHeight="1" x14ac:dyDescent="0.3"/>
    <row r="32" spans="2:14"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sheetData>
  <sheetProtection algorithmName="SHA-512" hashValue="sYhPSAvtUyZUA5v2oDKBISbnmBdXfcnf4C8KDIDbiWtfjIzQLclKOw4ePWIY7pOcDg1SBCO/SFBAof6mulL8NA==" saltValue="Xd50ldvnoUpDPqGj9KcURA==" spinCount="100000" sheet="1" objects="1" scenarios="1" formatColumns="0"/>
  <mergeCells count="20">
    <mergeCell ref="H17:I17"/>
    <mergeCell ref="H6:I6"/>
    <mergeCell ref="H7:I7"/>
    <mergeCell ref="H8:I8"/>
    <mergeCell ref="H9:I9"/>
    <mergeCell ref="H10:I10"/>
    <mergeCell ref="H11:I11"/>
    <mergeCell ref="H12:I12"/>
    <mergeCell ref="H13:I13"/>
    <mergeCell ref="H14:I14"/>
    <mergeCell ref="H15:I15"/>
    <mergeCell ref="H16:I16"/>
    <mergeCell ref="H24:I24"/>
    <mergeCell ref="H25:I25"/>
    <mergeCell ref="H18:I18"/>
    <mergeCell ref="H19:I19"/>
    <mergeCell ref="H20:I20"/>
    <mergeCell ref="H21:I21"/>
    <mergeCell ref="H22:I22"/>
    <mergeCell ref="H23:I23"/>
  </mergeCells>
  <conditionalFormatting sqref="D6:D25">
    <cfRule type="expression" dxfId="17" priority="72">
      <formula>Demand_1=NG_Demand</formula>
    </cfRule>
  </conditionalFormatting>
  <conditionalFormatting sqref="D6:E25">
    <cfRule type="expression" dxfId="16" priority="2">
      <formula>$B6&gt;Programs</formula>
    </cfRule>
  </conditionalFormatting>
  <conditionalFormatting sqref="G6:H25">
    <cfRule type="expression" dxfId="15" priority="1">
      <formula>$B6&gt;Programs</formula>
    </cfRule>
  </conditionalFormatting>
  <pageMargins left="0.25" right="0.25" top="0.25" bottom="0.2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B1:N29"/>
  <sheetViews>
    <sheetView showGridLines="0" workbookViewId="0">
      <selection activeCell="F26" sqref="F26"/>
    </sheetView>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8" width="17.26953125" style="2" customWidth="1"/>
    <col min="9" max="9" width="7.7265625" style="2" customWidth="1"/>
    <col min="10" max="10" width="7.26953125" style="2" customWidth="1"/>
    <col min="11" max="11" width="6.81640625" style="2" customWidth="1"/>
    <col min="12" max="12" width="1" style="2" customWidth="1"/>
    <col min="13" max="13" width="9.1796875" style="2"/>
    <col min="14" max="14" width="0.54296875" style="2" customWidth="1"/>
    <col min="15" max="16384" width="9.1796875" style="2"/>
  </cols>
  <sheetData>
    <row r="1" spans="2:14" ht="5.15" customHeight="1" thickBot="1" x14ac:dyDescent="0.35"/>
    <row r="2" spans="2:14" ht="38.25" customHeight="1" thickBot="1" x14ac:dyDescent="0.35">
      <c r="B2" s="629" t="s">
        <v>207</v>
      </c>
      <c r="C2" s="629"/>
      <c r="D2" s="629"/>
      <c r="E2" s="629"/>
      <c r="F2" s="629"/>
      <c r="G2" s="629"/>
      <c r="H2" s="629"/>
      <c r="I2" s="629"/>
      <c r="J2" s="629"/>
      <c r="K2" s="629"/>
    </row>
    <row r="3" spans="2:14" x14ac:dyDescent="0.3">
      <c r="B3" s="459"/>
      <c r="C3" s="351"/>
      <c r="D3" s="354" t="str">
        <f>IF(N26&gt;0,"Incomplete - All 'yellow' shaded cells must be completed.","")</f>
        <v/>
      </c>
      <c r="E3" s="351"/>
      <c r="F3" s="351"/>
      <c r="G3" s="351"/>
      <c r="H3" s="351"/>
      <c r="I3" s="351"/>
      <c r="J3" s="351"/>
      <c r="K3" s="460"/>
    </row>
    <row r="4" spans="2:14" x14ac:dyDescent="0.3">
      <c r="B4" s="3"/>
      <c r="E4" s="29" t="s">
        <v>208</v>
      </c>
      <c r="F4" s="29" t="s">
        <v>209</v>
      </c>
      <c r="G4" s="29" t="s">
        <v>210</v>
      </c>
      <c r="H4" s="29" t="s">
        <v>211</v>
      </c>
      <c r="K4" s="4"/>
    </row>
    <row r="5" spans="2:14" x14ac:dyDescent="0.3">
      <c r="B5" s="3"/>
      <c r="D5" s="10" t="s">
        <v>85</v>
      </c>
      <c r="E5" s="29" t="str">
        <f>"("&amp;Energy_1&amp;")"</f>
        <v>(Therms)</v>
      </c>
      <c r="F5" s="29" t="str">
        <f>E5</f>
        <v>(Therms)</v>
      </c>
      <c r="G5" s="29" t="str">
        <f>E5</f>
        <v>(Therms)</v>
      </c>
      <c r="H5" s="29" t="str">
        <f>E5</f>
        <v>(Therms)</v>
      </c>
      <c r="I5" s="29"/>
      <c r="J5" s="29"/>
      <c r="K5" s="4"/>
    </row>
    <row r="6" spans="2:14" x14ac:dyDescent="0.3">
      <c r="B6" s="276"/>
      <c r="C6" s="284">
        <v>1</v>
      </c>
      <c r="D6" s="277" t="str">
        <f>'Program Descriptions'!C5</f>
        <v>Commercial &amp; Industrial Solutions Program</v>
      </c>
      <c r="E6" s="575">
        <v>172434.55715097347</v>
      </c>
      <c r="F6" s="575">
        <v>620010</v>
      </c>
      <c r="G6" s="575">
        <v>0</v>
      </c>
      <c r="H6" s="18">
        <f>E6+F6+G6</f>
        <v>792444.55715097347</v>
      </c>
      <c r="I6" s="66"/>
      <c r="J6" s="66"/>
      <c r="K6" s="65"/>
      <c r="N6" s="336">
        <f>IF(C6="Empty",0,IF('Evaluated Savings'!E6-'Savings Methodology'!H6&lt;&gt;0,1,0))</f>
        <v>1</v>
      </c>
    </row>
    <row r="7" spans="2:14" x14ac:dyDescent="0.3">
      <c r="B7" s="276"/>
      <c r="C7" s="284">
        <v>2</v>
      </c>
      <c r="D7" s="277" t="str">
        <f>'Program Descriptions'!C6</f>
        <v>Energy Efficiency Arkansas</v>
      </c>
      <c r="E7" s="575">
        <v>0</v>
      </c>
      <c r="F7" s="575">
        <v>0</v>
      </c>
      <c r="G7" s="575">
        <v>0</v>
      </c>
      <c r="H7" s="18">
        <f>E7+F7+G7</f>
        <v>0</v>
      </c>
      <c r="I7" s="66"/>
      <c r="J7" s="66"/>
      <c r="K7" s="65"/>
      <c r="N7" s="336">
        <f>IF(C7="Empty",0,IF('Evaluated Savings'!E7-'Savings Methodology'!H7&lt;&gt;0,1,0))</f>
        <v>0</v>
      </c>
    </row>
    <row r="8" spans="2:14" x14ac:dyDescent="0.3">
      <c r="B8" s="276"/>
      <c r="C8" s="284">
        <v>3</v>
      </c>
      <c r="D8" s="277" t="str">
        <f>'Program Descriptions'!C7</f>
        <v>Residential Solution Program</v>
      </c>
      <c r="E8" s="575">
        <v>651784</v>
      </c>
      <c r="F8" s="575">
        <v>0</v>
      </c>
      <c r="G8" s="575">
        <v>0</v>
      </c>
      <c r="H8" s="18">
        <f t="shared" ref="H8:H25" si="0">E8+F8+G8</f>
        <v>651784</v>
      </c>
      <c r="I8" s="66"/>
      <c r="J8" s="66"/>
      <c r="K8" s="65"/>
      <c r="N8" s="336">
        <f>IF(C8="Empty",0,IF('Evaluated Savings'!E8-'Savings Methodology'!H8&lt;&gt;0,1,0))</f>
        <v>0</v>
      </c>
    </row>
    <row r="9" spans="2:14" ht="13.5" thickBot="1" x14ac:dyDescent="0.35">
      <c r="B9" s="276"/>
      <c r="C9" s="284">
        <v>4</v>
      </c>
      <c r="D9" s="277" t="str">
        <f>'Program Descriptions'!C8</f>
        <v>Income Qualified Program</v>
      </c>
      <c r="E9" s="575">
        <v>51497</v>
      </c>
      <c r="F9" s="575">
        <v>0</v>
      </c>
      <c r="G9" s="575">
        <v>0</v>
      </c>
      <c r="H9" s="18">
        <f t="shared" si="0"/>
        <v>51497</v>
      </c>
      <c r="I9" s="66"/>
      <c r="J9" s="66"/>
      <c r="K9" s="65"/>
      <c r="N9" s="336">
        <f>IF(C9="Empty",0,IF('Evaluated Savings'!E9-'Savings Methodology'!H9&lt;&gt;0,1,0))</f>
        <v>0</v>
      </c>
    </row>
    <row r="10" spans="2:14" ht="13.5" hidden="1" thickBot="1" x14ac:dyDescent="0.35">
      <c r="B10" s="276"/>
      <c r="C10" s="284">
        <v>5</v>
      </c>
      <c r="D10" s="277" t="str">
        <f>'Program Descriptions'!C9</f>
        <v>Empty</v>
      </c>
      <c r="E10" s="288"/>
      <c r="F10" s="288"/>
      <c r="G10" s="288"/>
      <c r="H10" s="18">
        <f t="shared" si="0"/>
        <v>0</v>
      </c>
      <c r="I10" s="66"/>
      <c r="J10" s="66"/>
      <c r="K10" s="65"/>
      <c r="N10" s="336">
        <f>IF(C10="Empty",0,IF('Evaluated Savings'!E10-'Savings Methodology'!H10&lt;&gt;0,1,0))</f>
        <v>0</v>
      </c>
    </row>
    <row r="11" spans="2:14" hidden="1" x14ac:dyDescent="0.3">
      <c r="B11" s="276"/>
      <c r="C11" s="284">
        <v>6</v>
      </c>
      <c r="D11" s="277" t="str">
        <f>'Program Descriptions'!C10</f>
        <v>Empty</v>
      </c>
      <c r="E11" s="288"/>
      <c r="F11" s="288"/>
      <c r="G11" s="288"/>
      <c r="H11" s="18">
        <f t="shared" si="0"/>
        <v>0</v>
      </c>
      <c r="I11" s="66"/>
      <c r="J11" s="66"/>
      <c r="K11" s="65"/>
      <c r="N11" s="336">
        <f>IF(C11="Empty",0,IF('Evaluated Savings'!E11-'Savings Methodology'!H11&lt;&gt;0,1,0))</f>
        <v>0</v>
      </c>
    </row>
    <row r="12" spans="2:14" hidden="1" x14ac:dyDescent="0.3">
      <c r="B12" s="276"/>
      <c r="C12" s="284">
        <v>7</v>
      </c>
      <c r="D12" s="277" t="str">
        <f>'Program Descriptions'!C11</f>
        <v>Empty</v>
      </c>
      <c r="E12" s="288"/>
      <c r="F12" s="288"/>
      <c r="G12" s="288"/>
      <c r="H12" s="18">
        <f t="shared" si="0"/>
        <v>0</v>
      </c>
      <c r="I12" s="66"/>
      <c r="J12" s="66"/>
      <c r="K12" s="65"/>
      <c r="N12" s="336">
        <f>IF(C12="Empty",0,IF('Evaluated Savings'!E12-'Savings Methodology'!H12&lt;&gt;0,1,0))</f>
        <v>0</v>
      </c>
    </row>
    <row r="13" spans="2:14" hidden="1" x14ac:dyDescent="0.3">
      <c r="B13" s="276"/>
      <c r="C13" s="284">
        <v>8</v>
      </c>
      <c r="D13" s="277" t="str">
        <f>'Program Descriptions'!C12</f>
        <v>Empty</v>
      </c>
      <c r="E13" s="288"/>
      <c r="F13" s="288"/>
      <c r="G13" s="288"/>
      <c r="H13" s="18">
        <f t="shared" si="0"/>
        <v>0</v>
      </c>
      <c r="I13" s="66"/>
      <c r="J13" s="66"/>
      <c r="K13" s="65"/>
      <c r="N13" s="336">
        <f>IF(C13="Empty",0,IF('Evaluated Savings'!E13-'Savings Methodology'!H13&lt;&gt;0,1,0))</f>
        <v>0</v>
      </c>
    </row>
    <row r="14" spans="2:14" hidden="1" x14ac:dyDescent="0.3">
      <c r="B14" s="276"/>
      <c r="C14" s="284">
        <v>9</v>
      </c>
      <c r="D14" s="277" t="str">
        <f>'Program Descriptions'!C13</f>
        <v>Empty</v>
      </c>
      <c r="E14" s="288"/>
      <c r="F14" s="288"/>
      <c r="G14" s="288"/>
      <c r="H14" s="18">
        <f t="shared" si="0"/>
        <v>0</v>
      </c>
      <c r="I14" s="66"/>
      <c r="J14" s="66"/>
      <c r="K14" s="65"/>
      <c r="N14" s="336">
        <f>IF(C14="Empty",0,IF('Evaluated Savings'!E14-'Savings Methodology'!H14&lt;&gt;0,1,0))</f>
        <v>0</v>
      </c>
    </row>
    <row r="15" spans="2:14" hidden="1" x14ac:dyDescent="0.3">
      <c r="B15" s="276"/>
      <c r="C15" s="284">
        <v>10</v>
      </c>
      <c r="D15" s="277" t="str">
        <f>'Program Descriptions'!C14</f>
        <v>Empty</v>
      </c>
      <c r="E15" s="288"/>
      <c r="F15" s="288"/>
      <c r="G15" s="288"/>
      <c r="H15" s="18">
        <f t="shared" si="0"/>
        <v>0</v>
      </c>
      <c r="I15" s="66"/>
      <c r="J15" s="66"/>
      <c r="K15" s="65"/>
      <c r="N15" s="336">
        <f>IF(C15="Empty",0,IF('Evaluated Savings'!E15-'Savings Methodology'!H15&lt;&gt;0,1,0))</f>
        <v>0</v>
      </c>
    </row>
    <row r="16" spans="2:14" hidden="1" x14ac:dyDescent="0.3">
      <c r="B16" s="276"/>
      <c r="C16" s="284">
        <v>11</v>
      </c>
      <c r="D16" s="277" t="str">
        <f>'Program Descriptions'!C15</f>
        <v>Empty</v>
      </c>
      <c r="E16" s="288"/>
      <c r="F16" s="288"/>
      <c r="G16" s="288"/>
      <c r="H16" s="18">
        <f t="shared" si="0"/>
        <v>0</v>
      </c>
      <c r="I16" s="66"/>
      <c r="J16" s="66"/>
      <c r="K16" s="65"/>
      <c r="N16" s="336">
        <f>IF(C16="Empty",0,IF('Evaluated Savings'!E16-'Savings Methodology'!H16&lt;&gt;0,1,0))</f>
        <v>0</v>
      </c>
    </row>
    <row r="17" spans="2:14" hidden="1" x14ac:dyDescent="0.3">
      <c r="B17" s="276"/>
      <c r="C17" s="284">
        <v>12</v>
      </c>
      <c r="D17" s="277" t="str">
        <f>'Program Descriptions'!C16</f>
        <v>Empty</v>
      </c>
      <c r="E17" s="288"/>
      <c r="F17" s="288"/>
      <c r="G17" s="288"/>
      <c r="H17" s="18">
        <f t="shared" si="0"/>
        <v>0</v>
      </c>
      <c r="I17" s="66"/>
      <c r="J17" s="66"/>
      <c r="K17" s="65"/>
      <c r="N17" s="336">
        <f>IF(C17="Empty",0,IF('Evaluated Savings'!E17-'Savings Methodology'!H17&lt;&gt;0,1,0))</f>
        <v>0</v>
      </c>
    </row>
    <row r="18" spans="2:14" hidden="1" x14ac:dyDescent="0.3">
      <c r="B18" s="276"/>
      <c r="C18" s="284">
        <v>13</v>
      </c>
      <c r="D18" s="277" t="str">
        <f>'Program Descriptions'!C17</f>
        <v>Empty</v>
      </c>
      <c r="E18" s="288"/>
      <c r="F18" s="288"/>
      <c r="G18" s="288"/>
      <c r="H18" s="18">
        <f t="shared" si="0"/>
        <v>0</v>
      </c>
      <c r="I18" s="66"/>
      <c r="J18" s="66"/>
      <c r="K18" s="65"/>
      <c r="N18" s="336">
        <f>IF(C18="Empty",0,IF('Evaluated Savings'!E18-'Savings Methodology'!H18&lt;&gt;0,1,0))</f>
        <v>0</v>
      </c>
    </row>
    <row r="19" spans="2:14" hidden="1" x14ac:dyDescent="0.3">
      <c r="B19" s="276"/>
      <c r="C19" s="284">
        <v>14</v>
      </c>
      <c r="D19" s="277" t="str">
        <f>'Program Descriptions'!C18</f>
        <v>Empty</v>
      </c>
      <c r="E19" s="288"/>
      <c r="F19" s="288"/>
      <c r="G19" s="288"/>
      <c r="H19" s="18">
        <f t="shared" si="0"/>
        <v>0</v>
      </c>
      <c r="I19" s="66"/>
      <c r="J19" s="66"/>
      <c r="K19" s="65"/>
      <c r="N19" s="336">
        <f>IF(C19="Empty",0,IF('Evaluated Savings'!E19-'Savings Methodology'!H19&lt;&gt;0,1,0))</f>
        <v>0</v>
      </c>
    </row>
    <row r="20" spans="2:14" hidden="1" x14ac:dyDescent="0.3">
      <c r="B20" s="276"/>
      <c r="C20" s="284">
        <v>15</v>
      </c>
      <c r="D20" s="277" t="str">
        <f>'Program Descriptions'!C19</f>
        <v>Empty</v>
      </c>
      <c r="E20" s="288"/>
      <c r="F20" s="288"/>
      <c r="G20" s="288"/>
      <c r="H20" s="18">
        <f t="shared" si="0"/>
        <v>0</v>
      </c>
      <c r="I20" s="66"/>
      <c r="J20" s="66"/>
      <c r="K20" s="65"/>
      <c r="N20" s="336">
        <f>IF(C20="Empty",0,IF('Evaluated Savings'!E20-'Savings Methodology'!H20&lt;&gt;0,1,0))</f>
        <v>0</v>
      </c>
    </row>
    <row r="21" spans="2:14" hidden="1" x14ac:dyDescent="0.3">
      <c r="B21" s="276"/>
      <c r="C21" s="284">
        <v>16</v>
      </c>
      <c r="D21" s="277" t="str">
        <f>'Program Descriptions'!C20</f>
        <v>Empty</v>
      </c>
      <c r="E21" s="288"/>
      <c r="F21" s="288"/>
      <c r="G21" s="288"/>
      <c r="H21" s="18">
        <f t="shared" si="0"/>
        <v>0</v>
      </c>
      <c r="I21" s="66"/>
      <c r="J21" s="66"/>
      <c r="K21" s="65"/>
      <c r="N21" s="336">
        <f>IF(C21="Empty",0,IF('Evaluated Savings'!E21-'Savings Methodology'!H21&lt;&gt;0,1,0))</f>
        <v>0</v>
      </c>
    </row>
    <row r="22" spans="2:14" hidden="1" x14ac:dyDescent="0.3">
      <c r="B22" s="276"/>
      <c r="C22" s="284">
        <v>17</v>
      </c>
      <c r="D22" s="277" t="str">
        <f>'Program Descriptions'!C21</f>
        <v>Empty</v>
      </c>
      <c r="E22" s="288"/>
      <c r="F22" s="288"/>
      <c r="G22" s="288"/>
      <c r="H22" s="18">
        <f t="shared" si="0"/>
        <v>0</v>
      </c>
      <c r="I22" s="66"/>
      <c r="J22" s="66"/>
      <c r="K22" s="65"/>
      <c r="N22" s="336">
        <f>IF(C22="Empty",0,IF('Evaluated Savings'!E22-'Savings Methodology'!H22&lt;&gt;0,1,0))</f>
        <v>0</v>
      </c>
    </row>
    <row r="23" spans="2:14" hidden="1" x14ac:dyDescent="0.3">
      <c r="B23" s="276"/>
      <c r="C23" s="284">
        <v>18</v>
      </c>
      <c r="D23" s="277" t="str">
        <f>'Program Descriptions'!C22</f>
        <v>Empty</v>
      </c>
      <c r="E23" s="288"/>
      <c r="F23" s="288"/>
      <c r="G23" s="288"/>
      <c r="H23" s="18">
        <f t="shared" si="0"/>
        <v>0</v>
      </c>
      <c r="I23" s="66"/>
      <c r="J23" s="66"/>
      <c r="K23" s="65"/>
      <c r="N23" s="336">
        <f>IF(C23="Empty",0,IF('Evaluated Savings'!E23-'Savings Methodology'!H23&lt;&gt;0,1,0))</f>
        <v>0</v>
      </c>
    </row>
    <row r="24" spans="2:14" hidden="1" x14ac:dyDescent="0.3">
      <c r="B24" s="276"/>
      <c r="C24" s="284">
        <v>19</v>
      </c>
      <c r="D24" s="277" t="str">
        <f>'Program Descriptions'!C23</f>
        <v>Empty</v>
      </c>
      <c r="E24" s="288"/>
      <c r="F24" s="288"/>
      <c r="G24" s="288"/>
      <c r="H24" s="18">
        <f t="shared" si="0"/>
        <v>0</v>
      </c>
      <c r="I24" s="66"/>
      <c r="J24" s="66"/>
      <c r="K24" s="65"/>
      <c r="N24" s="336">
        <f>IF(C24="Empty",0,IF('Evaluated Savings'!E24-'Savings Methodology'!H24&lt;&gt;0,1,0))</f>
        <v>0</v>
      </c>
    </row>
    <row r="25" spans="2:14" ht="13.5" hidden="1" thickBot="1" x14ac:dyDescent="0.35">
      <c r="B25" s="276"/>
      <c r="C25" s="284">
        <v>20</v>
      </c>
      <c r="D25" s="277" t="str">
        <f>'Program Descriptions'!C24</f>
        <v>Empty</v>
      </c>
      <c r="E25" s="288"/>
      <c r="F25" s="288"/>
      <c r="G25" s="288"/>
      <c r="H25" s="18">
        <f t="shared" si="0"/>
        <v>0</v>
      </c>
      <c r="I25" s="66"/>
      <c r="J25" s="66"/>
      <c r="K25" s="65"/>
      <c r="N25" s="336">
        <f>IF(C25="Empty",0,IF('Evaluated Savings'!E25-'Savings Methodology'!H25&lt;&gt;0,1,0))</f>
        <v>0</v>
      </c>
    </row>
    <row r="26" spans="2:14" x14ac:dyDescent="0.3">
      <c r="B26" s="3"/>
      <c r="C26" s="30"/>
      <c r="D26" s="31" t="s">
        <v>158</v>
      </c>
      <c r="E26" s="16">
        <f>SUM(E6:E25)</f>
        <v>875715.55715097347</v>
      </c>
      <c r="F26" s="16">
        <f>SUM(F6:F25)</f>
        <v>620010</v>
      </c>
      <c r="G26" s="16">
        <f>SUM(G6:G25)</f>
        <v>0</v>
      </c>
      <c r="H26" s="16">
        <f>SUM(H6:H25)</f>
        <v>1495725.5571509735</v>
      </c>
      <c r="I26" s="33"/>
      <c r="J26" s="33"/>
      <c r="K26" s="4"/>
      <c r="N26" s="2">
        <v>0</v>
      </c>
    </row>
    <row r="27" spans="2:14" x14ac:dyDescent="0.3">
      <c r="B27" s="3"/>
      <c r="K27" s="4"/>
    </row>
    <row r="28" spans="2:14" x14ac:dyDescent="0.3">
      <c r="B28" s="3"/>
      <c r="K28" s="4"/>
    </row>
    <row r="29" spans="2:14" x14ac:dyDescent="0.3">
      <c r="B29" s="5"/>
      <c r="C29" s="6"/>
      <c r="D29" s="6"/>
      <c r="E29" s="6"/>
      <c r="F29" s="6"/>
      <c r="G29" s="6"/>
      <c r="H29" s="6"/>
      <c r="I29" s="6"/>
      <c r="J29" s="6"/>
      <c r="K29" s="7"/>
    </row>
  </sheetData>
  <sheetProtection formatColumns="0"/>
  <mergeCells count="1">
    <mergeCell ref="B2:K2"/>
  </mergeCells>
  <conditionalFormatting sqref="E8">
    <cfRule type="expression" dxfId="14" priority="1">
      <formula>$B8&gt;Programs</formula>
    </cfRule>
  </conditionalFormatting>
  <conditionalFormatting sqref="E6:G7 F8:G8 E9:G25">
    <cfRule type="expression" dxfId="13" priority="2">
      <formula>$C6&gt;Programs</formula>
    </cfRule>
  </conditionalFormatting>
  <pageMargins left="0.25" right="0.25" top="0.5" bottom="0.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B1:P115"/>
  <sheetViews>
    <sheetView showGridLines="0" showRowColHeaders="0" zoomScale="110" zoomScaleNormal="110" workbookViewId="0">
      <pane ySplit="6" topLeftCell="A7" activePane="bottomLeft" state="frozen"/>
      <selection activeCell="F6" sqref="F6"/>
      <selection pane="bottomLeft" activeCell="J27" sqref="J27"/>
    </sheetView>
  </sheetViews>
  <sheetFormatPr defaultColWidth="9.1796875" defaultRowHeight="13" x14ac:dyDescent="0.3"/>
  <cols>
    <col min="1" max="1" width="1" style="2" customWidth="1"/>
    <col min="2" max="2" width="3.7265625" style="2" customWidth="1"/>
    <col min="3" max="3" width="35.81640625" style="2" customWidth="1"/>
    <col min="4" max="4" width="12.1796875" style="2" customWidth="1"/>
    <col min="5" max="5" width="9.1796875" style="2"/>
    <col min="6" max="6" width="12.81640625" style="2" customWidth="1"/>
    <col min="7" max="9" width="11.1796875" style="2" customWidth="1"/>
    <col min="10" max="10" width="9" style="2" customWidth="1"/>
    <col min="11" max="11" width="9" style="2" hidden="1" customWidth="1"/>
    <col min="12" max="12" width="13.7265625" style="2" customWidth="1"/>
    <col min="13" max="13" width="3.26953125" style="2" customWidth="1"/>
    <col min="14" max="14" width="1" style="2" customWidth="1"/>
    <col min="15" max="15" width="9.1796875" style="2"/>
    <col min="16" max="16" width="0" style="2" hidden="1" customWidth="1"/>
    <col min="17" max="16384" width="9.1796875" style="2"/>
  </cols>
  <sheetData>
    <row r="1" spans="2:16" ht="28.5" customHeight="1" x14ac:dyDescent="0.3"/>
    <row r="2" spans="2:16" ht="64.5" customHeight="1" x14ac:dyDescent="0.3">
      <c r="B2" s="456"/>
      <c r="C2" s="457"/>
      <c r="D2" s="457"/>
      <c r="E2" s="457"/>
      <c r="F2" s="457"/>
      <c r="G2" s="457"/>
      <c r="H2" s="457"/>
      <c r="I2" s="457"/>
      <c r="J2" s="457"/>
      <c r="K2" s="457"/>
      <c r="L2" s="457"/>
      <c r="M2" s="458"/>
    </row>
    <row r="3" spans="2:16" ht="15" customHeight="1" thickBot="1" x14ac:dyDescent="0.35">
      <c r="B3" s="459"/>
      <c r="C3" s="354" t="str">
        <f>IF(P27&gt;0,"Incomplete - All 'yellow' shaded cells must be completed.","")</f>
        <v/>
      </c>
      <c r="D3" s="351"/>
      <c r="E3" s="351"/>
      <c r="F3" s="351"/>
      <c r="G3" s="351"/>
      <c r="H3" s="351"/>
      <c r="I3" s="351"/>
      <c r="J3" s="351"/>
      <c r="K3" s="351"/>
      <c r="L3" s="351"/>
      <c r="M3" s="460"/>
    </row>
    <row r="4" spans="2:16" ht="21" customHeight="1" x14ac:dyDescent="0.3">
      <c r="B4" s="3"/>
      <c r="D4" s="643" t="s">
        <v>212</v>
      </c>
      <c r="E4" s="644"/>
      <c r="F4" s="645"/>
      <c r="G4" s="643" t="s">
        <v>213</v>
      </c>
      <c r="H4" s="644"/>
      <c r="I4" s="644"/>
      <c r="J4" s="644"/>
      <c r="K4" s="644"/>
      <c r="L4" s="645"/>
      <c r="M4" s="4"/>
    </row>
    <row r="5" spans="2:16" ht="30.75" customHeight="1" x14ac:dyDescent="0.3">
      <c r="B5" s="3"/>
      <c r="D5" s="110" t="s">
        <v>214</v>
      </c>
      <c r="E5" s="477" t="s">
        <v>215</v>
      </c>
      <c r="F5" s="111" t="s">
        <v>216</v>
      </c>
      <c r="G5" s="110" t="s">
        <v>217</v>
      </c>
      <c r="H5" s="477" t="s">
        <v>218</v>
      </c>
      <c r="I5" s="477" t="s">
        <v>219</v>
      </c>
      <c r="J5" s="478" t="s">
        <v>220</v>
      </c>
      <c r="K5" s="646" t="s">
        <v>221</v>
      </c>
      <c r="L5" s="111" t="s">
        <v>222</v>
      </c>
      <c r="M5" s="4"/>
    </row>
    <row r="6" spans="2:16" ht="15" customHeight="1" x14ac:dyDescent="0.35">
      <c r="B6" s="3"/>
      <c r="C6" s="9" t="s">
        <v>85</v>
      </c>
      <c r="D6" s="112" t="str">
        <f>"("&amp;Titles!F13&amp;")"</f>
        <v>(Therms)</v>
      </c>
      <c r="E6" s="67" t="s">
        <v>223</v>
      </c>
      <c r="F6" s="113" t="str">
        <f>"("&amp;Titles!F14&amp;")"</f>
        <v>(Therms)</v>
      </c>
      <c r="G6" s="112" t="s">
        <v>224</v>
      </c>
      <c r="H6" s="67" t="s">
        <v>224</v>
      </c>
      <c r="I6" s="67" t="s">
        <v>224</v>
      </c>
      <c r="J6" s="67" t="s">
        <v>223</v>
      </c>
      <c r="K6" s="647"/>
      <c r="L6" s="113" t="str">
        <f>"($/"&amp;Titles!F13&amp;")"</f>
        <v>($/Therms)</v>
      </c>
      <c r="M6" s="4"/>
    </row>
    <row r="7" spans="2:16" ht="15" customHeight="1" x14ac:dyDescent="0.3">
      <c r="B7" s="276">
        <v>1</v>
      </c>
      <c r="C7" s="277" t="str">
        <f>'Program Descriptions'!C5</f>
        <v>Commercial &amp; Industrial Solutions Program</v>
      </c>
      <c r="D7" s="114">
        <f>'Evaluated Savings'!E6</f>
        <v>647132</v>
      </c>
      <c r="E7" s="577">
        <v>0.98000017036839326</v>
      </c>
      <c r="F7" s="115">
        <v>6279634.2029731134</v>
      </c>
      <c r="G7" s="578">
        <v>1859.4380756108976</v>
      </c>
      <c r="H7" s="579">
        <v>2333.2739773345202</v>
      </c>
      <c r="I7" s="68">
        <f>H7-G7</f>
        <v>473.83590172362256</v>
      </c>
      <c r="J7" s="119">
        <f>IF(ISERROR(H7/G7),"n/a",H7/G7)</f>
        <v>1.2548274706959246</v>
      </c>
      <c r="K7" s="256">
        <f>IF($F$6="(MWh)",F7*1000/D7,F7/D7)</f>
        <v>9.7037918121389666</v>
      </c>
      <c r="L7" s="157">
        <f t="shared" ref="L7:L27" si="0">IF(ISERROR(G7*1000*((Discount_Rate*(1+Discount_Rate)^(K7))/(((1+Discount_Rate)^(K7))-1))/D7),"n/a",G7*1000*((Discount_Rate*(1+Discount_Rate)^(K7))/(((1+Discount_Rate)^(K7))-1))/D7)</f>
        <v>0.39219872945361184</v>
      </c>
      <c r="M7" s="4"/>
      <c r="P7" s="336">
        <f>IF(C7="Empty",0,IF(OR(ISBLANK(E7),ISBLANK(F7),ISBLANK(G7),ISBLANK(H7)),1,0))</f>
        <v>0</v>
      </c>
    </row>
    <row r="8" spans="2:16" ht="15" customHeight="1" x14ac:dyDescent="0.3">
      <c r="B8" s="276">
        <v>2</v>
      </c>
      <c r="C8" s="277" t="str">
        <f>'Program Descriptions'!C6</f>
        <v>Energy Efficiency Arkansas</v>
      </c>
      <c r="D8" s="114">
        <f>'Evaluated Savings'!E7</f>
        <v>0</v>
      </c>
      <c r="E8" s="577">
        <v>0</v>
      </c>
      <c r="F8" s="115">
        <v>0</v>
      </c>
      <c r="G8" s="576">
        <v>0</v>
      </c>
      <c r="H8" s="579">
        <v>0</v>
      </c>
      <c r="I8" s="68">
        <f>H8-G8</f>
        <v>0</v>
      </c>
      <c r="J8" s="119" t="str">
        <f>IF(ISERROR(H8/G8),"n/a",H8/G8)</f>
        <v>n/a</v>
      </c>
      <c r="K8" s="256" t="e">
        <f>IF($F$6="(MWh)",F8*1000/D8,F8/D8)</f>
        <v>#DIV/0!</v>
      </c>
      <c r="L8" s="157" t="str">
        <f t="shared" si="0"/>
        <v>n/a</v>
      </c>
      <c r="M8" s="4"/>
      <c r="P8" s="336">
        <f t="shared" ref="P8:P26" si="1">IF(C8="Empty",0,IF(OR(ISBLANK(E8),ISBLANK(F8),ISBLANK(G8),ISBLANK(H8)),1,0))</f>
        <v>0</v>
      </c>
    </row>
    <row r="9" spans="2:16" ht="15" customHeight="1" x14ac:dyDescent="0.3">
      <c r="B9" s="276">
        <v>3</v>
      </c>
      <c r="C9" s="277" t="str">
        <f>'Program Descriptions'!C7</f>
        <v>Residential Solution Program</v>
      </c>
      <c r="D9" s="114">
        <f>'Evaluated Savings'!E8</f>
        <v>651784</v>
      </c>
      <c r="E9" s="577">
        <v>0.92462727000971523</v>
      </c>
      <c r="F9" s="115">
        <v>12231280.675202576</v>
      </c>
      <c r="G9" s="578">
        <v>2894.9541341324025</v>
      </c>
      <c r="H9" s="579">
        <v>6120.2281418678131</v>
      </c>
      <c r="I9" s="68">
        <f>H9-G9</f>
        <v>3225.2740077354106</v>
      </c>
      <c r="J9" s="119">
        <f t="shared" ref="J9:J26" si="2">IF(ISERROR(H9/G9),"n/a",H9/G9)</f>
        <v>2.1141019367831895</v>
      </c>
      <c r="K9" s="256">
        <f>IF($F$6="(MWh)",F9*1000/D9,F9/D9)</f>
        <v>18.76584984473779</v>
      </c>
      <c r="L9" s="157">
        <f t="shared" si="0"/>
        <v>0.3890616006236251</v>
      </c>
      <c r="M9" s="4"/>
      <c r="P9" s="336">
        <f t="shared" si="1"/>
        <v>0</v>
      </c>
    </row>
    <row r="10" spans="2:16" ht="15" customHeight="1" thickBot="1" x14ac:dyDescent="0.35">
      <c r="B10" s="276">
        <v>4</v>
      </c>
      <c r="C10" s="277" t="str">
        <f>'Program Descriptions'!C8</f>
        <v>Income Qualified Program</v>
      </c>
      <c r="D10" s="114">
        <f>'Evaluated Savings'!E9</f>
        <v>51497</v>
      </c>
      <c r="E10" s="577">
        <v>1</v>
      </c>
      <c r="F10" s="115">
        <v>411742.19854689221</v>
      </c>
      <c r="G10" s="576">
        <v>88.789760000000015</v>
      </c>
      <c r="H10" s="579">
        <v>155.59836623576319</v>
      </c>
      <c r="I10" s="68">
        <f>H10-G10</f>
        <v>66.808606235763179</v>
      </c>
      <c r="J10" s="119">
        <f t="shared" si="2"/>
        <v>1.7524359367089535</v>
      </c>
      <c r="K10" s="256">
        <f t="shared" ref="K10:K27" si="3">IF($F$6="(MWh)",F10*1000/D10,F10/D10)</f>
        <v>7.9954599014873136</v>
      </c>
      <c r="L10" s="157">
        <f t="shared" si="0"/>
        <v>0.27361663496558081</v>
      </c>
      <c r="M10" s="4"/>
      <c r="P10" s="336">
        <f t="shared" si="1"/>
        <v>0</v>
      </c>
    </row>
    <row r="11" spans="2:16" ht="15" hidden="1" customHeight="1" x14ac:dyDescent="0.3">
      <c r="B11" s="276">
        <v>5</v>
      </c>
      <c r="C11" s="277" t="str">
        <f>'Program Descriptions'!C9</f>
        <v>Empty</v>
      </c>
      <c r="D11" s="114">
        <f>'Evaluated Savings'!E10</f>
        <v>0</v>
      </c>
      <c r="E11" s="265"/>
      <c r="F11" s="115"/>
      <c r="G11" s="264"/>
      <c r="H11" s="464"/>
      <c r="I11" s="68">
        <f>H11-G11</f>
        <v>0</v>
      </c>
      <c r="J11" s="119" t="str">
        <f t="shared" si="2"/>
        <v>n/a</v>
      </c>
      <c r="K11" s="256" t="e">
        <f t="shared" si="3"/>
        <v>#DIV/0!</v>
      </c>
      <c r="L11" s="157" t="str">
        <f t="shared" si="0"/>
        <v>n/a</v>
      </c>
      <c r="M11" s="4"/>
      <c r="P11" s="336">
        <f t="shared" si="1"/>
        <v>0</v>
      </c>
    </row>
    <row r="12" spans="2:16" ht="15" hidden="1" customHeight="1" x14ac:dyDescent="0.3">
      <c r="B12" s="276">
        <v>6</v>
      </c>
      <c r="C12" s="277" t="str">
        <f>'Program Descriptions'!C10</f>
        <v>Empty</v>
      </c>
      <c r="D12" s="114">
        <f>'Evaluated Savings'!E11</f>
        <v>0</v>
      </c>
      <c r="E12" s="265"/>
      <c r="F12" s="115"/>
      <c r="G12" s="264"/>
      <c r="H12" s="464"/>
      <c r="I12" s="68">
        <f t="shared" ref="I12:I20" si="4">H12-G12</f>
        <v>0</v>
      </c>
      <c r="J12" s="119" t="str">
        <f t="shared" si="2"/>
        <v>n/a</v>
      </c>
      <c r="K12" s="256" t="e">
        <f t="shared" si="3"/>
        <v>#DIV/0!</v>
      </c>
      <c r="L12" s="157" t="str">
        <f t="shared" si="0"/>
        <v>n/a</v>
      </c>
      <c r="M12" s="4"/>
      <c r="P12" s="336">
        <f t="shared" si="1"/>
        <v>0</v>
      </c>
    </row>
    <row r="13" spans="2:16" ht="15" hidden="1" customHeight="1" x14ac:dyDescent="0.3">
      <c r="B13" s="276">
        <v>7</v>
      </c>
      <c r="C13" s="277" t="str">
        <f>'Program Descriptions'!C11</f>
        <v>Empty</v>
      </c>
      <c r="D13" s="114">
        <f>'Evaluated Savings'!E12</f>
        <v>0</v>
      </c>
      <c r="E13" s="265"/>
      <c r="F13" s="115"/>
      <c r="G13" s="264"/>
      <c r="H13" s="464"/>
      <c r="I13" s="68">
        <f t="shared" si="4"/>
        <v>0</v>
      </c>
      <c r="J13" s="119" t="str">
        <f t="shared" si="2"/>
        <v>n/a</v>
      </c>
      <c r="K13" s="256" t="e">
        <f t="shared" si="3"/>
        <v>#DIV/0!</v>
      </c>
      <c r="L13" s="157" t="str">
        <f t="shared" si="0"/>
        <v>n/a</v>
      </c>
      <c r="M13" s="4"/>
      <c r="P13" s="336">
        <f t="shared" si="1"/>
        <v>0</v>
      </c>
    </row>
    <row r="14" spans="2:16" ht="15" hidden="1" customHeight="1" x14ac:dyDescent="0.3">
      <c r="B14" s="276">
        <v>8</v>
      </c>
      <c r="C14" s="277" t="str">
        <f>'Program Descriptions'!C12</f>
        <v>Empty</v>
      </c>
      <c r="D14" s="114">
        <f>'Evaluated Savings'!E13</f>
        <v>0</v>
      </c>
      <c r="E14" s="265"/>
      <c r="F14" s="115"/>
      <c r="G14" s="264"/>
      <c r="H14" s="464"/>
      <c r="I14" s="68">
        <f t="shared" si="4"/>
        <v>0</v>
      </c>
      <c r="J14" s="119" t="str">
        <f t="shared" si="2"/>
        <v>n/a</v>
      </c>
      <c r="K14" s="256" t="e">
        <f t="shared" si="3"/>
        <v>#DIV/0!</v>
      </c>
      <c r="L14" s="157" t="str">
        <f t="shared" si="0"/>
        <v>n/a</v>
      </c>
      <c r="M14" s="4"/>
      <c r="P14" s="336">
        <f t="shared" si="1"/>
        <v>0</v>
      </c>
    </row>
    <row r="15" spans="2:16" ht="15" hidden="1" customHeight="1" x14ac:dyDescent="0.3">
      <c r="B15" s="276">
        <v>9</v>
      </c>
      <c r="C15" s="277" t="str">
        <f>'Program Descriptions'!C13</f>
        <v>Empty</v>
      </c>
      <c r="D15" s="114">
        <f>'Evaluated Savings'!E14</f>
        <v>0</v>
      </c>
      <c r="E15" s="265"/>
      <c r="F15" s="115"/>
      <c r="G15" s="264"/>
      <c r="H15" s="464"/>
      <c r="I15" s="68">
        <f t="shared" si="4"/>
        <v>0</v>
      </c>
      <c r="J15" s="119" t="str">
        <f t="shared" si="2"/>
        <v>n/a</v>
      </c>
      <c r="K15" s="256" t="e">
        <f t="shared" si="3"/>
        <v>#DIV/0!</v>
      </c>
      <c r="L15" s="157" t="str">
        <f t="shared" si="0"/>
        <v>n/a</v>
      </c>
      <c r="M15" s="4"/>
      <c r="P15" s="336">
        <f t="shared" si="1"/>
        <v>0</v>
      </c>
    </row>
    <row r="16" spans="2:16" ht="15" hidden="1" customHeight="1" x14ac:dyDescent="0.3">
      <c r="B16" s="276">
        <v>10</v>
      </c>
      <c r="C16" s="277" t="str">
        <f>'Program Descriptions'!C14</f>
        <v>Empty</v>
      </c>
      <c r="D16" s="114">
        <f>'Evaluated Savings'!E15</f>
        <v>0</v>
      </c>
      <c r="E16" s="265"/>
      <c r="F16" s="115"/>
      <c r="G16" s="264"/>
      <c r="H16" s="464"/>
      <c r="I16" s="68">
        <f t="shared" si="4"/>
        <v>0</v>
      </c>
      <c r="J16" s="119" t="str">
        <f t="shared" si="2"/>
        <v>n/a</v>
      </c>
      <c r="K16" s="256" t="e">
        <f t="shared" si="3"/>
        <v>#DIV/0!</v>
      </c>
      <c r="L16" s="157" t="str">
        <f t="shared" si="0"/>
        <v>n/a</v>
      </c>
      <c r="M16" s="4"/>
      <c r="P16" s="336">
        <f t="shared" si="1"/>
        <v>0</v>
      </c>
    </row>
    <row r="17" spans="2:16" ht="15" hidden="1" customHeight="1" x14ac:dyDescent="0.3">
      <c r="B17" s="276">
        <v>11</v>
      </c>
      <c r="C17" s="277" t="str">
        <f>'Program Descriptions'!C15</f>
        <v>Empty</v>
      </c>
      <c r="D17" s="114">
        <f>'Evaluated Savings'!E16</f>
        <v>0</v>
      </c>
      <c r="E17" s="265"/>
      <c r="F17" s="115"/>
      <c r="G17" s="264"/>
      <c r="H17" s="464"/>
      <c r="I17" s="68">
        <f t="shared" si="4"/>
        <v>0</v>
      </c>
      <c r="J17" s="119" t="str">
        <f t="shared" si="2"/>
        <v>n/a</v>
      </c>
      <c r="K17" s="256" t="e">
        <f t="shared" si="3"/>
        <v>#DIV/0!</v>
      </c>
      <c r="L17" s="157" t="str">
        <f t="shared" si="0"/>
        <v>n/a</v>
      </c>
      <c r="M17" s="4"/>
      <c r="P17" s="336">
        <f t="shared" si="1"/>
        <v>0</v>
      </c>
    </row>
    <row r="18" spans="2:16" ht="15" hidden="1" customHeight="1" x14ac:dyDescent="0.3">
      <c r="B18" s="276">
        <v>12</v>
      </c>
      <c r="C18" s="277" t="str">
        <f>'Program Descriptions'!C16</f>
        <v>Empty</v>
      </c>
      <c r="D18" s="114">
        <f>'Evaluated Savings'!E17</f>
        <v>0</v>
      </c>
      <c r="E18" s="265"/>
      <c r="F18" s="115"/>
      <c r="G18" s="264"/>
      <c r="H18" s="464"/>
      <c r="I18" s="68">
        <f t="shared" si="4"/>
        <v>0</v>
      </c>
      <c r="J18" s="119" t="str">
        <f t="shared" si="2"/>
        <v>n/a</v>
      </c>
      <c r="K18" s="256" t="e">
        <f t="shared" si="3"/>
        <v>#DIV/0!</v>
      </c>
      <c r="L18" s="157" t="str">
        <f t="shared" si="0"/>
        <v>n/a</v>
      </c>
      <c r="M18" s="4"/>
      <c r="P18" s="336">
        <f t="shared" si="1"/>
        <v>0</v>
      </c>
    </row>
    <row r="19" spans="2:16" ht="15" hidden="1" customHeight="1" x14ac:dyDescent="0.3">
      <c r="B19" s="276">
        <v>13</v>
      </c>
      <c r="C19" s="277" t="str">
        <f>'Program Descriptions'!C17</f>
        <v>Empty</v>
      </c>
      <c r="D19" s="114">
        <f>'Evaluated Savings'!E18</f>
        <v>0</v>
      </c>
      <c r="E19" s="265"/>
      <c r="F19" s="115"/>
      <c r="G19" s="264"/>
      <c r="H19" s="464"/>
      <c r="I19" s="68">
        <f t="shared" si="4"/>
        <v>0</v>
      </c>
      <c r="J19" s="119" t="str">
        <f t="shared" si="2"/>
        <v>n/a</v>
      </c>
      <c r="K19" s="256" t="e">
        <f t="shared" si="3"/>
        <v>#DIV/0!</v>
      </c>
      <c r="L19" s="157" t="str">
        <f t="shared" si="0"/>
        <v>n/a</v>
      </c>
      <c r="M19" s="4"/>
      <c r="P19" s="336">
        <f t="shared" si="1"/>
        <v>0</v>
      </c>
    </row>
    <row r="20" spans="2:16" ht="15" hidden="1" customHeight="1" x14ac:dyDescent="0.3">
      <c r="B20" s="276">
        <v>14</v>
      </c>
      <c r="C20" s="277" t="str">
        <f>'Program Descriptions'!C18</f>
        <v>Empty</v>
      </c>
      <c r="D20" s="114">
        <f>'Evaluated Savings'!E19</f>
        <v>0</v>
      </c>
      <c r="E20" s="265"/>
      <c r="F20" s="115"/>
      <c r="G20" s="264"/>
      <c r="H20" s="464"/>
      <c r="I20" s="68">
        <f t="shared" si="4"/>
        <v>0</v>
      </c>
      <c r="J20" s="119" t="str">
        <f t="shared" si="2"/>
        <v>n/a</v>
      </c>
      <c r="K20" s="256" t="e">
        <f t="shared" si="3"/>
        <v>#DIV/0!</v>
      </c>
      <c r="L20" s="157" t="str">
        <f t="shared" si="0"/>
        <v>n/a</v>
      </c>
      <c r="M20" s="4"/>
      <c r="P20" s="336">
        <f t="shared" si="1"/>
        <v>0</v>
      </c>
    </row>
    <row r="21" spans="2:16" ht="15" hidden="1" customHeight="1" x14ac:dyDescent="0.3">
      <c r="B21" s="276">
        <v>15</v>
      </c>
      <c r="C21" s="277" t="str">
        <f>'Program Descriptions'!C19</f>
        <v>Empty</v>
      </c>
      <c r="D21" s="114">
        <f>'Evaluated Savings'!E20</f>
        <v>0</v>
      </c>
      <c r="E21" s="265"/>
      <c r="F21" s="115"/>
      <c r="G21" s="264"/>
      <c r="H21" s="464"/>
      <c r="I21" s="68">
        <f t="shared" ref="I21:I26" si="5">H21-G21</f>
        <v>0</v>
      </c>
      <c r="J21" s="119" t="str">
        <f t="shared" si="2"/>
        <v>n/a</v>
      </c>
      <c r="K21" s="256" t="e">
        <f t="shared" si="3"/>
        <v>#DIV/0!</v>
      </c>
      <c r="L21" s="157" t="str">
        <f t="shared" si="0"/>
        <v>n/a</v>
      </c>
      <c r="M21" s="4"/>
      <c r="P21" s="336">
        <f t="shared" si="1"/>
        <v>0</v>
      </c>
    </row>
    <row r="22" spans="2:16" ht="15" hidden="1" customHeight="1" x14ac:dyDescent="0.3">
      <c r="B22" s="276">
        <v>16</v>
      </c>
      <c r="C22" s="277" t="str">
        <f>'Program Descriptions'!C20</f>
        <v>Empty</v>
      </c>
      <c r="D22" s="114">
        <f>'Evaluated Savings'!E21</f>
        <v>0</v>
      </c>
      <c r="E22" s="265"/>
      <c r="F22" s="115"/>
      <c r="G22" s="264"/>
      <c r="H22" s="464"/>
      <c r="I22" s="68">
        <f t="shared" si="5"/>
        <v>0</v>
      </c>
      <c r="J22" s="119" t="str">
        <f t="shared" si="2"/>
        <v>n/a</v>
      </c>
      <c r="K22" s="256" t="e">
        <f t="shared" si="3"/>
        <v>#DIV/0!</v>
      </c>
      <c r="L22" s="157" t="str">
        <f t="shared" si="0"/>
        <v>n/a</v>
      </c>
      <c r="M22" s="4"/>
      <c r="P22" s="336">
        <f t="shared" si="1"/>
        <v>0</v>
      </c>
    </row>
    <row r="23" spans="2:16" ht="15" hidden="1" customHeight="1" x14ac:dyDescent="0.3">
      <c r="B23" s="276">
        <v>17</v>
      </c>
      <c r="C23" s="277" t="str">
        <f>'Program Descriptions'!C21</f>
        <v>Empty</v>
      </c>
      <c r="D23" s="114">
        <f>'Evaluated Savings'!E22</f>
        <v>0</v>
      </c>
      <c r="E23" s="265"/>
      <c r="F23" s="115"/>
      <c r="G23" s="56"/>
      <c r="H23" s="465"/>
      <c r="I23" s="68">
        <f t="shared" si="5"/>
        <v>0</v>
      </c>
      <c r="J23" s="119" t="str">
        <f t="shared" si="2"/>
        <v>n/a</v>
      </c>
      <c r="K23" s="256" t="e">
        <f t="shared" si="3"/>
        <v>#DIV/0!</v>
      </c>
      <c r="L23" s="157" t="str">
        <f t="shared" si="0"/>
        <v>n/a</v>
      </c>
      <c r="M23" s="4"/>
      <c r="P23" s="336">
        <f t="shared" si="1"/>
        <v>0</v>
      </c>
    </row>
    <row r="24" spans="2:16" ht="15" hidden="1" customHeight="1" x14ac:dyDescent="0.3">
      <c r="B24" s="276">
        <v>18</v>
      </c>
      <c r="C24" s="277" t="str">
        <f>'Program Descriptions'!C22</f>
        <v>Empty</v>
      </c>
      <c r="D24" s="114">
        <f>'Evaluated Savings'!E23</f>
        <v>0</v>
      </c>
      <c r="E24" s="265"/>
      <c r="F24" s="115"/>
      <c r="G24" s="56"/>
      <c r="H24" s="465"/>
      <c r="I24" s="68">
        <f t="shared" si="5"/>
        <v>0</v>
      </c>
      <c r="J24" s="119" t="str">
        <f t="shared" si="2"/>
        <v>n/a</v>
      </c>
      <c r="K24" s="256" t="e">
        <f t="shared" si="3"/>
        <v>#DIV/0!</v>
      </c>
      <c r="L24" s="157" t="str">
        <f t="shared" si="0"/>
        <v>n/a</v>
      </c>
      <c r="M24" s="4"/>
      <c r="P24" s="336">
        <f t="shared" si="1"/>
        <v>0</v>
      </c>
    </row>
    <row r="25" spans="2:16" ht="15" hidden="1" customHeight="1" x14ac:dyDescent="0.3">
      <c r="B25" s="276">
        <v>19</v>
      </c>
      <c r="C25" s="277" t="str">
        <f>'Program Descriptions'!C23</f>
        <v>Empty</v>
      </c>
      <c r="D25" s="114">
        <f>'Evaluated Savings'!E24</f>
        <v>0</v>
      </c>
      <c r="E25" s="265"/>
      <c r="F25" s="115"/>
      <c r="G25" s="56"/>
      <c r="H25" s="465"/>
      <c r="I25" s="68">
        <f t="shared" si="5"/>
        <v>0</v>
      </c>
      <c r="J25" s="119" t="str">
        <f t="shared" si="2"/>
        <v>n/a</v>
      </c>
      <c r="K25" s="256" t="e">
        <f t="shared" si="3"/>
        <v>#DIV/0!</v>
      </c>
      <c r="L25" s="157" t="str">
        <f t="shared" si="0"/>
        <v>n/a</v>
      </c>
      <c r="M25" s="4"/>
      <c r="P25" s="336">
        <f t="shared" si="1"/>
        <v>0</v>
      </c>
    </row>
    <row r="26" spans="2:16" ht="15" hidden="1" customHeight="1" thickBot="1" x14ac:dyDescent="0.35">
      <c r="B26" s="276">
        <v>20</v>
      </c>
      <c r="C26" s="277" t="str">
        <f>'Program Descriptions'!C24</f>
        <v>Empty</v>
      </c>
      <c r="D26" s="116">
        <f>'Evaluated Savings'!E25</f>
        <v>0</v>
      </c>
      <c r="E26" s="117"/>
      <c r="F26" s="118"/>
      <c r="G26" s="57"/>
      <c r="H26" s="120"/>
      <c r="I26" s="121">
        <f t="shared" si="5"/>
        <v>0</v>
      </c>
      <c r="J26" s="257" t="str">
        <f t="shared" si="2"/>
        <v>n/a</v>
      </c>
      <c r="K26" s="256" t="e">
        <f t="shared" si="3"/>
        <v>#DIV/0!</v>
      </c>
      <c r="L26" s="258" t="str">
        <f t="shared" si="0"/>
        <v>n/a</v>
      </c>
      <c r="M26" s="4"/>
      <c r="P26" s="336">
        <f t="shared" si="1"/>
        <v>0</v>
      </c>
    </row>
    <row r="27" spans="2:16" ht="15" customHeight="1" thickBot="1" x14ac:dyDescent="0.4">
      <c r="B27" s="3"/>
      <c r="C27" s="280" t="s">
        <v>225</v>
      </c>
      <c r="D27" s="69">
        <f>SUM(D7:D26)</f>
        <v>1350413</v>
      </c>
      <c r="E27" s="70"/>
      <c r="F27" s="69">
        <f>SUM(F7:F26)</f>
        <v>18922657.076722585</v>
      </c>
      <c r="G27" s="14">
        <f>SUM(G7:G26)</f>
        <v>4843.1819697433002</v>
      </c>
      <c r="H27" s="14">
        <f>SUM(H7:H26)</f>
        <v>8609.1004854380972</v>
      </c>
      <c r="I27" s="14">
        <f>H27-(G27+G28)</f>
        <v>3756.1671256947966</v>
      </c>
      <c r="J27" s="270">
        <f>H27/(G27+G28)</f>
        <v>1.7739993210814422</v>
      </c>
      <c r="K27" s="259">
        <f t="shared" si="3"/>
        <v>14.012496233909614</v>
      </c>
      <c r="L27" s="260">
        <f t="shared" si="0"/>
        <v>0.37659664697481243</v>
      </c>
      <c r="M27" s="4"/>
      <c r="P27" s="2">
        <f>SUM(P7:P26)</f>
        <v>0</v>
      </c>
    </row>
    <row r="28" spans="2:16" ht="15" customHeight="1" x14ac:dyDescent="0.3">
      <c r="B28" s="5"/>
      <c r="C28" s="262" t="str">
        <f>'Actual Expenses'!I87&amp;" Cost:"</f>
        <v>Regulatory Cost:</v>
      </c>
      <c r="D28" s="6"/>
      <c r="E28" s="6"/>
      <c r="F28" s="6"/>
      <c r="G28" s="263">
        <f>'Actual Expenses'!I91/1000</f>
        <v>9.7513899999999989</v>
      </c>
      <c r="H28" s="6"/>
      <c r="I28" s="6"/>
      <c r="J28" s="6"/>
      <c r="K28" s="6"/>
      <c r="L28" s="6"/>
      <c r="M28" s="7"/>
    </row>
    <row r="29" spans="2:16" ht="15" customHeight="1" x14ac:dyDescent="0.3">
      <c r="C29" s="2" t="s">
        <v>206</v>
      </c>
    </row>
    <row r="30" spans="2:16" ht="15" customHeight="1" x14ac:dyDescent="0.3">
      <c r="C30" s="2" t="s">
        <v>226</v>
      </c>
    </row>
    <row r="31" spans="2:16" ht="15" customHeight="1" x14ac:dyDescent="0.3">
      <c r="C31" s="261" t="s">
        <v>227</v>
      </c>
    </row>
    <row r="32" spans="2:16"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algorithmName="SHA-512" hashValue="ht2Kk5L2Ei+uhu3dvXADC0goJn7tmtifMdGNGDXkBz7qPE9X/Ukn2AA2kkytGbr6PG/DeeDAE5gDh0iMNp2ISQ==" saltValue="h2U4OBZxES1H96+XYetpFw==" spinCount="100000" sheet="1" formatColumns="0"/>
  <mergeCells count="3">
    <mergeCell ref="D4:F4"/>
    <mergeCell ref="K5:K6"/>
    <mergeCell ref="G4:L4"/>
  </mergeCells>
  <conditionalFormatting sqref="D7:L26">
    <cfRule type="expression" dxfId="12" priority="1">
      <formula>$B7&gt;Programs</formula>
    </cfRule>
  </conditionalFormatting>
  <pageMargins left="0.25" right="0.25" top="0.25" bottom="0.2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B1:N46"/>
  <sheetViews>
    <sheetView showGridLines="0" showRowColHeaders="0" zoomScaleNormal="100" workbookViewId="0">
      <pane ySplit="3" topLeftCell="A36" activePane="bottomLeft" state="frozen"/>
      <selection activeCell="F6" sqref="F6"/>
      <selection pane="bottomLeft" activeCell="D6" sqref="D6:H6"/>
    </sheetView>
  </sheetViews>
  <sheetFormatPr defaultColWidth="9.1796875" defaultRowHeight="13" x14ac:dyDescent="0.3"/>
  <cols>
    <col min="1" max="1" width="1" style="2" customWidth="1"/>
    <col min="2" max="2" width="4" style="2" customWidth="1"/>
    <col min="3" max="3" width="30.1796875" style="2" bestFit="1" customWidth="1"/>
    <col min="4" max="8" width="13.7265625" style="2" customWidth="1"/>
    <col min="9" max="9" width="12" style="2" customWidth="1"/>
    <col min="10" max="10" width="17.1796875" style="2" customWidth="1"/>
    <col min="11" max="11" width="41.453125" style="2" customWidth="1"/>
    <col min="12" max="12" width="1" style="2" customWidth="1"/>
    <col min="13" max="16384" width="9.1796875" style="2"/>
  </cols>
  <sheetData>
    <row r="1" spans="2:14" ht="5.15" customHeight="1" thickBot="1" x14ac:dyDescent="0.35"/>
    <row r="2" spans="2:14" ht="38.25" customHeight="1" thickBot="1" x14ac:dyDescent="0.35">
      <c r="B2" s="661" t="s">
        <v>228</v>
      </c>
      <c r="C2" s="662"/>
      <c r="D2" s="662"/>
      <c r="E2" s="662"/>
      <c r="F2" s="662"/>
      <c r="G2" s="662"/>
      <c r="H2" s="662"/>
      <c r="I2" s="662"/>
      <c r="J2" s="662"/>
      <c r="K2" s="662"/>
      <c r="L2" s="663"/>
    </row>
    <row r="3" spans="2:14" ht="41.25" customHeight="1" x14ac:dyDescent="0.3">
      <c r="B3" s="3"/>
      <c r="L3" s="4"/>
    </row>
    <row r="4" spans="2:14" ht="15.5" x14ac:dyDescent="0.35">
      <c r="B4" s="20"/>
      <c r="C4" s="354" t="str">
        <f>IF(N6&gt;0,"Incomplete - The utility discount rate must be completed.","")</f>
        <v/>
      </c>
      <c r="D4" s="9"/>
      <c r="E4" s="9"/>
      <c r="F4" s="9"/>
      <c r="G4" s="9"/>
      <c r="H4" s="9"/>
      <c r="I4" s="9"/>
      <c r="J4" s="9"/>
      <c r="L4" s="4"/>
    </row>
    <row r="5" spans="2:14" x14ac:dyDescent="0.3">
      <c r="B5" s="8"/>
      <c r="C5" s="355" t="s">
        <v>229</v>
      </c>
      <c r="D5" s="667" t="s">
        <v>6</v>
      </c>
      <c r="E5" s="667"/>
      <c r="F5" s="667"/>
      <c r="G5" s="667"/>
      <c r="H5" s="667"/>
      <c r="I5" s="657" t="s">
        <v>230</v>
      </c>
      <c r="J5" s="657"/>
      <c r="K5" s="657"/>
      <c r="L5" s="4"/>
    </row>
    <row r="6" spans="2:14" x14ac:dyDescent="0.3">
      <c r="B6" s="276">
        <v>1</v>
      </c>
      <c r="C6" s="356" t="s">
        <v>231</v>
      </c>
      <c r="D6" s="668">
        <v>5.62E-2</v>
      </c>
      <c r="E6" s="669"/>
      <c r="F6" s="669"/>
      <c r="G6" s="669"/>
      <c r="H6" s="670"/>
      <c r="I6" s="658" t="s">
        <v>232</v>
      </c>
      <c r="J6" s="659"/>
      <c r="K6" s="660"/>
      <c r="L6" s="4"/>
      <c r="N6" s="336">
        <f>IF(ISBLANK(Discount_Rate),1,0)</f>
        <v>0</v>
      </c>
    </row>
    <row r="7" spans="2:14" x14ac:dyDescent="0.3">
      <c r="B7" s="276">
        <f>B6+1</f>
        <v>2</v>
      </c>
      <c r="C7" s="357" t="s">
        <v>233</v>
      </c>
      <c r="D7" s="668">
        <v>2.0400000000000001E-2</v>
      </c>
      <c r="E7" s="669"/>
      <c r="F7" s="669"/>
      <c r="G7" s="669"/>
      <c r="H7" s="670"/>
      <c r="I7" s="658" t="s">
        <v>234</v>
      </c>
      <c r="J7" s="659"/>
      <c r="K7" s="660"/>
      <c r="L7" s="4"/>
    </row>
    <row r="8" spans="2:14" x14ac:dyDescent="0.3">
      <c r="B8" s="276">
        <f>B7+1</f>
        <v>3</v>
      </c>
      <c r="C8" s="358" t="s">
        <v>235</v>
      </c>
      <c r="D8" s="664">
        <v>3.5000000000000003E-2</v>
      </c>
      <c r="E8" s="665"/>
      <c r="F8" s="665"/>
      <c r="G8" s="665"/>
      <c r="H8" s="666"/>
      <c r="I8" s="658"/>
      <c r="J8" s="659"/>
      <c r="K8" s="660"/>
      <c r="L8" s="4"/>
    </row>
    <row r="9" spans="2:14" x14ac:dyDescent="0.3">
      <c r="B9" s="3"/>
      <c r="C9" s="277"/>
      <c r="L9" s="4"/>
    </row>
    <row r="10" spans="2:14" ht="15.5" x14ac:dyDescent="0.35">
      <c r="B10" s="378" t="s">
        <v>236</v>
      </c>
      <c r="C10" s="277"/>
      <c r="L10" s="4"/>
    </row>
    <row r="11" spans="2:14" x14ac:dyDescent="0.3">
      <c r="B11" s="3"/>
      <c r="C11" s="355" t="s">
        <v>237</v>
      </c>
      <c r="D11" s="433" t="s">
        <v>238</v>
      </c>
      <c r="E11" s="433" t="s">
        <v>239</v>
      </c>
      <c r="F11" s="433" t="s">
        <v>240</v>
      </c>
      <c r="G11" s="433" t="s">
        <v>241</v>
      </c>
      <c r="H11" s="433" t="s">
        <v>242</v>
      </c>
      <c r="I11" s="657" t="s">
        <v>230</v>
      </c>
      <c r="J11" s="657"/>
      <c r="K11" s="657"/>
      <c r="L11" s="4"/>
    </row>
    <row r="12" spans="2:14" x14ac:dyDescent="0.3">
      <c r="B12" s="276">
        <f>B8+1</f>
        <v>4</v>
      </c>
      <c r="C12" s="356" t="s">
        <v>243</v>
      </c>
      <c r="D12" s="361" t="s">
        <v>244</v>
      </c>
      <c r="E12" s="361"/>
      <c r="F12" s="361"/>
      <c r="G12" s="361"/>
      <c r="H12" s="361"/>
      <c r="I12" s="658" t="s">
        <v>73</v>
      </c>
      <c r="J12" s="659"/>
      <c r="K12" s="660"/>
      <c r="L12" s="4"/>
    </row>
    <row r="13" spans="2:14" x14ac:dyDescent="0.3">
      <c r="B13" s="276">
        <f>B12+1</f>
        <v>5</v>
      </c>
      <c r="C13" s="357" t="s">
        <v>245</v>
      </c>
      <c r="D13" s="359"/>
      <c r="E13" s="359"/>
      <c r="F13" s="359"/>
      <c r="G13" s="359"/>
      <c r="H13" s="359"/>
      <c r="I13" s="658"/>
      <c r="J13" s="659"/>
      <c r="K13" s="660"/>
      <c r="L13" s="4"/>
    </row>
    <row r="14" spans="2:14" x14ac:dyDescent="0.3">
      <c r="B14" s="276">
        <f t="shared" ref="B14:B21" si="0">B13+1</f>
        <v>6</v>
      </c>
      <c r="C14" s="357" t="s">
        <v>246</v>
      </c>
      <c r="D14" s="360"/>
      <c r="E14" s="360"/>
      <c r="F14" s="360"/>
      <c r="G14" s="360"/>
      <c r="H14" s="360"/>
      <c r="I14" s="658"/>
      <c r="J14" s="659"/>
      <c r="K14" s="660"/>
      <c r="L14" s="4"/>
    </row>
    <row r="15" spans="2:14" x14ac:dyDescent="0.3">
      <c r="B15" s="276">
        <f t="shared" si="0"/>
        <v>7</v>
      </c>
      <c r="C15" s="357" t="s">
        <v>247</v>
      </c>
      <c r="D15" s="654"/>
      <c r="E15" s="655"/>
      <c r="F15" s="655"/>
      <c r="G15" s="655"/>
      <c r="H15" s="656"/>
      <c r="I15" s="658"/>
      <c r="J15" s="659"/>
      <c r="K15" s="660"/>
      <c r="L15" s="4"/>
    </row>
    <row r="16" spans="2:14" x14ac:dyDescent="0.3">
      <c r="B16" s="276">
        <f t="shared" si="0"/>
        <v>8</v>
      </c>
      <c r="C16" s="357" t="s">
        <v>248</v>
      </c>
      <c r="D16" s="654"/>
      <c r="E16" s="655"/>
      <c r="F16" s="655"/>
      <c r="G16" s="655"/>
      <c r="H16" s="656"/>
      <c r="I16" s="658"/>
      <c r="J16" s="659"/>
      <c r="K16" s="660"/>
      <c r="L16" s="4"/>
    </row>
    <row r="17" spans="2:12" x14ac:dyDescent="0.3">
      <c r="B17" s="276">
        <f t="shared" si="0"/>
        <v>9</v>
      </c>
      <c r="C17" s="357" t="s">
        <v>249</v>
      </c>
      <c r="D17" s="654"/>
      <c r="E17" s="655"/>
      <c r="F17" s="655"/>
      <c r="G17" s="655"/>
      <c r="H17" s="656"/>
      <c r="I17" s="658"/>
      <c r="J17" s="659"/>
      <c r="K17" s="660"/>
      <c r="L17" s="4"/>
    </row>
    <row r="18" spans="2:12" x14ac:dyDescent="0.3">
      <c r="B18" s="276">
        <f t="shared" si="0"/>
        <v>10</v>
      </c>
      <c r="C18" s="431" t="s">
        <v>250</v>
      </c>
      <c r="D18" s="359" t="s">
        <v>251</v>
      </c>
      <c r="E18" s="360"/>
      <c r="F18" s="360"/>
      <c r="G18" s="360"/>
      <c r="H18" s="360"/>
      <c r="I18" s="658" t="s">
        <v>73</v>
      </c>
      <c r="J18" s="659"/>
      <c r="K18" s="660"/>
      <c r="L18" s="4"/>
    </row>
    <row r="19" spans="2:12" x14ac:dyDescent="0.3">
      <c r="B19" s="276">
        <f t="shared" si="0"/>
        <v>11</v>
      </c>
      <c r="C19" s="431" t="s">
        <v>250</v>
      </c>
      <c r="D19" s="359" t="s">
        <v>252</v>
      </c>
      <c r="E19" s="360"/>
      <c r="F19" s="360"/>
      <c r="G19" s="360"/>
      <c r="H19" s="360"/>
      <c r="I19" s="658" t="s">
        <v>253</v>
      </c>
      <c r="J19" s="659"/>
      <c r="K19" s="660"/>
      <c r="L19" s="4"/>
    </row>
    <row r="20" spans="2:12" x14ac:dyDescent="0.3">
      <c r="B20" s="276">
        <f t="shared" si="0"/>
        <v>12</v>
      </c>
      <c r="C20" s="431" t="s">
        <v>250</v>
      </c>
      <c r="D20" s="359" t="s">
        <v>254</v>
      </c>
      <c r="E20" s="360"/>
      <c r="F20" s="360"/>
      <c r="G20" s="360"/>
      <c r="H20" s="360"/>
      <c r="I20" s="658" t="s">
        <v>253</v>
      </c>
      <c r="J20" s="659"/>
      <c r="K20" s="660"/>
      <c r="L20" s="4"/>
    </row>
    <row r="21" spans="2:12" x14ac:dyDescent="0.3">
      <c r="B21" s="276">
        <f t="shared" si="0"/>
        <v>13</v>
      </c>
      <c r="C21" s="432" t="s">
        <v>250</v>
      </c>
      <c r="D21" s="359"/>
      <c r="E21" s="360"/>
      <c r="F21" s="360"/>
      <c r="G21" s="360"/>
      <c r="H21" s="360"/>
      <c r="I21" s="658"/>
      <c r="J21" s="659"/>
      <c r="K21" s="660"/>
      <c r="L21" s="4"/>
    </row>
    <row r="22" spans="2:12" x14ac:dyDescent="0.3">
      <c r="B22" s="3"/>
      <c r="C22" s="355" t="s">
        <v>255</v>
      </c>
      <c r="D22" s="365" t="s">
        <v>238</v>
      </c>
      <c r="E22" s="365" t="s">
        <v>239</v>
      </c>
      <c r="F22" s="365" t="s">
        <v>240</v>
      </c>
      <c r="G22" s="365" t="s">
        <v>241</v>
      </c>
      <c r="H22" s="365" t="s">
        <v>242</v>
      </c>
      <c r="I22" s="657" t="s">
        <v>230</v>
      </c>
      <c r="J22" s="657"/>
      <c r="K22" s="657"/>
      <c r="L22" s="4"/>
    </row>
    <row r="23" spans="2:12" x14ac:dyDescent="0.3">
      <c r="B23" s="276">
        <f>B21+1</f>
        <v>14</v>
      </c>
      <c r="C23" s="356" t="s">
        <v>256</v>
      </c>
      <c r="D23" s="359"/>
      <c r="E23" s="360"/>
      <c r="F23" s="360"/>
      <c r="G23" s="360"/>
      <c r="H23" s="360"/>
      <c r="I23" s="658"/>
      <c r="J23" s="659"/>
      <c r="K23" s="660"/>
      <c r="L23" s="4"/>
    </row>
    <row r="24" spans="2:12" x14ac:dyDescent="0.3">
      <c r="B24" s="276">
        <f>B23+1</f>
        <v>15</v>
      </c>
      <c r="C24" s="357" t="s">
        <v>257</v>
      </c>
      <c r="D24" s="654"/>
      <c r="E24" s="655"/>
      <c r="F24" s="655"/>
      <c r="G24" s="655"/>
      <c r="H24" s="656"/>
      <c r="I24" s="658"/>
      <c r="J24" s="659"/>
      <c r="K24" s="660"/>
      <c r="L24" s="4"/>
    </row>
    <row r="25" spans="2:12" x14ac:dyDescent="0.3">
      <c r="B25" s="276">
        <f t="shared" ref="B25:B33" si="1">B24+1</f>
        <v>16</v>
      </c>
      <c r="C25" s="357" t="s">
        <v>258</v>
      </c>
      <c r="D25" s="654"/>
      <c r="E25" s="655"/>
      <c r="F25" s="655"/>
      <c r="G25" s="655"/>
      <c r="H25" s="656"/>
      <c r="I25" s="658"/>
      <c r="J25" s="659"/>
      <c r="K25" s="660"/>
      <c r="L25" s="4"/>
    </row>
    <row r="26" spans="2:12" x14ac:dyDescent="0.3">
      <c r="B26" s="276">
        <f t="shared" si="1"/>
        <v>17</v>
      </c>
      <c r="C26" s="357" t="s">
        <v>259</v>
      </c>
      <c r="D26" s="654"/>
      <c r="E26" s="655"/>
      <c r="F26" s="655"/>
      <c r="G26" s="655"/>
      <c r="H26" s="656"/>
      <c r="I26" s="658"/>
      <c r="J26" s="659"/>
      <c r="K26" s="660"/>
      <c r="L26" s="4"/>
    </row>
    <row r="27" spans="2:12" x14ac:dyDescent="0.3">
      <c r="B27" s="276">
        <f t="shared" si="1"/>
        <v>18</v>
      </c>
      <c r="C27" s="357" t="s">
        <v>260</v>
      </c>
      <c r="D27" s="654"/>
      <c r="E27" s="655"/>
      <c r="F27" s="655"/>
      <c r="G27" s="655"/>
      <c r="H27" s="656"/>
      <c r="I27" s="658"/>
      <c r="J27" s="659"/>
      <c r="K27" s="660"/>
      <c r="L27" s="4"/>
    </row>
    <row r="28" spans="2:12" x14ac:dyDescent="0.3">
      <c r="B28" s="276">
        <f t="shared" si="1"/>
        <v>19</v>
      </c>
      <c r="C28" s="357" t="s">
        <v>261</v>
      </c>
      <c r="D28" s="654"/>
      <c r="E28" s="655"/>
      <c r="F28" s="655"/>
      <c r="G28" s="655"/>
      <c r="H28" s="656"/>
      <c r="I28" s="658"/>
      <c r="J28" s="659"/>
      <c r="K28" s="660"/>
      <c r="L28" s="4"/>
    </row>
    <row r="29" spans="2:12" x14ac:dyDescent="0.3">
      <c r="B29" s="276">
        <f t="shared" si="1"/>
        <v>20</v>
      </c>
      <c r="C29" s="357" t="s">
        <v>262</v>
      </c>
      <c r="D29" s="654"/>
      <c r="E29" s="655"/>
      <c r="F29" s="655"/>
      <c r="G29" s="655"/>
      <c r="H29" s="656"/>
      <c r="I29" s="658"/>
      <c r="J29" s="659"/>
      <c r="K29" s="660"/>
      <c r="L29" s="4"/>
    </row>
    <row r="30" spans="2:12" x14ac:dyDescent="0.3">
      <c r="B30" s="276">
        <f t="shared" si="1"/>
        <v>21</v>
      </c>
      <c r="C30" s="357" t="s">
        <v>263</v>
      </c>
      <c r="D30" s="654"/>
      <c r="E30" s="655"/>
      <c r="F30" s="655"/>
      <c r="G30" s="655"/>
      <c r="H30" s="656"/>
      <c r="I30" s="658"/>
      <c r="J30" s="659"/>
      <c r="K30" s="660"/>
      <c r="L30" s="4"/>
    </row>
    <row r="31" spans="2:12" x14ac:dyDescent="0.3">
      <c r="B31" s="276">
        <f t="shared" si="1"/>
        <v>22</v>
      </c>
      <c r="C31" s="357" t="s">
        <v>264</v>
      </c>
      <c r="D31" s="654"/>
      <c r="E31" s="655"/>
      <c r="F31" s="655"/>
      <c r="G31" s="655"/>
      <c r="H31" s="656"/>
      <c r="I31" s="362"/>
      <c r="J31" s="363"/>
      <c r="K31" s="364"/>
      <c r="L31" s="4"/>
    </row>
    <row r="32" spans="2:12" x14ac:dyDescent="0.3">
      <c r="B32" s="276">
        <f t="shared" si="1"/>
        <v>23</v>
      </c>
      <c r="C32" s="357" t="s">
        <v>265</v>
      </c>
      <c r="D32" s="359"/>
      <c r="E32" s="360"/>
      <c r="F32" s="360"/>
      <c r="G32" s="360"/>
      <c r="H32" s="360"/>
      <c r="I32" s="658"/>
      <c r="J32" s="659"/>
      <c r="K32" s="660"/>
      <c r="L32" s="4"/>
    </row>
    <row r="33" spans="2:12" x14ac:dyDescent="0.3">
      <c r="B33" s="276">
        <f t="shared" si="1"/>
        <v>24</v>
      </c>
      <c r="C33" s="358" t="s">
        <v>266</v>
      </c>
      <c r="D33" s="359"/>
      <c r="E33" s="360"/>
      <c r="F33" s="360"/>
      <c r="G33" s="360"/>
      <c r="H33" s="360"/>
      <c r="I33" s="658"/>
      <c r="J33" s="659"/>
      <c r="K33" s="660"/>
      <c r="L33" s="4"/>
    </row>
    <row r="34" spans="2:12" x14ac:dyDescent="0.3">
      <c r="B34" s="3"/>
      <c r="C34" s="355" t="s">
        <v>267</v>
      </c>
      <c r="D34" s="365" t="s">
        <v>238</v>
      </c>
      <c r="E34" s="365" t="s">
        <v>239</v>
      </c>
      <c r="F34" s="365" t="s">
        <v>240</v>
      </c>
      <c r="G34" s="365" t="s">
        <v>241</v>
      </c>
      <c r="H34" s="365" t="s">
        <v>242</v>
      </c>
      <c r="I34" s="657" t="s">
        <v>230</v>
      </c>
      <c r="J34" s="657"/>
      <c r="K34" s="657"/>
      <c r="L34" s="4"/>
    </row>
    <row r="35" spans="2:12" ht="12.75" customHeight="1" x14ac:dyDescent="0.3">
      <c r="B35" s="276">
        <f>B33+1</f>
        <v>25</v>
      </c>
      <c r="C35" s="356" t="s">
        <v>268</v>
      </c>
      <c r="D35" s="651" t="s">
        <v>269</v>
      </c>
      <c r="E35" s="652"/>
      <c r="F35" s="652"/>
      <c r="G35" s="652"/>
      <c r="H35" s="653"/>
      <c r="I35" s="648" t="s">
        <v>270</v>
      </c>
      <c r="J35" s="649"/>
      <c r="K35" s="650"/>
      <c r="L35" s="4"/>
    </row>
    <row r="36" spans="2:12" x14ac:dyDescent="0.3">
      <c r="B36" s="276">
        <f>B35+1</f>
        <v>26</v>
      </c>
      <c r="C36" s="357" t="s">
        <v>271</v>
      </c>
      <c r="D36" s="651"/>
      <c r="E36" s="652"/>
      <c r="F36" s="652"/>
      <c r="G36" s="652"/>
      <c r="H36" s="653"/>
      <c r="I36" s="648"/>
      <c r="J36" s="649"/>
      <c r="K36" s="650"/>
      <c r="L36" s="4"/>
    </row>
    <row r="37" spans="2:12" x14ac:dyDescent="0.3">
      <c r="B37" s="276">
        <f t="shared" ref="B37:B41" si="2">B36+1</f>
        <v>27</v>
      </c>
      <c r="C37" s="357" t="s">
        <v>272</v>
      </c>
      <c r="D37" s="651" t="s">
        <v>106</v>
      </c>
      <c r="E37" s="652"/>
      <c r="F37" s="652"/>
      <c r="G37" s="652"/>
      <c r="H37" s="653"/>
      <c r="I37" s="648"/>
      <c r="J37" s="649"/>
      <c r="K37" s="650"/>
      <c r="L37" s="4"/>
    </row>
    <row r="38" spans="2:12" ht="12.75" customHeight="1" x14ac:dyDescent="0.3">
      <c r="B38" s="276">
        <f t="shared" si="2"/>
        <v>28</v>
      </c>
      <c r="C38" s="357" t="s">
        <v>273</v>
      </c>
      <c r="D38" s="651" t="s">
        <v>711</v>
      </c>
      <c r="E38" s="652"/>
      <c r="F38" s="652"/>
      <c r="G38" s="652"/>
      <c r="H38" s="653"/>
      <c r="I38" s="648" t="s">
        <v>712</v>
      </c>
      <c r="J38" s="649"/>
      <c r="K38" s="650"/>
      <c r="L38" s="4"/>
    </row>
    <row r="39" spans="2:12" x14ac:dyDescent="0.3">
      <c r="B39" s="276">
        <f t="shared" si="2"/>
        <v>29</v>
      </c>
      <c r="C39" s="357" t="s">
        <v>274</v>
      </c>
      <c r="D39" s="651"/>
      <c r="E39" s="652"/>
      <c r="F39" s="652"/>
      <c r="G39" s="652"/>
      <c r="H39" s="653"/>
      <c r="I39" s="648"/>
      <c r="J39" s="649"/>
      <c r="K39" s="650"/>
      <c r="L39" s="4"/>
    </row>
    <row r="40" spans="2:12" ht="12.75" customHeight="1" x14ac:dyDescent="0.3">
      <c r="B40" s="276">
        <f t="shared" si="2"/>
        <v>30</v>
      </c>
      <c r="C40" s="357" t="s">
        <v>275</v>
      </c>
      <c r="D40" s="651" t="s">
        <v>276</v>
      </c>
      <c r="E40" s="652"/>
      <c r="F40" s="652"/>
      <c r="G40" s="652"/>
      <c r="H40" s="653"/>
      <c r="I40" s="648" t="s">
        <v>277</v>
      </c>
      <c r="J40" s="649"/>
      <c r="K40" s="650"/>
      <c r="L40" s="4"/>
    </row>
    <row r="41" spans="2:12" ht="12.75" customHeight="1" x14ac:dyDescent="0.3">
      <c r="B41" s="276">
        <f t="shared" si="2"/>
        <v>31</v>
      </c>
      <c r="C41" s="358" t="s">
        <v>278</v>
      </c>
      <c r="D41" s="651" t="s">
        <v>279</v>
      </c>
      <c r="E41" s="652"/>
      <c r="F41" s="652"/>
      <c r="G41" s="652"/>
      <c r="H41" s="653"/>
      <c r="I41" s="648" t="s">
        <v>277</v>
      </c>
      <c r="J41" s="649"/>
      <c r="K41" s="650"/>
      <c r="L41" s="4"/>
    </row>
    <row r="42" spans="2:12" x14ac:dyDescent="0.3">
      <c r="B42" s="5"/>
      <c r="C42" s="6"/>
      <c r="D42" s="6"/>
      <c r="E42" s="6"/>
      <c r="F42" s="6"/>
      <c r="G42" s="6"/>
      <c r="H42" s="6"/>
      <c r="I42" s="6"/>
      <c r="J42" s="6"/>
      <c r="K42" s="6"/>
      <c r="L42" s="7"/>
    </row>
    <row r="43" spans="2:12" ht="15.5" x14ac:dyDescent="0.35">
      <c r="C43" s="289" t="s">
        <v>280</v>
      </c>
    </row>
    <row r="44" spans="2:12" x14ac:dyDescent="0.3">
      <c r="C44" s="284">
        <v>1</v>
      </c>
      <c r="D44" s="2" t="s">
        <v>281</v>
      </c>
    </row>
    <row r="45" spans="2:12" x14ac:dyDescent="0.3">
      <c r="C45" s="284">
        <v>2</v>
      </c>
      <c r="D45" s="2" t="s">
        <v>282</v>
      </c>
    </row>
    <row r="46" spans="2:12" x14ac:dyDescent="0.3">
      <c r="C46" s="284">
        <v>3</v>
      </c>
      <c r="D46" s="2" t="s">
        <v>283</v>
      </c>
    </row>
  </sheetData>
  <mergeCells count="57">
    <mergeCell ref="B2:L2"/>
    <mergeCell ref="D8:H8"/>
    <mergeCell ref="I6:K6"/>
    <mergeCell ref="I7:K7"/>
    <mergeCell ref="I8:K8"/>
    <mergeCell ref="D5:H5"/>
    <mergeCell ref="I5:K5"/>
    <mergeCell ref="D6:H6"/>
    <mergeCell ref="D7:H7"/>
    <mergeCell ref="D15:H15"/>
    <mergeCell ref="D16:H16"/>
    <mergeCell ref="D17:H17"/>
    <mergeCell ref="I11:K11"/>
    <mergeCell ref="I12:K12"/>
    <mergeCell ref="I13:K13"/>
    <mergeCell ref="I14:K14"/>
    <mergeCell ref="I15:K15"/>
    <mergeCell ref="I16:K16"/>
    <mergeCell ref="I17:K17"/>
    <mergeCell ref="I18:K18"/>
    <mergeCell ref="I19:K19"/>
    <mergeCell ref="I20:K20"/>
    <mergeCell ref="I21:K21"/>
    <mergeCell ref="D24:H24"/>
    <mergeCell ref="D25:H25"/>
    <mergeCell ref="D26:H26"/>
    <mergeCell ref="D27:H27"/>
    <mergeCell ref="D28:H28"/>
    <mergeCell ref="D29:H29"/>
    <mergeCell ref="D35:H35"/>
    <mergeCell ref="D36:H36"/>
    <mergeCell ref="D30:H30"/>
    <mergeCell ref="I22:K22"/>
    <mergeCell ref="I34:K34"/>
    <mergeCell ref="I23:K23"/>
    <mergeCell ref="I24:K24"/>
    <mergeCell ref="I25:K25"/>
    <mergeCell ref="I26:K26"/>
    <mergeCell ref="I27:K27"/>
    <mergeCell ref="I28:K28"/>
    <mergeCell ref="I29:K29"/>
    <mergeCell ref="I30:K30"/>
    <mergeCell ref="I32:K32"/>
    <mergeCell ref="I33:K33"/>
    <mergeCell ref="D31:H31"/>
    <mergeCell ref="D37:H37"/>
    <mergeCell ref="D38:H38"/>
    <mergeCell ref="D39:H39"/>
    <mergeCell ref="D40:H40"/>
    <mergeCell ref="D41:H41"/>
    <mergeCell ref="I40:K40"/>
    <mergeCell ref="I41:K41"/>
    <mergeCell ref="I35:K35"/>
    <mergeCell ref="I36:K36"/>
    <mergeCell ref="I37:K37"/>
    <mergeCell ref="I38:K38"/>
    <mergeCell ref="I39:K39"/>
  </mergeCells>
  <dataValidations count="27">
    <dataValidation allowBlank="1" showInputMessage="1" showErrorMessage="1" prompt="The value employed to discount future nominal (inflated) benefits and costs.   " sqref="D6:H6" xr:uid="{00000000-0002-0000-1100-000000000000}"/>
    <dataValidation allowBlank="1" showInputMessage="1" showErrorMessage="1" prompt="The value employed to discount future real (deflated) benefits and costs [=(1+Nominal DR)/(1+Inflation Rate)-1].  " sqref="D8:H8" xr:uid="{00000000-0002-0000-1100-000001000000}"/>
    <dataValidation allowBlank="1" showInputMessage="1" showErrorMessage="1" prompt="First year avoided energy costs for gas utilities._x000a__x000a_First year marginal fuel cost embedded in the avoided energy cost for electric utilities." sqref="D12" xr:uid="{00000000-0002-0000-1100-000002000000}"/>
    <dataValidation allowBlank="1" showInputMessage="1" showErrorMessage="1" prompt="First year on-peak avoided energy cost." sqref="D13" xr:uid="{00000000-0002-0000-1100-000003000000}"/>
    <dataValidation allowBlank="1" showInputMessage="1" showErrorMessage="1" prompt="First year off-peak avoided energy cost." sqref="D14" xr:uid="{00000000-0002-0000-1100-000004000000}"/>
    <dataValidation allowBlank="1" showInputMessage="1" showErrorMessage="1" prompt="Cost of avoided carbon in first year." sqref="D15:H15" xr:uid="{00000000-0002-0000-1100-000005000000}"/>
    <dataValidation allowBlank="1" showInputMessage="1" showErrorMessage="1" prompt="Beginning year for period in which avoided cost of carbon &gt; 0." sqref="D16:H16" xr:uid="{00000000-0002-0000-1100-000006000000}"/>
    <dataValidation allowBlank="1" showInputMessage="1" showErrorMessage="1" prompt="Ending year for avoided cost of carbon." sqref="D17:H17" xr:uid="{00000000-0002-0000-1100-000007000000}"/>
    <dataValidation allowBlank="1" showInputMessage="1" showErrorMessage="1" prompt="By customer class, primary/secondary service, energy/demand, ect." sqref="D18:D21" xr:uid="{00000000-0002-0000-1100-000008000000}"/>
    <dataValidation allowBlank="1" showInputMessage="1" showErrorMessage="1" prompt="Total installed cost of proxy unit. " sqref="D23" xr:uid="{00000000-0002-0000-1100-000009000000}"/>
    <dataValidation allowBlank="1" showInputMessage="1" showErrorMessage="1" prompt="In-service date of proxy unit." sqref="D24:H24" xr:uid="{00000000-0002-0000-1100-00000A000000}"/>
    <dataValidation allowBlank="1" showInputMessage="1" showErrorMessage="1" prompt="Real Economic Carrying Charge (RECC) of proxy unit. " sqref="D25:H25" xr:uid="{00000000-0002-0000-1100-00000B000000}"/>
    <dataValidation allowBlank="1" showInputMessage="1" showErrorMessage="1" prompt="Beginning year for period in which RECC &gt; 0." sqref="D26:H26" xr:uid="{00000000-0002-0000-1100-00000C000000}"/>
    <dataValidation allowBlank="1" showInputMessage="1" showErrorMessage="1" prompt="Ending year for RECC." sqref="D27:H27" xr:uid="{00000000-0002-0000-1100-00000D000000}"/>
    <dataValidation allowBlank="1" showInputMessage="1" showErrorMessage="1" prompt="Wholesale market price of capacity used to calculate avoided capacity cost. " sqref="D28:H28" xr:uid="{00000000-0002-0000-1100-00000E000000}"/>
    <dataValidation allowBlank="1" showInputMessage="1" showErrorMessage="1" prompt="Beginning year for period in which market price &gt; 0." sqref="D29:H29" xr:uid="{00000000-0002-0000-1100-00000F000000}"/>
    <dataValidation allowBlank="1" showInputMessage="1" showErrorMessage="1" prompt="Ending year for market price." sqref="D30:H30" xr:uid="{00000000-0002-0000-1100-000010000000}"/>
    <dataValidation allowBlank="1" showInputMessage="1" showErrorMessage="1" prompt="Capacity reserve margin" sqref="D31:H31" xr:uid="{00000000-0002-0000-1100-000011000000}"/>
    <dataValidation allowBlank="1" showInputMessage="1" showErrorMessage="1" prompt="Avoided cost of distribution capacity." sqref="D32" xr:uid="{00000000-0002-0000-1100-000012000000}"/>
    <dataValidation allowBlank="1" showInputMessage="1" showErrorMessage="1" prompt="Avoided cost of transmission cpacity." sqref="D33" xr:uid="{00000000-0002-0000-1100-000013000000}"/>
    <dataValidation allowBlank="1" showInputMessage="1" showErrorMessage="1" prompt="Other fuel (electric) avoided cost." sqref="D35:H35" xr:uid="{00000000-0002-0000-1100-000014000000}"/>
    <dataValidation allowBlank="1" showInputMessage="1" showErrorMessage="1" prompt="Other fuel (natural gas) avoided cost." sqref="D36:H36" xr:uid="{00000000-0002-0000-1100-000015000000}"/>
    <dataValidation allowBlank="1" showInputMessage="1" showErrorMessage="1" prompt="Other fuel (liquid propane) avoided cost." sqref="D37:H37" xr:uid="{00000000-0002-0000-1100-000016000000}"/>
    <dataValidation allowBlank="1" showInputMessage="1" showErrorMessage="1" prompt="Avoided water cost." sqref="D38:H38" xr:uid="{00000000-0002-0000-1100-000017000000}"/>
    <dataValidation allowBlank="1" showInputMessage="1" showErrorMessage="1" prompt="Avoided waste water (sewerage) cost." sqref="D39:H39" xr:uid="{00000000-0002-0000-1100-000018000000}"/>
    <dataValidation allowBlank="1" showInputMessage="1" showErrorMessage="1" prompt="Present value avoided  replacement cost. [Reference NEBs tab.]" sqref="D40:H40" xr:uid="{00000000-0002-0000-1100-000019000000}"/>
    <dataValidation allowBlank="1" showInputMessage="1" showErrorMessage="1" prompt="Present value deferred replacement cost. [Reference NEBs tab.]" sqref="D41:H41" xr:uid="{00000000-0002-0000-1100-00001A000000}"/>
  </dataValidations>
  <pageMargins left="0.25" right="0.25" top="0.5" bottom="0.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B1:R37"/>
  <sheetViews>
    <sheetView showGridLines="0" zoomScale="110" zoomScaleNormal="110" workbookViewId="0">
      <pane ySplit="3" topLeftCell="A4" activePane="bottomLeft" state="frozen"/>
      <selection activeCell="F6" sqref="F6"/>
      <selection pane="bottomLeft" activeCell="F6" sqref="F6"/>
    </sheetView>
  </sheetViews>
  <sheetFormatPr defaultRowHeight="12.5" x14ac:dyDescent="0.25"/>
  <cols>
    <col min="1" max="1" width="1" customWidth="1"/>
    <col min="2" max="2" width="4.1796875" customWidth="1"/>
    <col min="3" max="3" width="36.26953125" bestFit="1" customWidth="1"/>
    <col min="4" max="11" width="10.7265625" customWidth="1"/>
    <col min="12" max="12" width="10.453125" bestFit="1" customWidth="1"/>
    <col min="13" max="13" width="11" bestFit="1" customWidth="1"/>
    <col min="14" max="14" width="10" bestFit="1" customWidth="1"/>
    <col min="15" max="15" width="9.1796875" customWidth="1"/>
    <col min="16" max="16" width="13.1796875" customWidth="1"/>
  </cols>
  <sheetData>
    <row r="1" spans="2:18" ht="4.5" customHeight="1" thickBot="1" x14ac:dyDescent="0.3"/>
    <row r="2" spans="2:18" ht="38.25" customHeight="1" x14ac:dyDescent="0.25">
      <c r="B2" s="674" t="s">
        <v>267</v>
      </c>
      <c r="C2" s="674"/>
      <c r="D2" s="674"/>
      <c r="E2" s="674"/>
      <c r="F2" s="674"/>
      <c r="G2" s="674"/>
      <c r="H2" s="674"/>
      <c r="I2" s="674"/>
      <c r="J2" s="674"/>
      <c r="K2" s="674"/>
      <c r="L2" s="674"/>
      <c r="M2" s="674"/>
      <c r="N2" s="674"/>
      <c r="O2" s="674"/>
    </row>
    <row r="3" spans="2:18" ht="33.75" customHeight="1" x14ac:dyDescent="0.25">
      <c r="B3" s="366"/>
      <c r="C3" s="367"/>
      <c r="D3" s="367"/>
      <c r="E3" s="367"/>
      <c r="F3" s="367"/>
      <c r="G3" s="367"/>
      <c r="H3" s="367"/>
      <c r="I3" s="367"/>
      <c r="J3" s="367"/>
      <c r="K3" s="367"/>
      <c r="L3" s="367"/>
      <c r="M3" s="367"/>
      <c r="N3" s="367"/>
      <c r="O3" s="368"/>
    </row>
    <row r="4" spans="2:18" ht="13" thickBot="1" x14ac:dyDescent="0.3">
      <c r="B4" s="366"/>
      <c r="C4" s="367"/>
      <c r="D4" s="367"/>
      <c r="E4" s="367"/>
      <c r="F4" s="367"/>
      <c r="G4" s="367"/>
      <c r="H4" s="367"/>
      <c r="I4" s="367"/>
      <c r="J4" s="367"/>
      <c r="K4" s="367"/>
      <c r="L4" s="367"/>
      <c r="M4" s="367"/>
      <c r="N4" s="367"/>
      <c r="O4" s="368"/>
    </row>
    <row r="5" spans="2:18" ht="12.75" customHeight="1" x14ac:dyDescent="0.3">
      <c r="B5" s="8"/>
      <c r="D5" s="675" t="s">
        <v>284</v>
      </c>
      <c r="E5" s="676"/>
      <c r="F5" s="672" t="s">
        <v>285</v>
      </c>
      <c r="G5" s="673"/>
      <c r="H5" s="675" t="s">
        <v>286</v>
      </c>
      <c r="I5" s="676"/>
      <c r="J5" s="675" t="s">
        <v>287</v>
      </c>
      <c r="K5" s="676"/>
      <c r="L5" s="675" t="s">
        <v>288</v>
      </c>
      <c r="M5" s="676"/>
      <c r="N5" s="675" t="s">
        <v>289</v>
      </c>
      <c r="O5" s="676"/>
      <c r="P5" s="671" t="s">
        <v>290</v>
      </c>
      <c r="Q5" s="19"/>
    </row>
    <row r="6" spans="2:18" ht="26" x14ac:dyDescent="0.35">
      <c r="B6" s="8"/>
      <c r="C6" s="9" t="s">
        <v>85</v>
      </c>
      <c r="D6" s="369" t="s">
        <v>291</v>
      </c>
      <c r="E6" s="370" t="s">
        <v>292</v>
      </c>
      <c r="F6" s="369" t="s">
        <v>293</v>
      </c>
      <c r="G6" s="370" t="s">
        <v>292</v>
      </c>
      <c r="H6" s="369" t="s">
        <v>294</v>
      </c>
      <c r="I6" s="370" t="s">
        <v>292</v>
      </c>
      <c r="J6" s="369" t="s">
        <v>295</v>
      </c>
      <c r="K6" s="370" t="s">
        <v>292</v>
      </c>
      <c r="L6" s="369" t="s">
        <v>295</v>
      </c>
      <c r="M6" s="370" t="s">
        <v>292</v>
      </c>
      <c r="N6" s="369" t="s">
        <v>296</v>
      </c>
      <c r="O6" s="370" t="s">
        <v>297</v>
      </c>
      <c r="P6" s="671"/>
      <c r="Q6" s="19"/>
    </row>
    <row r="7" spans="2:18" ht="13" x14ac:dyDescent="0.3">
      <c r="B7" s="276">
        <v>1</v>
      </c>
      <c r="C7" s="277" t="str">
        <f>'Program Descriptions'!C5</f>
        <v>Commercial &amp; Industrial Solutions Program</v>
      </c>
      <c r="D7" s="582">
        <v>3127.75</v>
      </c>
      <c r="E7" s="580">
        <v>1245.3868738211963</v>
      </c>
      <c r="F7" s="583">
        <v>2.6770192307692309</v>
      </c>
      <c r="G7" s="580">
        <v>2614.5619626622715</v>
      </c>
      <c r="H7" s="582">
        <v>792444.55715097359</v>
      </c>
      <c r="I7" s="580">
        <v>2227204.1603380549</v>
      </c>
      <c r="J7" s="582">
        <v>0</v>
      </c>
      <c r="K7" s="580">
        <v>0</v>
      </c>
      <c r="L7" s="582">
        <v>1190420</v>
      </c>
      <c r="M7" s="580">
        <v>100567.72237960434</v>
      </c>
      <c r="N7" s="584">
        <v>1642.1457803777041</v>
      </c>
      <c r="O7" s="580">
        <v>0</v>
      </c>
      <c r="P7" s="373">
        <f>E7+G7+I7+K7+M7+O7</f>
        <v>2331631.8315541428</v>
      </c>
      <c r="Q7" s="19"/>
    </row>
    <row r="8" spans="2:18" ht="13" x14ac:dyDescent="0.3">
      <c r="B8" s="276">
        <f>B7+1</f>
        <v>2</v>
      </c>
      <c r="C8" s="277" t="str">
        <f>'Program Descriptions'!C6</f>
        <v>Energy Efficiency Arkansas</v>
      </c>
      <c r="D8" s="582">
        <v>0</v>
      </c>
      <c r="E8" s="580">
        <v>0</v>
      </c>
      <c r="F8" s="582">
        <v>0</v>
      </c>
      <c r="G8" s="580">
        <v>0</v>
      </c>
      <c r="H8" s="582">
        <v>0</v>
      </c>
      <c r="I8" s="580">
        <v>0</v>
      </c>
      <c r="J8" s="582">
        <v>0</v>
      </c>
      <c r="K8" s="580">
        <v>0</v>
      </c>
      <c r="L8" s="582">
        <v>0</v>
      </c>
      <c r="M8" s="580">
        <v>0</v>
      </c>
      <c r="N8" s="581">
        <v>0</v>
      </c>
      <c r="O8" s="580">
        <v>0</v>
      </c>
      <c r="P8" s="373">
        <f>E8+G8+I8+K8+M8+O8</f>
        <v>0</v>
      </c>
      <c r="R8" s="439"/>
    </row>
    <row r="9" spans="2:18" ht="13" x14ac:dyDescent="0.3">
      <c r="B9" s="276">
        <f t="shared" ref="B9:B26" si="0">B8+1</f>
        <v>3</v>
      </c>
      <c r="C9" s="277" t="str">
        <f>'Program Descriptions'!C7</f>
        <v>Residential Solution Program</v>
      </c>
      <c r="D9" s="582">
        <v>1465797.4052345301</v>
      </c>
      <c r="E9" s="580">
        <v>885245.89344967867</v>
      </c>
      <c r="F9" s="582">
        <v>731.03865096661411</v>
      </c>
      <c r="G9" s="580">
        <v>1043300.8655536876</v>
      </c>
      <c r="H9" s="582">
        <v>726433.75878215523</v>
      </c>
      <c r="I9" s="580">
        <v>3968599.7541320743</v>
      </c>
      <c r="J9" s="582">
        <v>0</v>
      </c>
      <c r="K9" s="580">
        <v>0</v>
      </c>
      <c r="L9" s="582">
        <v>0</v>
      </c>
      <c r="M9" s="580">
        <v>3074.7274700118387</v>
      </c>
      <c r="N9" s="581">
        <v>35723.495483101186</v>
      </c>
      <c r="O9" s="580">
        <v>184283.40577925893</v>
      </c>
      <c r="P9" s="373">
        <f>E9+G9+I9+K9+M9+O9</f>
        <v>6084504.6463847114</v>
      </c>
      <c r="R9" s="439"/>
    </row>
    <row r="10" spans="2:18" ht="13" x14ac:dyDescent="0.3">
      <c r="B10" s="276">
        <f t="shared" si="0"/>
        <v>4</v>
      </c>
      <c r="C10" s="277" t="str">
        <f>'Program Descriptions'!C8</f>
        <v>Income Qualified Program</v>
      </c>
      <c r="D10" s="582">
        <v>17223.442589412174</v>
      </c>
      <c r="E10" s="580">
        <v>10297.367358328254</v>
      </c>
      <c r="F10" s="582">
        <v>8.3616674818782606</v>
      </c>
      <c r="G10" s="580">
        <v>11737.81340420482</v>
      </c>
      <c r="H10" s="582">
        <v>24149.610055938458</v>
      </c>
      <c r="I10" s="580">
        <v>133563.18547323011</v>
      </c>
      <c r="J10" s="582">
        <v>0</v>
      </c>
      <c r="K10" s="580">
        <v>0</v>
      </c>
      <c r="L10" s="582">
        <v>34627.385163500003</v>
      </c>
      <c r="M10" s="580">
        <v>0</v>
      </c>
      <c r="N10" s="581">
        <v>0</v>
      </c>
      <c r="O10" s="580">
        <v>0</v>
      </c>
      <c r="P10" s="373">
        <f>E10+G10+I10+K10+M10+O10</f>
        <v>155598.36623576318</v>
      </c>
      <c r="R10" s="440"/>
    </row>
    <row r="11" spans="2:18" ht="13" x14ac:dyDescent="0.3">
      <c r="B11" s="276">
        <f t="shared" si="0"/>
        <v>5</v>
      </c>
      <c r="C11" s="277" t="str">
        <f>'Program Descriptions'!C9</f>
        <v>Empty</v>
      </c>
      <c r="D11" s="434"/>
      <c r="E11" s="371"/>
      <c r="F11" s="434"/>
      <c r="G11" s="371"/>
      <c r="H11" s="434"/>
      <c r="I11" s="371"/>
      <c r="J11" s="434"/>
      <c r="K11" s="371"/>
      <c r="L11" s="434"/>
      <c r="M11" s="371"/>
      <c r="N11" s="376"/>
      <c r="O11" s="371"/>
      <c r="P11" s="374">
        <f t="shared" ref="P11:P26" si="1">E11+G11+I11+K11+M11+O11</f>
        <v>0</v>
      </c>
      <c r="R11" s="441"/>
    </row>
    <row r="12" spans="2:18" ht="13" x14ac:dyDescent="0.3">
      <c r="B12" s="276">
        <f t="shared" si="0"/>
        <v>6</v>
      </c>
      <c r="C12" s="277" t="str">
        <f>'Program Descriptions'!C10</f>
        <v>Empty</v>
      </c>
      <c r="D12" s="434"/>
      <c r="E12" s="371"/>
      <c r="F12" s="434"/>
      <c r="G12" s="371"/>
      <c r="H12" s="434"/>
      <c r="I12" s="371"/>
      <c r="J12" s="434"/>
      <c r="K12" s="371"/>
      <c r="L12" s="434"/>
      <c r="M12" s="371"/>
      <c r="N12" s="376"/>
      <c r="O12" s="371"/>
      <c r="P12" s="374">
        <f t="shared" si="1"/>
        <v>0</v>
      </c>
      <c r="R12" s="441"/>
    </row>
    <row r="13" spans="2:18" ht="13" x14ac:dyDescent="0.3">
      <c r="B13" s="276">
        <f t="shared" si="0"/>
        <v>7</v>
      </c>
      <c r="C13" s="277" t="str">
        <f>'Program Descriptions'!C11</f>
        <v>Empty</v>
      </c>
      <c r="D13" s="434"/>
      <c r="E13" s="371"/>
      <c r="F13" s="434"/>
      <c r="G13" s="371"/>
      <c r="H13" s="434"/>
      <c r="I13" s="371"/>
      <c r="J13" s="434"/>
      <c r="K13" s="371"/>
      <c r="L13" s="434"/>
      <c r="M13" s="371"/>
      <c r="N13" s="376"/>
      <c r="O13" s="371"/>
      <c r="P13" s="374">
        <f t="shared" si="1"/>
        <v>0</v>
      </c>
      <c r="Q13" s="19"/>
    </row>
    <row r="14" spans="2:18" ht="13" x14ac:dyDescent="0.3">
      <c r="B14" s="276">
        <f t="shared" si="0"/>
        <v>8</v>
      </c>
      <c r="C14" s="277" t="str">
        <f>'Program Descriptions'!C12</f>
        <v>Empty</v>
      </c>
      <c r="D14" s="434"/>
      <c r="E14" s="371"/>
      <c r="F14" s="434"/>
      <c r="G14" s="371"/>
      <c r="H14" s="434"/>
      <c r="I14" s="371"/>
      <c r="J14" s="434"/>
      <c r="K14" s="371"/>
      <c r="L14" s="434"/>
      <c r="M14" s="371"/>
      <c r="N14" s="376"/>
      <c r="O14" s="371"/>
      <c r="P14" s="374">
        <f t="shared" si="1"/>
        <v>0</v>
      </c>
      <c r="Q14" s="19"/>
    </row>
    <row r="15" spans="2:18" ht="13" x14ac:dyDescent="0.3">
      <c r="B15" s="276">
        <f t="shared" si="0"/>
        <v>9</v>
      </c>
      <c r="C15" s="277" t="str">
        <f>'Program Descriptions'!C13</f>
        <v>Empty</v>
      </c>
      <c r="D15" s="434"/>
      <c r="E15" s="371"/>
      <c r="F15" s="434"/>
      <c r="G15" s="371"/>
      <c r="H15" s="434"/>
      <c r="I15" s="371"/>
      <c r="J15" s="434"/>
      <c r="K15" s="371"/>
      <c r="L15" s="434"/>
      <c r="M15" s="371"/>
      <c r="N15" s="376"/>
      <c r="O15" s="371"/>
      <c r="P15" s="374">
        <f t="shared" si="1"/>
        <v>0</v>
      </c>
      <c r="Q15" s="19"/>
    </row>
    <row r="16" spans="2:18" ht="13" x14ac:dyDescent="0.3">
      <c r="B16" s="276">
        <f t="shared" si="0"/>
        <v>10</v>
      </c>
      <c r="C16" s="277" t="str">
        <f>'Program Descriptions'!C14</f>
        <v>Empty</v>
      </c>
      <c r="D16" s="434"/>
      <c r="E16" s="371"/>
      <c r="F16" s="434"/>
      <c r="G16" s="371"/>
      <c r="H16" s="434"/>
      <c r="I16" s="371"/>
      <c r="J16" s="434"/>
      <c r="K16" s="371"/>
      <c r="L16" s="434"/>
      <c r="M16" s="371"/>
      <c r="N16" s="376"/>
      <c r="O16" s="371"/>
      <c r="P16" s="374">
        <f t="shared" si="1"/>
        <v>0</v>
      </c>
      <c r="Q16" s="19"/>
      <c r="R16" s="438"/>
    </row>
    <row r="17" spans="2:18" ht="13" x14ac:dyDescent="0.3">
      <c r="B17" s="276">
        <f t="shared" si="0"/>
        <v>11</v>
      </c>
      <c r="C17" s="277" t="str">
        <f>'Program Descriptions'!C15</f>
        <v>Empty</v>
      </c>
      <c r="D17" s="434"/>
      <c r="E17" s="371"/>
      <c r="F17" s="434"/>
      <c r="G17" s="371"/>
      <c r="H17" s="434"/>
      <c r="I17" s="371"/>
      <c r="J17" s="434"/>
      <c r="K17" s="371"/>
      <c r="L17" s="434"/>
      <c r="M17" s="371"/>
      <c r="N17" s="376"/>
      <c r="O17" s="371"/>
      <c r="P17" s="374">
        <f t="shared" si="1"/>
        <v>0</v>
      </c>
      <c r="Q17" s="19"/>
      <c r="R17" s="438"/>
    </row>
    <row r="18" spans="2:18" ht="13" x14ac:dyDescent="0.3">
      <c r="B18" s="276">
        <f t="shared" si="0"/>
        <v>12</v>
      </c>
      <c r="C18" s="277" t="str">
        <f>'Program Descriptions'!C16</f>
        <v>Empty</v>
      </c>
      <c r="D18" s="434"/>
      <c r="E18" s="371"/>
      <c r="F18" s="434"/>
      <c r="G18" s="371"/>
      <c r="H18" s="434"/>
      <c r="I18" s="371"/>
      <c r="J18" s="434"/>
      <c r="K18" s="371"/>
      <c r="L18" s="434"/>
      <c r="M18" s="371"/>
      <c r="N18" s="376"/>
      <c r="O18" s="371"/>
      <c r="P18" s="374">
        <f t="shared" si="1"/>
        <v>0</v>
      </c>
      <c r="Q18" s="19"/>
      <c r="R18" s="438"/>
    </row>
    <row r="19" spans="2:18" ht="13" x14ac:dyDescent="0.3">
      <c r="B19" s="276">
        <f t="shared" si="0"/>
        <v>13</v>
      </c>
      <c r="C19" s="277" t="str">
        <f>'Program Descriptions'!C17</f>
        <v>Empty</v>
      </c>
      <c r="D19" s="434"/>
      <c r="E19" s="371"/>
      <c r="F19" s="434"/>
      <c r="G19" s="371"/>
      <c r="H19" s="434"/>
      <c r="I19" s="371"/>
      <c r="J19" s="434"/>
      <c r="K19" s="371"/>
      <c r="L19" s="434"/>
      <c r="M19" s="371"/>
      <c r="N19" s="376"/>
      <c r="O19" s="371"/>
      <c r="P19" s="374">
        <f t="shared" si="1"/>
        <v>0</v>
      </c>
      <c r="Q19" s="19"/>
    </row>
    <row r="20" spans="2:18" ht="13" x14ac:dyDescent="0.3">
      <c r="B20" s="276">
        <f t="shared" si="0"/>
        <v>14</v>
      </c>
      <c r="C20" s="277" t="str">
        <f>'Program Descriptions'!C18</f>
        <v>Empty</v>
      </c>
      <c r="D20" s="434"/>
      <c r="E20" s="371"/>
      <c r="F20" s="434"/>
      <c r="G20" s="371"/>
      <c r="H20" s="434"/>
      <c r="I20" s="371"/>
      <c r="J20" s="434"/>
      <c r="K20" s="371"/>
      <c r="L20" s="434"/>
      <c r="M20" s="371"/>
      <c r="N20" s="376"/>
      <c r="O20" s="371"/>
      <c r="P20" s="374">
        <f t="shared" si="1"/>
        <v>0</v>
      </c>
      <c r="Q20" s="19"/>
    </row>
    <row r="21" spans="2:18" ht="13" x14ac:dyDescent="0.3">
      <c r="B21" s="276">
        <f t="shared" si="0"/>
        <v>15</v>
      </c>
      <c r="C21" s="277" t="str">
        <f>'Program Descriptions'!C19</f>
        <v>Empty</v>
      </c>
      <c r="D21" s="434"/>
      <c r="E21" s="371"/>
      <c r="F21" s="434"/>
      <c r="G21" s="371"/>
      <c r="H21" s="434"/>
      <c r="I21" s="371"/>
      <c r="J21" s="434"/>
      <c r="K21" s="371"/>
      <c r="L21" s="434"/>
      <c r="M21" s="371"/>
      <c r="N21" s="376"/>
      <c r="O21" s="371"/>
      <c r="P21" s="374">
        <f t="shared" si="1"/>
        <v>0</v>
      </c>
      <c r="Q21" s="19"/>
    </row>
    <row r="22" spans="2:18" ht="13" x14ac:dyDescent="0.3">
      <c r="B22" s="276">
        <f t="shared" si="0"/>
        <v>16</v>
      </c>
      <c r="C22" s="277" t="str">
        <f>'Program Descriptions'!C20</f>
        <v>Empty</v>
      </c>
      <c r="D22" s="434"/>
      <c r="E22" s="371"/>
      <c r="F22" s="434"/>
      <c r="G22" s="371"/>
      <c r="H22" s="434"/>
      <c r="I22" s="371"/>
      <c r="J22" s="434"/>
      <c r="K22" s="371"/>
      <c r="L22" s="434"/>
      <c r="M22" s="371"/>
      <c r="N22" s="376"/>
      <c r="O22" s="371"/>
      <c r="P22" s="374">
        <f t="shared" si="1"/>
        <v>0</v>
      </c>
      <c r="Q22" s="19"/>
    </row>
    <row r="23" spans="2:18" ht="13" x14ac:dyDescent="0.3">
      <c r="B23" s="276">
        <f t="shared" si="0"/>
        <v>17</v>
      </c>
      <c r="C23" s="277" t="str">
        <f>'Program Descriptions'!C21</f>
        <v>Empty</v>
      </c>
      <c r="D23" s="434"/>
      <c r="E23" s="371"/>
      <c r="F23" s="434"/>
      <c r="G23" s="371"/>
      <c r="H23" s="434"/>
      <c r="I23" s="371"/>
      <c r="J23" s="434"/>
      <c r="K23" s="371"/>
      <c r="L23" s="434"/>
      <c r="M23" s="371"/>
      <c r="N23" s="376"/>
      <c r="O23" s="371"/>
      <c r="P23" s="374">
        <f t="shared" si="1"/>
        <v>0</v>
      </c>
      <c r="Q23" s="19"/>
    </row>
    <row r="24" spans="2:18" ht="13" x14ac:dyDescent="0.3">
      <c r="B24" s="276">
        <f t="shared" si="0"/>
        <v>18</v>
      </c>
      <c r="C24" s="277" t="str">
        <f>'Program Descriptions'!C22</f>
        <v>Empty</v>
      </c>
      <c r="D24" s="434"/>
      <c r="E24" s="371"/>
      <c r="F24" s="434"/>
      <c r="G24" s="371"/>
      <c r="H24" s="434"/>
      <c r="I24" s="371"/>
      <c r="J24" s="434"/>
      <c r="K24" s="371"/>
      <c r="L24" s="434"/>
      <c r="M24" s="371"/>
      <c r="N24" s="376"/>
      <c r="O24" s="371"/>
      <c r="P24" s="374">
        <f t="shared" si="1"/>
        <v>0</v>
      </c>
      <c r="Q24" s="19"/>
    </row>
    <row r="25" spans="2:18" ht="13" x14ac:dyDescent="0.3">
      <c r="B25" s="276">
        <f t="shared" si="0"/>
        <v>19</v>
      </c>
      <c r="C25" s="277" t="str">
        <f>'Program Descriptions'!C23</f>
        <v>Empty</v>
      </c>
      <c r="D25" s="434"/>
      <c r="E25" s="371"/>
      <c r="F25" s="434"/>
      <c r="G25" s="371"/>
      <c r="H25" s="434"/>
      <c r="I25" s="371"/>
      <c r="J25" s="434"/>
      <c r="K25" s="371"/>
      <c r="L25" s="434"/>
      <c r="M25" s="371"/>
      <c r="N25" s="376"/>
      <c r="O25" s="371"/>
      <c r="P25" s="374">
        <f t="shared" si="1"/>
        <v>0</v>
      </c>
      <c r="Q25" s="19"/>
    </row>
    <row r="26" spans="2:18" ht="13.5" thickBot="1" x14ac:dyDescent="0.35">
      <c r="B26" s="276">
        <f t="shared" si="0"/>
        <v>20</v>
      </c>
      <c r="C26" s="277" t="str">
        <f>'Program Descriptions'!C24</f>
        <v>Empty</v>
      </c>
      <c r="D26" s="435"/>
      <c r="E26" s="372"/>
      <c r="F26" s="435"/>
      <c r="G26" s="372"/>
      <c r="H26" s="435"/>
      <c r="I26" s="372"/>
      <c r="J26" s="435"/>
      <c r="K26" s="372"/>
      <c r="L26" s="435"/>
      <c r="M26" s="372"/>
      <c r="N26" s="377"/>
      <c r="O26" s="372"/>
      <c r="P26" s="375">
        <f t="shared" si="1"/>
        <v>0</v>
      </c>
      <c r="Q26" s="19"/>
    </row>
    <row r="27" spans="2:18" ht="13" x14ac:dyDescent="0.3">
      <c r="B27" s="8"/>
      <c r="C27" s="281" t="s">
        <v>150</v>
      </c>
      <c r="D27" s="69">
        <f t="shared" ref="D27:M27" si="2">SUM(D7:D26)</f>
        <v>1486148.5978239423</v>
      </c>
      <c r="E27" s="14">
        <f t="shared" si="2"/>
        <v>896788.64768182812</v>
      </c>
      <c r="F27" s="69">
        <f t="shared" ref="F27:G27" si="3">SUM(F7:F26)</f>
        <v>742.07733767926163</v>
      </c>
      <c r="G27" s="14">
        <f t="shared" si="3"/>
        <v>1057653.2409205546</v>
      </c>
      <c r="H27" s="69">
        <f t="shared" si="2"/>
        <v>1543027.9259890672</v>
      </c>
      <c r="I27" s="14">
        <f t="shared" si="2"/>
        <v>6329367.0999433585</v>
      </c>
      <c r="J27" s="69">
        <f t="shared" si="2"/>
        <v>0</v>
      </c>
      <c r="K27" s="14">
        <f t="shared" si="2"/>
        <v>0</v>
      </c>
      <c r="L27" s="69">
        <f t="shared" si="2"/>
        <v>1225047.3851635</v>
      </c>
      <c r="M27" s="14">
        <f t="shared" si="2"/>
        <v>103642.44984961618</v>
      </c>
      <c r="N27" s="14">
        <f t="shared" ref="N27:O27" si="4">SUM(N7:N26)</f>
        <v>37365.641263478887</v>
      </c>
      <c r="O27" s="14">
        <f t="shared" si="4"/>
        <v>184283.40577925893</v>
      </c>
      <c r="P27" s="14">
        <f>SUM(P7:P26)</f>
        <v>8571734.844174616</v>
      </c>
      <c r="Q27" s="19"/>
    </row>
    <row r="28" spans="2:18" ht="13" x14ac:dyDescent="0.3">
      <c r="B28" s="8"/>
      <c r="C28" s="277"/>
      <c r="O28" s="19"/>
    </row>
    <row r="29" spans="2:18" x14ac:dyDescent="0.25">
      <c r="B29" s="8"/>
      <c r="O29" s="19"/>
    </row>
    <row r="30" spans="2:18" ht="15.5" x14ac:dyDescent="0.35">
      <c r="B30" s="8"/>
      <c r="C30" s="9" t="s">
        <v>280</v>
      </c>
      <c r="O30" s="19"/>
    </row>
    <row r="31" spans="2:18" ht="13" x14ac:dyDescent="0.3">
      <c r="B31" s="276">
        <v>1</v>
      </c>
      <c r="C31" s="677" t="s">
        <v>298</v>
      </c>
      <c r="D31" s="678"/>
      <c r="E31" s="678"/>
      <c r="F31" s="678"/>
      <c r="G31" s="678"/>
      <c r="H31" s="678"/>
      <c r="I31" s="678"/>
      <c r="J31" s="678"/>
      <c r="K31" s="678"/>
      <c r="L31" s="678"/>
      <c r="M31" s="678"/>
      <c r="N31" s="679"/>
      <c r="O31" s="19"/>
    </row>
    <row r="32" spans="2:18" ht="13" x14ac:dyDescent="0.3">
      <c r="B32" s="276">
        <f>B31+1</f>
        <v>2</v>
      </c>
      <c r="C32" s="677" t="s">
        <v>205</v>
      </c>
      <c r="D32" s="678"/>
      <c r="E32" s="678"/>
      <c r="F32" s="678"/>
      <c r="G32" s="678"/>
      <c r="H32" s="678"/>
      <c r="I32" s="678"/>
      <c r="J32" s="678"/>
      <c r="K32" s="678"/>
      <c r="L32" s="678"/>
      <c r="M32" s="678"/>
      <c r="N32" s="679"/>
      <c r="O32" s="19"/>
    </row>
    <row r="33" spans="2:15" ht="13" x14ac:dyDescent="0.3">
      <c r="B33" s="276">
        <f t="shared" ref="B33:B35" si="5">B32+1</f>
        <v>3</v>
      </c>
      <c r="C33" s="677" t="s">
        <v>298</v>
      </c>
      <c r="D33" s="678"/>
      <c r="E33" s="678"/>
      <c r="F33" s="678"/>
      <c r="G33" s="678"/>
      <c r="H33" s="678"/>
      <c r="I33" s="678"/>
      <c r="J33" s="678"/>
      <c r="K33" s="678"/>
      <c r="L33" s="678"/>
      <c r="M33" s="678"/>
      <c r="N33" s="679"/>
      <c r="O33" s="19"/>
    </row>
    <row r="34" spans="2:15" ht="13" x14ac:dyDescent="0.3">
      <c r="B34" s="276">
        <f t="shared" si="5"/>
        <v>4</v>
      </c>
      <c r="C34" s="677" t="s">
        <v>298</v>
      </c>
      <c r="D34" s="678"/>
      <c r="E34" s="678"/>
      <c r="F34" s="678"/>
      <c r="G34" s="678"/>
      <c r="H34" s="678"/>
      <c r="I34" s="678"/>
      <c r="J34" s="678"/>
      <c r="K34" s="678"/>
      <c r="L34" s="678"/>
      <c r="M34" s="678"/>
      <c r="N34" s="679"/>
      <c r="O34" s="19"/>
    </row>
    <row r="35" spans="2:15" ht="13" x14ac:dyDescent="0.3">
      <c r="B35" s="276">
        <f t="shared" si="5"/>
        <v>5</v>
      </c>
      <c r="C35" s="677"/>
      <c r="D35" s="678"/>
      <c r="E35" s="678"/>
      <c r="F35" s="678"/>
      <c r="G35" s="678"/>
      <c r="H35" s="678"/>
      <c r="I35" s="678"/>
      <c r="J35" s="678"/>
      <c r="K35" s="678"/>
      <c r="L35" s="678"/>
      <c r="M35" s="678"/>
      <c r="N35" s="679"/>
      <c r="O35" s="19"/>
    </row>
    <row r="36" spans="2:15" x14ac:dyDescent="0.25">
      <c r="B36" s="8"/>
      <c r="O36" s="19"/>
    </row>
    <row r="37" spans="2:15" x14ac:dyDescent="0.25">
      <c r="B37" s="316"/>
      <c r="C37" s="317"/>
      <c r="D37" s="317"/>
      <c r="E37" s="317"/>
      <c r="F37" s="317"/>
      <c r="G37" s="317"/>
      <c r="H37" s="317"/>
      <c r="I37" s="317"/>
      <c r="J37" s="317"/>
      <c r="K37" s="317"/>
      <c r="L37" s="317"/>
      <c r="M37" s="317"/>
      <c r="N37" s="317"/>
      <c r="O37" s="318"/>
    </row>
  </sheetData>
  <mergeCells count="13">
    <mergeCell ref="C31:N31"/>
    <mergeCell ref="C32:N32"/>
    <mergeCell ref="C33:N33"/>
    <mergeCell ref="C34:N34"/>
    <mergeCell ref="C35:N35"/>
    <mergeCell ref="P5:P6"/>
    <mergeCell ref="F5:G5"/>
    <mergeCell ref="B2:O2"/>
    <mergeCell ref="D5:E5"/>
    <mergeCell ref="H5:I5"/>
    <mergeCell ref="J5:K5"/>
    <mergeCell ref="L5:M5"/>
    <mergeCell ref="N5:O5"/>
  </mergeCells>
  <conditionalFormatting sqref="D7:P26">
    <cfRule type="expression" dxfId="11" priority="1">
      <formula>$B7&gt;Programs</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65"/>
  <sheetViews>
    <sheetView showGridLines="0" showRowColHeaders="0" zoomScale="110" zoomScaleNormal="110" workbookViewId="0">
      <pane ySplit="2" topLeftCell="A10" activePane="bottomLeft" state="frozen"/>
      <selection pane="bottomLeft" activeCell="A3" sqref="A3"/>
    </sheetView>
  </sheetViews>
  <sheetFormatPr defaultColWidth="9.1796875" defaultRowHeight="13" x14ac:dyDescent="0.3"/>
  <cols>
    <col min="1" max="1" width="1" style="2" customWidth="1"/>
    <col min="2" max="2" width="1.7265625" style="2" customWidth="1"/>
    <col min="3" max="3" width="8" style="2" customWidth="1"/>
    <col min="4" max="4" width="9.1796875" style="2" customWidth="1"/>
    <col min="5" max="5" width="116.54296875" style="2" customWidth="1"/>
    <col min="6" max="6" width="1.7265625" style="2" customWidth="1"/>
    <col min="7" max="16384" width="9.1796875" style="2"/>
  </cols>
  <sheetData>
    <row r="1" spans="2:6" ht="5.15" customHeight="1" x14ac:dyDescent="0.3"/>
    <row r="2" spans="2:6" ht="38.25" customHeight="1" x14ac:dyDescent="0.3">
      <c r="B2" s="616" t="s">
        <v>17</v>
      </c>
      <c r="C2" s="617"/>
      <c r="D2" s="617"/>
      <c r="E2" s="617"/>
      <c r="F2" s="617"/>
    </row>
    <row r="3" spans="2:6" s="1" customFormat="1" ht="12.5" x14ac:dyDescent="0.25">
      <c r="B3" s="530"/>
      <c r="C3" s="531"/>
      <c r="D3" s="531"/>
      <c r="E3" s="531"/>
      <c r="F3" s="532"/>
    </row>
    <row r="4" spans="2:6" s="1" customFormat="1" ht="25.5" customHeight="1" x14ac:dyDescent="0.25">
      <c r="B4" s="533"/>
      <c r="C4" s="618" t="s">
        <v>18</v>
      </c>
      <c r="D4" s="618"/>
      <c r="E4" s="618"/>
      <c r="F4" s="534"/>
    </row>
    <row r="5" spans="2:6" s="1" customFormat="1" ht="12.5" x14ac:dyDescent="0.25">
      <c r="B5" s="533"/>
      <c r="C5" s="535"/>
      <c r="D5" s="535"/>
      <c r="E5" s="536"/>
      <c r="F5" s="534"/>
    </row>
    <row r="6" spans="2:6" s="1" customFormat="1" ht="14.5" x14ac:dyDescent="0.25">
      <c r="B6" s="533"/>
      <c r="C6" s="611" t="s">
        <v>19</v>
      </c>
      <c r="D6" s="611"/>
      <c r="E6" s="611"/>
      <c r="F6" s="534"/>
    </row>
    <row r="7" spans="2:6" s="1" customFormat="1" ht="63.75" customHeight="1" x14ac:dyDescent="0.25">
      <c r="B7" s="533"/>
      <c r="C7" s="619" t="s">
        <v>20</v>
      </c>
      <c r="D7" s="619"/>
      <c r="E7" s="619"/>
      <c r="F7" s="534"/>
    </row>
    <row r="8" spans="2:6" s="1" customFormat="1" x14ac:dyDescent="0.3">
      <c r="B8" s="533"/>
      <c r="C8" s="346">
        <v>1</v>
      </c>
      <c r="D8" s="24" t="s">
        <v>21</v>
      </c>
      <c r="E8" s="24"/>
      <c r="F8" s="534"/>
    </row>
    <row r="9" spans="2:6" s="1" customFormat="1" x14ac:dyDescent="0.3">
      <c r="B9" s="533"/>
      <c r="C9" s="346">
        <v>2</v>
      </c>
      <c r="D9" s="24" t="s">
        <v>22</v>
      </c>
      <c r="E9" s="24"/>
      <c r="F9" s="534"/>
    </row>
    <row r="10" spans="2:6" s="1" customFormat="1" x14ac:dyDescent="0.3">
      <c r="B10" s="533"/>
      <c r="C10" s="346">
        <v>3</v>
      </c>
      <c r="D10" s="24" t="s">
        <v>23</v>
      </c>
      <c r="E10" s="24"/>
      <c r="F10" s="534"/>
    </row>
    <row r="11" spans="2:6" s="1" customFormat="1" ht="12.5" x14ac:dyDescent="0.25">
      <c r="B11" s="533"/>
      <c r="C11" s="536"/>
      <c r="D11" s="536"/>
      <c r="E11" s="536"/>
      <c r="F11" s="534"/>
    </row>
    <row r="12" spans="2:6" s="1" customFormat="1" ht="44.25" customHeight="1" x14ac:dyDescent="0.25">
      <c r="B12" s="533"/>
      <c r="C12" s="614" t="s">
        <v>24</v>
      </c>
      <c r="D12" s="614"/>
      <c r="E12" s="614"/>
      <c r="F12" s="534"/>
    </row>
    <row r="13" spans="2:6" s="1" customFormat="1" ht="12.5" x14ac:dyDescent="0.25">
      <c r="B13" s="533"/>
      <c r="C13" s="536"/>
      <c r="D13" s="536"/>
      <c r="E13" s="536"/>
      <c r="F13" s="534"/>
    </row>
    <row r="14" spans="2:6" s="1" customFormat="1" x14ac:dyDescent="0.3">
      <c r="B14" s="533"/>
      <c r="C14" s="537"/>
      <c r="D14" s="359"/>
      <c r="E14" s="338" t="s">
        <v>25</v>
      </c>
      <c r="F14" s="534"/>
    </row>
    <row r="15" spans="2:6" s="1" customFormat="1" x14ac:dyDescent="0.3">
      <c r="B15" s="533"/>
      <c r="C15" s="537"/>
      <c r="D15" s="455"/>
      <c r="E15" s="338" t="s">
        <v>26</v>
      </c>
      <c r="F15" s="534"/>
    </row>
    <row r="16" spans="2:6" s="1" customFormat="1" x14ac:dyDescent="0.3">
      <c r="B16" s="533"/>
      <c r="C16" s="537"/>
      <c r="D16" s="347"/>
      <c r="E16" s="338" t="s">
        <v>27</v>
      </c>
      <c r="F16" s="534"/>
    </row>
    <row r="17" spans="2:6" s="1" customFormat="1" ht="12.5" x14ac:dyDescent="0.25">
      <c r="B17" s="533"/>
      <c r="C17" s="536"/>
      <c r="D17" s="536"/>
      <c r="E17" s="536"/>
      <c r="F17" s="534"/>
    </row>
    <row r="18" spans="2:6" s="1" customFormat="1" ht="12.5" x14ac:dyDescent="0.25">
      <c r="B18" s="533"/>
      <c r="C18" s="615" t="s">
        <v>28</v>
      </c>
      <c r="D18" s="615"/>
      <c r="E18" s="615"/>
      <c r="F18" s="534"/>
    </row>
    <row r="19" spans="2:6" s="1" customFormat="1" ht="12.5" x14ac:dyDescent="0.25">
      <c r="B19" s="533"/>
      <c r="C19" s="339"/>
      <c r="D19" s="339"/>
      <c r="E19" s="339"/>
      <c r="F19" s="534"/>
    </row>
    <row r="20" spans="2:6" s="1" customFormat="1" ht="30" customHeight="1" x14ac:dyDescent="0.25">
      <c r="B20" s="533"/>
      <c r="C20" s="610" t="s">
        <v>29</v>
      </c>
      <c r="D20" s="610"/>
      <c r="E20" s="610"/>
      <c r="F20" s="534"/>
    </row>
    <row r="21" spans="2:6" s="1" customFormat="1" ht="12.5" x14ac:dyDescent="0.25">
      <c r="B21" s="533"/>
      <c r="C21" s="339"/>
      <c r="D21" s="339"/>
      <c r="E21" s="339"/>
      <c r="F21" s="534"/>
    </row>
    <row r="22" spans="2:6" s="1" customFormat="1" ht="14.5" x14ac:dyDescent="0.25">
      <c r="B22" s="533"/>
      <c r="C22" s="611" t="s">
        <v>30</v>
      </c>
      <c r="D22" s="611"/>
      <c r="E22" s="611"/>
      <c r="F22" s="534"/>
    </row>
    <row r="23" spans="2:6" s="1" customFormat="1" ht="18.75" customHeight="1" x14ac:dyDescent="0.3">
      <c r="B23" s="22"/>
      <c r="C23" s="340" t="s">
        <v>31</v>
      </c>
      <c r="D23" s="25"/>
      <c r="E23" s="26"/>
      <c r="F23" s="534"/>
    </row>
    <row r="24" spans="2:6" s="1" customFormat="1" x14ac:dyDescent="0.3">
      <c r="B24" s="23"/>
      <c r="C24" s="346">
        <v>1</v>
      </c>
      <c r="D24" s="24" t="s">
        <v>32</v>
      </c>
      <c r="E24" s="24"/>
      <c r="F24" s="534"/>
    </row>
    <row r="25" spans="2:6" s="1" customFormat="1" x14ac:dyDescent="0.3">
      <c r="B25" s="23"/>
      <c r="C25" s="348"/>
      <c r="D25" s="343" t="s">
        <v>33</v>
      </c>
      <c r="E25" s="412" t="s">
        <v>34</v>
      </c>
      <c r="F25" s="534"/>
    </row>
    <row r="26" spans="2:6" s="1" customFormat="1" x14ac:dyDescent="0.3">
      <c r="B26" s="23"/>
      <c r="C26" s="348"/>
      <c r="D26" s="343" t="s">
        <v>35</v>
      </c>
      <c r="E26" s="341" t="s">
        <v>36</v>
      </c>
      <c r="F26" s="534"/>
    </row>
    <row r="27" spans="2:6" s="1" customFormat="1" x14ac:dyDescent="0.3">
      <c r="B27" s="23"/>
      <c r="C27" s="348"/>
      <c r="D27" s="343"/>
      <c r="E27" s="344" t="s">
        <v>37</v>
      </c>
      <c r="F27" s="534"/>
    </row>
    <row r="28" spans="2:6" s="1" customFormat="1" x14ac:dyDescent="0.3">
      <c r="B28" s="23"/>
      <c r="C28" s="348"/>
      <c r="D28" s="343" t="s">
        <v>38</v>
      </c>
      <c r="E28" s="341" t="s">
        <v>39</v>
      </c>
      <c r="F28" s="534"/>
    </row>
    <row r="29" spans="2:6" s="1" customFormat="1" x14ac:dyDescent="0.3">
      <c r="B29" s="23"/>
      <c r="C29" s="348"/>
      <c r="D29" s="343"/>
      <c r="E29" s="344" t="s">
        <v>40</v>
      </c>
      <c r="F29" s="534"/>
    </row>
    <row r="30" spans="2:6" s="1" customFormat="1" x14ac:dyDescent="0.3">
      <c r="B30" s="23"/>
      <c r="C30" s="348"/>
      <c r="D30" s="343" t="s">
        <v>41</v>
      </c>
      <c r="E30" s="341" t="s">
        <v>42</v>
      </c>
      <c r="F30" s="534"/>
    </row>
    <row r="31" spans="2:6" s="1" customFormat="1" x14ac:dyDescent="0.3">
      <c r="B31" s="23"/>
      <c r="C31" s="348"/>
      <c r="D31" s="343" t="s">
        <v>43</v>
      </c>
      <c r="E31" s="341" t="s">
        <v>44</v>
      </c>
      <c r="F31" s="534"/>
    </row>
    <row r="32" spans="2:6" s="1" customFormat="1" x14ac:dyDescent="0.3">
      <c r="B32" s="23"/>
      <c r="C32" s="348"/>
      <c r="D32" s="343"/>
      <c r="E32" s="344" t="s">
        <v>45</v>
      </c>
      <c r="F32" s="534"/>
    </row>
    <row r="33" spans="2:6" s="1" customFormat="1" x14ac:dyDescent="0.3">
      <c r="B33" s="23"/>
      <c r="C33" s="348"/>
      <c r="D33" s="343"/>
      <c r="E33" s="344" t="s">
        <v>46</v>
      </c>
      <c r="F33" s="534"/>
    </row>
    <row r="34" spans="2:6" s="1" customFormat="1" x14ac:dyDescent="0.3">
      <c r="B34" s="23"/>
      <c r="C34" s="346">
        <v>2</v>
      </c>
      <c r="D34" s="24" t="s">
        <v>47</v>
      </c>
      <c r="E34" s="25"/>
      <c r="F34" s="534"/>
    </row>
    <row r="35" spans="2:6" s="1" customFormat="1" x14ac:dyDescent="0.3">
      <c r="B35" s="23"/>
      <c r="C35" s="348"/>
      <c r="D35" s="343" t="s">
        <v>33</v>
      </c>
      <c r="E35" s="342" t="s">
        <v>48</v>
      </c>
      <c r="F35" s="534"/>
    </row>
    <row r="36" spans="2:6" s="1" customFormat="1" x14ac:dyDescent="0.3">
      <c r="B36" s="23"/>
      <c r="C36" s="348"/>
      <c r="D36" s="343"/>
      <c r="E36" s="344" t="s">
        <v>49</v>
      </c>
      <c r="F36" s="534"/>
    </row>
    <row r="37" spans="2:6" s="1" customFormat="1" x14ac:dyDescent="0.3">
      <c r="B37" s="23"/>
      <c r="C37" s="348"/>
      <c r="D37" s="343" t="s">
        <v>35</v>
      </c>
      <c r="E37" s="341" t="s">
        <v>50</v>
      </c>
      <c r="F37" s="534"/>
    </row>
    <row r="38" spans="2:6" s="1" customFormat="1" x14ac:dyDescent="0.3">
      <c r="B38" s="23"/>
      <c r="C38" s="348"/>
      <c r="D38" s="343"/>
      <c r="E38" s="344" t="s">
        <v>51</v>
      </c>
      <c r="F38" s="534"/>
    </row>
    <row r="39" spans="2:6" s="1" customFormat="1" x14ac:dyDescent="0.3">
      <c r="B39" s="23"/>
      <c r="C39" s="348"/>
      <c r="D39" s="343" t="s">
        <v>38</v>
      </c>
      <c r="E39" s="341" t="s">
        <v>52</v>
      </c>
      <c r="F39" s="534"/>
    </row>
    <row r="40" spans="2:6" s="1" customFormat="1" x14ac:dyDescent="0.3">
      <c r="B40" s="23"/>
      <c r="C40" s="348"/>
      <c r="D40" s="343"/>
      <c r="E40" s="344" t="s">
        <v>53</v>
      </c>
      <c r="F40" s="534"/>
    </row>
    <row r="41" spans="2:6" s="1" customFormat="1" x14ac:dyDescent="0.3">
      <c r="B41" s="23"/>
      <c r="C41" s="348"/>
      <c r="D41" s="343"/>
      <c r="E41" s="344" t="s">
        <v>54</v>
      </c>
      <c r="F41" s="534"/>
    </row>
    <row r="42" spans="2:6" s="1" customFormat="1" x14ac:dyDescent="0.3">
      <c r="B42" s="23"/>
      <c r="C42" s="348"/>
      <c r="D42" s="343"/>
      <c r="E42" s="344" t="s">
        <v>55</v>
      </c>
      <c r="F42" s="534"/>
    </row>
    <row r="43" spans="2:6" s="1" customFormat="1" x14ac:dyDescent="0.3">
      <c r="B43" s="23"/>
      <c r="C43" s="348"/>
      <c r="D43" s="343" t="s">
        <v>41</v>
      </c>
      <c r="E43" s="341" t="s">
        <v>56</v>
      </c>
      <c r="F43" s="534"/>
    </row>
    <row r="44" spans="2:6" s="1" customFormat="1" x14ac:dyDescent="0.3">
      <c r="B44" s="23"/>
      <c r="C44" s="348"/>
      <c r="D44" s="343" t="s">
        <v>43</v>
      </c>
      <c r="E44" s="341" t="s">
        <v>57</v>
      </c>
      <c r="F44" s="534"/>
    </row>
    <row r="45" spans="2:6" s="1" customFormat="1" x14ac:dyDescent="0.3">
      <c r="B45" s="23"/>
      <c r="C45" s="346">
        <v>3</v>
      </c>
      <c r="D45" s="612" t="s">
        <v>58</v>
      </c>
      <c r="E45" s="612"/>
      <c r="F45" s="613"/>
    </row>
    <row r="46" spans="2:6" s="1" customFormat="1" x14ac:dyDescent="0.3">
      <c r="B46" s="23"/>
      <c r="C46" s="348"/>
      <c r="D46" s="343" t="s">
        <v>33</v>
      </c>
      <c r="E46" s="342" t="s">
        <v>59</v>
      </c>
      <c r="F46" s="534"/>
    </row>
    <row r="47" spans="2:6" s="1" customFormat="1" ht="12.5" x14ac:dyDescent="0.25">
      <c r="B47" s="23"/>
      <c r="C47" s="25"/>
      <c r="D47" s="25"/>
      <c r="E47" s="344" t="s">
        <v>60</v>
      </c>
      <c r="F47" s="534"/>
    </row>
    <row r="48" spans="2:6" s="1" customFormat="1" ht="12.5" x14ac:dyDescent="0.25">
      <c r="B48" s="23"/>
      <c r="C48" s="25"/>
      <c r="D48" s="25"/>
      <c r="E48" s="25"/>
      <c r="F48" s="534"/>
    </row>
    <row r="49" spans="2:6" s="1" customFormat="1" ht="14.5" x14ac:dyDescent="0.25">
      <c r="B49" s="23"/>
      <c r="C49" s="611" t="s">
        <v>61</v>
      </c>
      <c r="D49" s="611"/>
      <c r="E49" s="611"/>
      <c r="F49" s="534"/>
    </row>
    <row r="50" spans="2:6" s="1" customFormat="1" x14ac:dyDescent="0.3">
      <c r="B50" s="23"/>
      <c r="C50" s="27" t="s">
        <v>62</v>
      </c>
      <c r="D50" s="27"/>
      <c r="E50" s="25"/>
      <c r="F50" s="534"/>
    </row>
    <row r="51" spans="2:6" s="1" customFormat="1" ht="25.5" customHeight="1" x14ac:dyDescent="0.25">
      <c r="B51" s="23"/>
      <c r="C51" s="610" t="s">
        <v>63</v>
      </c>
      <c r="D51" s="610"/>
      <c r="E51" s="610"/>
      <c r="F51" s="534"/>
    </row>
    <row r="52" spans="2:6" s="1" customFormat="1" ht="12.5" x14ac:dyDescent="0.25">
      <c r="B52" s="23"/>
      <c r="C52" s="25"/>
      <c r="D52" s="25"/>
      <c r="E52" s="25"/>
      <c r="F52" s="534"/>
    </row>
    <row r="53" spans="2:6" s="1" customFormat="1" x14ac:dyDescent="0.3">
      <c r="B53" s="23"/>
      <c r="C53" s="27" t="s">
        <v>64</v>
      </c>
      <c r="D53" s="27"/>
      <c r="E53" s="25"/>
      <c r="F53" s="534"/>
    </row>
    <row r="54" spans="2:6" s="1" customFormat="1" ht="18" customHeight="1" x14ac:dyDescent="0.25">
      <c r="B54" s="23"/>
      <c r="C54" s="345" t="s">
        <v>65</v>
      </c>
      <c r="D54" s="25"/>
      <c r="E54" s="25"/>
      <c r="F54" s="534"/>
    </row>
    <row r="55" spans="2:6" s="1" customFormat="1" ht="9.75" customHeight="1" x14ac:dyDescent="0.25">
      <c r="B55" s="23"/>
      <c r="C55" s="25"/>
      <c r="D55" s="25"/>
      <c r="E55" s="25"/>
      <c r="F55" s="534"/>
    </row>
    <row r="56" spans="2:6" s="1" customFormat="1" x14ac:dyDescent="0.3">
      <c r="B56" s="23"/>
      <c r="C56" s="27" t="s">
        <v>66</v>
      </c>
      <c r="D56" s="27"/>
      <c r="E56" s="536"/>
      <c r="F56" s="534"/>
    </row>
    <row r="57" spans="2:6" s="1" customFormat="1" ht="18" customHeight="1" x14ac:dyDescent="0.25">
      <c r="B57" s="533"/>
      <c r="C57" s="340" t="s">
        <v>67</v>
      </c>
      <c r="D57" s="25"/>
      <c r="E57" s="536"/>
      <c r="F57" s="534"/>
    </row>
    <row r="58" spans="2:6" s="1" customFormat="1" x14ac:dyDescent="0.3">
      <c r="B58" s="22"/>
      <c r="C58" s="346">
        <v>1</v>
      </c>
      <c r="D58" s="538" t="str">
        <f>Cost!B4</f>
        <v>Planning / Design</v>
      </c>
      <c r="E58" s="26"/>
      <c r="F58" s="534"/>
    </row>
    <row r="59" spans="2:6" s="1" customFormat="1" x14ac:dyDescent="0.3">
      <c r="B59" s="23"/>
      <c r="C59" s="346">
        <v>2</v>
      </c>
      <c r="D59" s="538" t="str">
        <f>Cost!C4</f>
        <v>Marketing &amp; Delivery</v>
      </c>
      <c r="E59" s="25"/>
      <c r="F59" s="534"/>
    </row>
    <row r="60" spans="2:6" s="1" customFormat="1" x14ac:dyDescent="0.3">
      <c r="B60" s="23"/>
      <c r="C60" s="346">
        <v>3</v>
      </c>
      <c r="D60" s="538" t="str">
        <f>Cost!B14</f>
        <v>Incentives / Direct Install Costs</v>
      </c>
      <c r="E60" s="25"/>
      <c r="F60" s="534"/>
    </row>
    <row r="61" spans="2:6" s="1" customFormat="1" x14ac:dyDescent="0.3">
      <c r="B61" s="23"/>
      <c r="C61" s="346">
        <v>4</v>
      </c>
      <c r="D61" s="538" t="str">
        <f>Cost!C19</f>
        <v>EM&amp;V</v>
      </c>
      <c r="E61" s="25"/>
      <c r="F61" s="534"/>
    </row>
    <row r="62" spans="2:6" s="1" customFormat="1" x14ac:dyDescent="0.3">
      <c r="B62" s="533"/>
      <c r="C62" s="346">
        <v>5</v>
      </c>
      <c r="D62" s="538" t="str">
        <f>Cost!B25</f>
        <v>Administration</v>
      </c>
      <c r="E62" s="536"/>
      <c r="F62" s="534"/>
    </row>
    <row r="63" spans="2:6" s="1" customFormat="1" x14ac:dyDescent="0.3">
      <c r="B63" s="22"/>
      <c r="C63" s="346">
        <v>6</v>
      </c>
      <c r="D63" s="538" t="str">
        <f>Cost!C25</f>
        <v>Regulatory</v>
      </c>
      <c r="E63" s="26"/>
      <c r="F63" s="534"/>
    </row>
    <row r="64" spans="2:6" s="1" customFormat="1" ht="12.5" x14ac:dyDescent="0.25">
      <c r="B64" s="349"/>
      <c r="C64" s="350"/>
      <c r="D64" s="350"/>
      <c r="E64" s="350"/>
      <c r="F64" s="539"/>
    </row>
    <row r="65" s="1" customFormat="1" ht="12.5" x14ac:dyDescent="0.25"/>
  </sheetData>
  <sheetProtection password="C925" sheet="1" objects="1" scenarios="1"/>
  <mergeCells count="11">
    <mergeCell ref="C12:E12"/>
    <mergeCell ref="C18:E18"/>
    <mergeCell ref="C6:E6"/>
    <mergeCell ref="B2:F2"/>
    <mergeCell ref="C4:E4"/>
    <mergeCell ref="C7:E7"/>
    <mergeCell ref="C20:E20"/>
    <mergeCell ref="C22:E22"/>
    <mergeCell ref="C49:E49"/>
    <mergeCell ref="C51:E51"/>
    <mergeCell ref="D45:F45"/>
  </mergeCells>
  <hyperlinks>
    <hyperlink ref="E25" location="'Utility Information'!A1" tooltip="Go to" display="Utility Information" xr:uid="{00000000-0004-0000-0100-000000000000}"/>
  </hyperlinks>
  <pageMargins left="0.25" right="0.25" top="0.5" bottom="0.5" header="0.3" footer="0.3"/>
  <pageSetup scale="75"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B1:O27"/>
  <sheetViews>
    <sheetView showGridLines="0" showRowColHeaders="0" zoomScale="110" zoomScaleNormal="110" workbookViewId="0"/>
  </sheetViews>
  <sheetFormatPr defaultColWidth="9.1796875" defaultRowHeight="13" x14ac:dyDescent="0.3"/>
  <cols>
    <col min="1" max="1" width="1" style="2" customWidth="1"/>
    <col min="2" max="2" width="4" style="2" customWidth="1"/>
    <col min="3" max="3" width="35.7265625" style="2" customWidth="1"/>
    <col min="4" max="4" width="11.26953125" style="2" customWidth="1"/>
    <col min="5" max="5" width="9.7265625" style="2" customWidth="1"/>
    <col min="6" max="6" width="11.26953125" style="2" customWidth="1"/>
    <col min="7" max="7" width="9.7265625" style="2" customWidth="1"/>
    <col min="8" max="8" width="11.26953125" style="2" customWidth="1"/>
    <col min="9" max="9" width="9.7265625" style="2" customWidth="1"/>
    <col min="10" max="10" width="11.26953125" style="2" customWidth="1"/>
    <col min="11" max="11" width="9.7265625" style="2" customWidth="1"/>
    <col min="12" max="12" width="9.26953125" style="2" customWidth="1"/>
    <col min="13" max="13" width="1" style="2" customWidth="1"/>
    <col min="14" max="14" width="9.1796875" style="2"/>
    <col min="15" max="15" width="0" style="2" hidden="1" customWidth="1"/>
    <col min="16" max="16384" width="9.1796875" style="2"/>
  </cols>
  <sheetData>
    <row r="1" spans="2:15" ht="5.15" customHeight="1" thickBot="1" x14ac:dyDescent="0.35"/>
    <row r="2" spans="2:15" ht="38.25" customHeight="1" thickBot="1" x14ac:dyDescent="0.35">
      <c r="B2" s="629" t="s">
        <v>299</v>
      </c>
      <c r="C2" s="629"/>
      <c r="D2" s="629"/>
      <c r="E2" s="629"/>
      <c r="F2" s="629"/>
      <c r="G2" s="629"/>
      <c r="H2" s="629"/>
      <c r="I2" s="629"/>
      <c r="J2" s="629"/>
      <c r="K2" s="629"/>
      <c r="L2" s="629"/>
    </row>
    <row r="3" spans="2:15" ht="21" customHeight="1" thickBot="1" x14ac:dyDescent="0.35">
      <c r="B3" s="459"/>
      <c r="C3" s="354" t="str">
        <f>IF(O27&gt;0,"Incomplete - All 'yellow' shaded cells must be completed.","")</f>
        <v/>
      </c>
      <c r="D3" s="351"/>
      <c r="E3" s="351"/>
      <c r="F3" s="351"/>
      <c r="G3" s="351"/>
      <c r="H3" s="351"/>
      <c r="I3" s="351"/>
      <c r="J3" s="351"/>
      <c r="K3" s="351"/>
      <c r="L3" s="460"/>
    </row>
    <row r="4" spans="2:15" ht="24.75" customHeight="1" x14ac:dyDescent="0.35">
      <c r="B4" s="20"/>
      <c r="C4" s="9"/>
      <c r="D4" s="680" t="s">
        <v>300</v>
      </c>
      <c r="E4" s="682"/>
      <c r="F4" s="680" t="s">
        <v>301</v>
      </c>
      <c r="G4" s="682"/>
      <c r="H4" s="680" t="s">
        <v>302</v>
      </c>
      <c r="I4" s="682"/>
      <c r="J4" s="680" t="s">
        <v>303</v>
      </c>
      <c r="K4" s="681"/>
      <c r="L4" s="4"/>
    </row>
    <row r="5" spans="2:15" ht="26.5" x14ac:dyDescent="0.35">
      <c r="B5" s="8"/>
      <c r="C5" s="9" t="s">
        <v>85</v>
      </c>
      <c r="D5" s="106" t="s">
        <v>304</v>
      </c>
      <c r="E5" s="107" t="s">
        <v>223</v>
      </c>
      <c r="F5" s="106" t="s">
        <v>304</v>
      </c>
      <c r="G5" s="107" t="s">
        <v>223</v>
      </c>
      <c r="H5" s="106" t="s">
        <v>304</v>
      </c>
      <c r="I5" s="107" t="s">
        <v>223</v>
      </c>
      <c r="J5" s="106" t="s">
        <v>304</v>
      </c>
      <c r="K5" s="107" t="s">
        <v>223</v>
      </c>
      <c r="L5" s="4"/>
    </row>
    <row r="6" spans="2:15" ht="12.75" customHeight="1" x14ac:dyDescent="0.3">
      <c r="B6" s="276">
        <v>1</v>
      </c>
      <c r="C6" s="277" t="str">
        <f>'Program Descriptions'!C5</f>
        <v>Commercial &amp; Industrial Solutions Program</v>
      </c>
      <c r="D6" s="56">
        <v>2766.1190706429043</v>
      </c>
      <c r="E6" s="585">
        <v>5.26</v>
      </c>
      <c r="F6" s="56">
        <v>-2856.2956380469982</v>
      </c>
      <c r="G6" s="585">
        <v>0.44</v>
      </c>
      <c r="H6" s="56">
        <v>526.30371033805488</v>
      </c>
      <c r="I6" s="585">
        <v>1.31</v>
      </c>
      <c r="J6" s="56">
        <v>904.39717533791065</v>
      </c>
      <c r="K6" s="585">
        <v>1.49</v>
      </c>
      <c r="L6" s="4"/>
      <c r="O6" s="336">
        <f>IF(C6="Empty",0,IF(OR(ISBLANK(D6),ISBLANK(E6),ISBLANK(F6),ISBLANK(G6),ISBLANK(H6),ISBLANK(I6),ISBLANK(J6),ISBLANK(K6)),1,0))</f>
        <v>0</v>
      </c>
    </row>
    <row r="7" spans="2:15" ht="12.75" customHeight="1" x14ac:dyDescent="0.3">
      <c r="B7" s="276">
        <v>2</v>
      </c>
      <c r="C7" s="277" t="str">
        <f>'Program Descriptions'!C6</f>
        <v>Energy Efficiency Arkansas</v>
      </c>
      <c r="D7" s="56">
        <v>0</v>
      </c>
      <c r="E7" s="585" t="s">
        <v>106</v>
      </c>
      <c r="F7" s="56">
        <v>0</v>
      </c>
      <c r="G7" s="585">
        <v>0</v>
      </c>
      <c r="H7" s="56">
        <v>0</v>
      </c>
      <c r="I7" s="585" t="s">
        <v>713</v>
      </c>
      <c r="J7" s="56">
        <v>0</v>
      </c>
      <c r="K7" s="585">
        <v>0</v>
      </c>
      <c r="L7" s="4"/>
      <c r="O7" s="336">
        <f t="shared" ref="O7:O26" si="0">IF(C7="Empty",0,IF(OR(ISBLANK(D7),ISBLANK(E7),ISBLANK(F7),ISBLANK(G7),ISBLANK(H7),ISBLANK(I7),ISBLANK(J7),ISBLANK(K7)),1,0))</f>
        <v>0</v>
      </c>
    </row>
    <row r="8" spans="2:15" ht="12.75" customHeight="1" x14ac:dyDescent="0.3">
      <c r="B8" s="276">
        <v>3</v>
      </c>
      <c r="C8" s="277" t="str">
        <f>'Program Descriptions'!C7</f>
        <v>Residential Solution Program</v>
      </c>
      <c r="D8" s="56">
        <v>6592.519869083967</v>
      </c>
      <c r="E8" s="585">
        <v>4.24</v>
      </c>
      <c r="F8" s="56">
        <v>-7199.7971072643013</v>
      </c>
      <c r="G8" s="585">
        <v>0.36</v>
      </c>
      <c r="H8" s="56">
        <v>1475.1205241320743</v>
      </c>
      <c r="I8" s="585">
        <v>1.59</v>
      </c>
      <c r="J8" s="56">
        <v>4679.329496122321</v>
      </c>
      <c r="K8" s="585">
        <v>2.62</v>
      </c>
      <c r="L8" s="4"/>
      <c r="O8" s="336">
        <f t="shared" si="0"/>
        <v>0</v>
      </c>
    </row>
    <row r="9" spans="2:15" ht="12.75" customHeight="1" thickBot="1" x14ac:dyDescent="0.35">
      <c r="B9" s="276">
        <v>4</v>
      </c>
      <c r="C9" s="277" t="str">
        <f>'Program Descriptions'!C8</f>
        <v>Income Qualified Program</v>
      </c>
      <c r="D9" s="56">
        <v>234.65452680855722</v>
      </c>
      <c r="E9" s="585" t="s">
        <v>106</v>
      </c>
      <c r="F9" s="56">
        <v>-247.19340053021247</v>
      </c>
      <c r="G9" s="585">
        <v>0.35</v>
      </c>
      <c r="H9" s="56">
        <v>44.773425473230112</v>
      </c>
      <c r="I9" s="585">
        <v>1.5</v>
      </c>
      <c r="J9" s="56">
        <v>111.80382128542591</v>
      </c>
      <c r="K9" s="585">
        <v>2.2599999999999998</v>
      </c>
      <c r="L9" s="4"/>
      <c r="O9" s="336">
        <f t="shared" si="0"/>
        <v>0</v>
      </c>
    </row>
    <row r="10" spans="2:15" ht="12.75" hidden="1" customHeight="1" x14ac:dyDescent="0.3">
      <c r="B10" s="276">
        <v>5</v>
      </c>
      <c r="C10" s="277" t="str">
        <f>'Program Descriptions'!C9</f>
        <v>Empty</v>
      </c>
      <c r="D10" s="56"/>
      <c r="E10" s="585"/>
      <c r="F10" s="56"/>
      <c r="G10" s="585"/>
      <c r="H10" s="56"/>
      <c r="I10" s="585"/>
      <c r="J10" s="56"/>
      <c r="K10" s="585"/>
      <c r="L10" s="4"/>
      <c r="O10" s="336">
        <f t="shared" si="0"/>
        <v>0</v>
      </c>
    </row>
    <row r="11" spans="2:15" ht="12.75" hidden="1" customHeight="1" x14ac:dyDescent="0.3">
      <c r="B11" s="276">
        <v>6</v>
      </c>
      <c r="C11" s="277" t="str">
        <f>'Program Descriptions'!C10</f>
        <v>Empty</v>
      </c>
      <c r="D11" s="56"/>
      <c r="E11" s="585"/>
      <c r="F11" s="56"/>
      <c r="G11" s="585"/>
      <c r="H11" s="56"/>
      <c r="I11" s="585"/>
      <c r="J11" s="56"/>
      <c r="K11" s="585"/>
      <c r="L11" s="4"/>
      <c r="O11" s="336">
        <f t="shared" si="0"/>
        <v>0</v>
      </c>
    </row>
    <row r="12" spans="2:15" ht="12.75" hidden="1" customHeight="1" x14ac:dyDescent="0.3">
      <c r="B12" s="276">
        <v>7</v>
      </c>
      <c r="C12" s="277" t="str">
        <f>'Program Descriptions'!C11</f>
        <v>Empty</v>
      </c>
      <c r="D12" s="56"/>
      <c r="E12" s="585"/>
      <c r="F12" s="56"/>
      <c r="G12" s="585"/>
      <c r="H12" s="56"/>
      <c r="I12" s="585"/>
      <c r="J12" s="56"/>
      <c r="K12" s="585"/>
      <c r="L12" s="4"/>
      <c r="O12" s="336">
        <f t="shared" si="0"/>
        <v>0</v>
      </c>
    </row>
    <row r="13" spans="2:15" ht="12.75" hidden="1" customHeight="1" x14ac:dyDescent="0.3">
      <c r="B13" s="276">
        <v>8</v>
      </c>
      <c r="C13" s="277" t="str">
        <f>'Program Descriptions'!C12</f>
        <v>Empty</v>
      </c>
      <c r="D13" s="56"/>
      <c r="E13" s="585"/>
      <c r="F13" s="56"/>
      <c r="G13" s="585"/>
      <c r="H13" s="56"/>
      <c r="I13" s="585"/>
      <c r="J13" s="56"/>
      <c r="K13" s="585"/>
      <c r="L13" s="4"/>
      <c r="O13" s="336">
        <f t="shared" si="0"/>
        <v>0</v>
      </c>
    </row>
    <row r="14" spans="2:15" ht="12.75" hidden="1" customHeight="1" x14ac:dyDescent="0.3">
      <c r="B14" s="276">
        <v>9</v>
      </c>
      <c r="C14" s="277" t="str">
        <f>'Program Descriptions'!C13</f>
        <v>Empty</v>
      </c>
      <c r="D14" s="56"/>
      <c r="E14" s="585"/>
      <c r="F14" s="56"/>
      <c r="G14" s="585"/>
      <c r="H14" s="56"/>
      <c r="I14" s="585"/>
      <c r="J14" s="56"/>
      <c r="K14" s="585"/>
      <c r="L14" s="4"/>
      <c r="O14" s="336">
        <f t="shared" si="0"/>
        <v>0</v>
      </c>
    </row>
    <row r="15" spans="2:15" ht="12.75" hidden="1" customHeight="1" x14ac:dyDescent="0.3">
      <c r="B15" s="276">
        <v>10</v>
      </c>
      <c r="C15" s="277" t="str">
        <f>'Program Descriptions'!C14</f>
        <v>Empty</v>
      </c>
      <c r="D15" s="56"/>
      <c r="E15" s="585"/>
      <c r="F15" s="56"/>
      <c r="G15" s="585"/>
      <c r="H15" s="56"/>
      <c r="I15" s="585"/>
      <c r="J15" s="56"/>
      <c r="K15" s="585"/>
      <c r="L15" s="4"/>
      <c r="O15" s="336">
        <f t="shared" si="0"/>
        <v>0</v>
      </c>
    </row>
    <row r="16" spans="2:15" ht="12.75" hidden="1" customHeight="1" x14ac:dyDescent="0.3">
      <c r="B16" s="276">
        <v>11</v>
      </c>
      <c r="C16" s="277" t="str">
        <f>'Program Descriptions'!C15</f>
        <v>Empty</v>
      </c>
      <c r="D16" s="56"/>
      <c r="E16" s="585"/>
      <c r="F16" s="56"/>
      <c r="G16" s="585"/>
      <c r="H16" s="56"/>
      <c r="I16" s="585"/>
      <c r="J16" s="56"/>
      <c r="K16" s="585"/>
      <c r="L16" s="4"/>
      <c r="O16" s="336">
        <f t="shared" si="0"/>
        <v>0</v>
      </c>
    </row>
    <row r="17" spans="2:15" ht="12.75" hidden="1" customHeight="1" x14ac:dyDescent="0.3">
      <c r="B17" s="276">
        <v>12</v>
      </c>
      <c r="C17" s="277" t="str">
        <f>'Program Descriptions'!C16</f>
        <v>Empty</v>
      </c>
      <c r="D17" s="56"/>
      <c r="E17" s="585"/>
      <c r="F17" s="56"/>
      <c r="G17" s="585"/>
      <c r="H17" s="56"/>
      <c r="I17" s="585"/>
      <c r="J17" s="56"/>
      <c r="K17" s="585"/>
      <c r="L17" s="4"/>
      <c r="O17" s="336">
        <f t="shared" si="0"/>
        <v>0</v>
      </c>
    </row>
    <row r="18" spans="2:15" ht="12.75" hidden="1" customHeight="1" x14ac:dyDescent="0.3">
      <c r="B18" s="276">
        <v>13</v>
      </c>
      <c r="C18" s="277" t="str">
        <f>'Program Descriptions'!C17</f>
        <v>Empty</v>
      </c>
      <c r="D18" s="56"/>
      <c r="E18" s="585"/>
      <c r="F18" s="56"/>
      <c r="G18" s="585"/>
      <c r="H18" s="56"/>
      <c r="I18" s="585"/>
      <c r="J18" s="56"/>
      <c r="K18" s="585"/>
      <c r="L18" s="4"/>
      <c r="O18" s="336">
        <f t="shared" si="0"/>
        <v>0</v>
      </c>
    </row>
    <row r="19" spans="2:15" ht="12.75" hidden="1" customHeight="1" x14ac:dyDescent="0.3">
      <c r="B19" s="276">
        <v>14</v>
      </c>
      <c r="C19" s="277" t="str">
        <f>'Program Descriptions'!C18</f>
        <v>Empty</v>
      </c>
      <c r="D19" s="56"/>
      <c r="E19" s="585"/>
      <c r="F19" s="56"/>
      <c r="G19" s="585"/>
      <c r="H19" s="56"/>
      <c r="I19" s="585"/>
      <c r="J19" s="56"/>
      <c r="K19" s="585"/>
      <c r="L19" s="4"/>
      <c r="O19" s="336">
        <f t="shared" si="0"/>
        <v>0</v>
      </c>
    </row>
    <row r="20" spans="2:15" ht="12.75" hidden="1" customHeight="1" x14ac:dyDescent="0.3">
      <c r="B20" s="276">
        <v>15</v>
      </c>
      <c r="C20" s="277" t="str">
        <f>'Program Descriptions'!C19</f>
        <v>Empty</v>
      </c>
      <c r="D20" s="56"/>
      <c r="E20" s="585"/>
      <c r="F20" s="56"/>
      <c r="G20" s="585"/>
      <c r="H20" s="56"/>
      <c r="I20" s="585"/>
      <c r="J20" s="56"/>
      <c r="K20" s="585"/>
      <c r="L20" s="4"/>
      <c r="O20" s="336">
        <f t="shared" si="0"/>
        <v>0</v>
      </c>
    </row>
    <row r="21" spans="2:15" ht="12.75" hidden="1" customHeight="1" x14ac:dyDescent="0.3">
      <c r="B21" s="276">
        <v>16</v>
      </c>
      <c r="C21" s="277" t="str">
        <f>'Program Descriptions'!C20</f>
        <v>Empty</v>
      </c>
      <c r="D21" s="56"/>
      <c r="E21" s="585"/>
      <c r="F21" s="56"/>
      <c r="G21" s="585"/>
      <c r="H21" s="56"/>
      <c r="I21" s="585"/>
      <c r="J21" s="56"/>
      <c r="K21" s="585"/>
      <c r="L21" s="4"/>
      <c r="O21" s="336">
        <f t="shared" si="0"/>
        <v>0</v>
      </c>
    </row>
    <row r="22" spans="2:15" ht="12.75" hidden="1" customHeight="1" x14ac:dyDescent="0.3">
      <c r="B22" s="276">
        <v>17</v>
      </c>
      <c r="C22" s="277" t="str">
        <f>'Program Descriptions'!C21</f>
        <v>Empty</v>
      </c>
      <c r="D22" s="56"/>
      <c r="E22" s="585"/>
      <c r="F22" s="56"/>
      <c r="G22" s="585"/>
      <c r="H22" s="56"/>
      <c r="I22" s="585"/>
      <c r="J22" s="56"/>
      <c r="K22" s="585"/>
      <c r="L22" s="4"/>
      <c r="O22" s="336">
        <f t="shared" si="0"/>
        <v>0</v>
      </c>
    </row>
    <row r="23" spans="2:15" ht="12.75" hidden="1" customHeight="1" x14ac:dyDescent="0.3">
      <c r="B23" s="276">
        <v>18</v>
      </c>
      <c r="C23" s="277" t="str">
        <f>'Program Descriptions'!C22</f>
        <v>Empty</v>
      </c>
      <c r="D23" s="56"/>
      <c r="E23" s="585"/>
      <c r="F23" s="56"/>
      <c r="G23" s="585"/>
      <c r="H23" s="56"/>
      <c r="I23" s="585"/>
      <c r="J23" s="56"/>
      <c r="K23" s="585"/>
      <c r="L23" s="4"/>
      <c r="O23" s="336">
        <f t="shared" si="0"/>
        <v>0</v>
      </c>
    </row>
    <row r="24" spans="2:15" ht="12.75" hidden="1" customHeight="1" x14ac:dyDescent="0.3">
      <c r="B24" s="276">
        <v>19</v>
      </c>
      <c r="C24" s="277" t="str">
        <f>'Program Descriptions'!C23</f>
        <v>Empty</v>
      </c>
      <c r="D24" s="56"/>
      <c r="E24" s="585"/>
      <c r="F24" s="56"/>
      <c r="G24" s="585"/>
      <c r="H24" s="56"/>
      <c r="I24" s="585"/>
      <c r="J24" s="56"/>
      <c r="K24" s="585"/>
      <c r="L24" s="4"/>
      <c r="O24" s="336">
        <f t="shared" si="0"/>
        <v>0</v>
      </c>
    </row>
    <row r="25" spans="2:15" ht="12.75" hidden="1" customHeight="1" thickBot="1" x14ac:dyDescent="0.35">
      <c r="B25" s="276">
        <v>20</v>
      </c>
      <c r="C25" s="277" t="str">
        <f>'Program Descriptions'!C24</f>
        <v>Empty</v>
      </c>
      <c r="D25" s="108"/>
      <c r="E25" s="586"/>
      <c r="F25" s="108"/>
      <c r="G25" s="586"/>
      <c r="H25" s="108"/>
      <c r="I25" s="586"/>
      <c r="J25" s="108"/>
      <c r="K25" s="586"/>
      <c r="L25" s="4"/>
      <c r="O25" s="336">
        <f t="shared" si="0"/>
        <v>0</v>
      </c>
    </row>
    <row r="26" spans="2:15" ht="12.75" customHeight="1" thickBot="1" x14ac:dyDescent="0.4">
      <c r="B26" s="8"/>
      <c r="C26" s="280" t="s">
        <v>158</v>
      </c>
      <c r="D26" s="109">
        <v>9593.2934665354296</v>
      </c>
      <c r="E26" s="587">
        <v>4.5</v>
      </c>
      <c r="F26" s="109">
        <v>-10345.149145841511</v>
      </c>
      <c r="G26" s="587">
        <v>0.38</v>
      </c>
      <c r="H26" s="109">
        <v>2004.3346599433594</v>
      </c>
      <c r="I26" s="587">
        <v>1.46</v>
      </c>
      <c r="J26" s="109">
        <v>5653.667492745657</v>
      </c>
      <c r="K26" s="587">
        <v>2.16</v>
      </c>
      <c r="L26" s="4"/>
      <c r="O26" s="336">
        <f t="shared" si="0"/>
        <v>0</v>
      </c>
    </row>
    <row r="27" spans="2:15" ht="12.75" customHeight="1" x14ac:dyDescent="0.3">
      <c r="B27" s="5"/>
      <c r="C27" s="6"/>
      <c r="D27" s="6"/>
      <c r="E27" s="6"/>
      <c r="F27" s="6"/>
      <c r="G27" s="6"/>
      <c r="H27" s="6"/>
      <c r="I27" s="6"/>
      <c r="J27" s="6"/>
      <c r="K27" s="6"/>
      <c r="L27" s="7"/>
      <c r="O27" s="2">
        <f>SUM(O6:O26)</f>
        <v>0</v>
      </c>
    </row>
  </sheetData>
  <sheetProtection algorithmName="SHA-512" hashValue="pVs5kOj43p385xLYLpcSa81JK8mjeQMAEfQrqszOb6R5na1Q6uLIWl3B3j1+J9zt2fme+oXJgYRZz72VVBko/A==" saltValue="Yv8u1gy80QqVhEw1ifP27g==" spinCount="100000" sheet="1" objects="1" scenarios="1" formatRows="0"/>
  <mergeCells count="5">
    <mergeCell ref="J4:K4"/>
    <mergeCell ref="H4:I4"/>
    <mergeCell ref="F4:G4"/>
    <mergeCell ref="D4:E4"/>
    <mergeCell ref="B2:L2"/>
  </mergeCells>
  <conditionalFormatting sqref="D6:K25">
    <cfRule type="expression" dxfId="10" priority="1">
      <formula>$B6&gt;Programs</formula>
    </cfRule>
  </conditionalFormatting>
  <pageMargins left="0.25" right="0.25" top="0.5" bottom="0.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B1:L124"/>
  <sheetViews>
    <sheetView showGridLines="0" showRowColHeaders="0" zoomScale="110" zoomScaleNormal="110" workbookViewId="0">
      <pane ySplit="2" topLeftCell="A3" activePane="bottomLeft" state="frozen"/>
      <selection activeCell="K9" sqref="K9"/>
      <selection pane="bottomLeft" activeCell="P28" sqref="P28"/>
    </sheetView>
  </sheetViews>
  <sheetFormatPr defaultColWidth="9.1796875" defaultRowHeight="13" x14ac:dyDescent="0.3"/>
  <cols>
    <col min="1" max="1" width="1" style="2" customWidth="1"/>
    <col min="2" max="2" width="3.7265625" style="2" customWidth="1"/>
    <col min="3" max="3" width="35.81640625" style="2" customWidth="1"/>
    <col min="4" max="6" width="12.1796875" style="2" customWidth="1"/>
    <col min="7" max="7" width="10" style="2" customWidth="1"/>
    <col min="8" max="10" width="12.1796875" style="2" customWidth="1"/>
    <col min="11" max="11" width="1.7265625" style="2" customWidth="1"/>
    <col min="12" max="12" width="8.81640625" style="2" customWidth="1"/>
    <col min="13" max="13" width="1" style="2" customWidth="1"/>
    <col min="14" max="14" width="5.1796875" style="2" customWidth="1"/>
    <col min="15" max="16384" width="9.1796875" style="2"/>
  </cols>
  <sheetData>
    <row r="1" spans="2:12" ht="28.5" customHeight="1" x14ac:dyDescent="0.3"/>
    <row r="2" spans="2:12" ht="90" customHeight="1" x14ac:dyDescent="0.3">
      <c r="B2" s="456"/>
      <c r="C2" s="457"/>
      <c r="D2" s="457"/>
      <c r="E2" s="457"/>
      <c r="F2" s="457"/>
      <c r="G2" s="457"/>
      <c r="H2" s="457"/>
      <c r="I2" s="457"/>
      <c r="J2" s="457"/>
      <c r="K2" s="457"/>
      <c r="L2" s="458"/>
    </row>
    <row r="3" spans="2:12" ht="7.5" customHeight="1" x14ac:dyDescent="0.3">
      <c r="B3" s="459"/>
      <c r="C3" s="351"/>
      <c r="D3" s="351"/>
      <c r="E3" s="351"/>
      <c r="F3" s="351"/>
      <c r="G3" s="351"/>
      <c r="H3" s="351"/>
      <c r="I3" s="351"/>
      <c r="J3" s="351"/>
      <c r="K3" s="351"/>
      <c r="L3" s="460"/>
    </row>
    <row r="4" spans="2:12" ht="21" x14ac:dyDescent="0.3">
      <c r="B4" s="3"/>
      <c r="C4" s="684" t="s">
        <v>305</v>
      </c>
      <c r="D4" s="684"/>
      <c r="E4" s="684"/>
      <c r="F4" s="684"/>
      <c r="G4" s="684"/>
      <c r="H4" s="684"/>
      <c r="I4" s="684"/>
      <c r="J4" s="684"/>
      <c r="L4" s="4"/>
    </row>
    <row r="5" spans="2:12" ht="15.5" x14ac:dyDescent="0.35">
      <c r="B5" s="3"/>
      <c r="D5" s="683" t="str">
        <f>Prg_Year&amp;" LCFC Energy Savings "&amp;"("&amp;Energy_1&amp;")"</f>
        <v>2024 LCFC Energy Savings (Therms)</v>
      </c>
      <c r="E5" s="683"/>
      <c r="F5" s="683"/>
      <c r="H5" s="683" t="str">
        <f>Prg_Year&amp;" LCFC Cost Recovery ($)"</f>
        <v>2024 LCFC Cost Recovery ($)</v>
      </c>
      <c r="I5" s="683"/>
      <c r="J5" s="683"/>
      <c r="K5" s="252"/>
      <c r="L5" s="4"/>
    </row>
    <row r="6" spans="2:12" ht="15" customHeight="1" x14ac:dyDescent="0.35">
      <c r="B6" s="3"/>
      <c r="C6" s="9" t="s">
        <v>85</v>
      </c>
      <c r="D6" s="29">
        <f>Prg_Year</f>
        <v>2024</v>
      </c>
      <c r="E6" s="29">
        <f>D6-1</f>
        <v>2023</v>
      </c>
      <c r="F6" s="29" t="str">
        <f>"Prior to "&amp;E6</f>
        <v>Prior to 2023</v>
      </c>
      <c r="H6" s="29">
        <f>D6</f>
        <v>2024</v>
      </c>
      <c r="I6" s="29">
        <f>E6</f>
        <v>2023</v>
      </c>
      <c r="J6" s="29" t="str">
        <f>F6</f>
        <v>Prior to 2023</v>
      </c>
      <c r="K6" s="29"/>
      <c r="L6" s="4"/>
    </row>
    <row r="7" spans="2:12" ht="15" customHeight="1" x14ac:dyDescent="0.3">
      <c r="B7" s="276">
        <v>1</v>
      </c>
      <c r="C7" s="277" t="str">
        <f>'Program Descriptions'!C5</f>
        <v>Commercial &amp; Industrial Solutions Program</v>
      </c>
      <c r="D7" s="474">
        <v>168951.83975677312</v>
      </c>
      <c r="E7" s="474">
        <v>644245.52628884953</v>
      </c>
      <c r="F7" s="474">
        <v>432598.64175071428</v>
      </c>
      <c r="H7" s="464">
        <v>50826.961976112143</v>
      </c>
      <c r="I7" s="464">
        <v>132019.7570039524</v>
      </c>
      <c r="J7" s="599">
        <v>67213.005968444981</v>
      </c>
      <c r="K7" s="29"/>
      <c r="L7" s="4"/>
    </row>
    <row r="8" spans="2:12" ht="15" customHeight="1" x14ac:dyDescent="0.3">
      <c r="B8" s="276">
        <v>2</v>
      </c>
      <c r="C8" s="277" t="str">
        <f>'Program Descriptions'!C6</f>
        <v>Energy Efficiency Arkansas</v>
      </c>
      <c r="D8" s="474"/>
      <c r="E8" s="474"/>
      <c r="F8" s="474"/>
      <c r="H8" s="464"/>
      <c r="I8" s="464"/>
      <c r="J8" s="464"/>
      <c r="K8" s="29"/>
      <c r="L8" s="4"/>
    </row>
    <row r="9" spans="2:12" ht="15" customHeight="1" x14ac:dyDescent="0.3">
      <c r="B9" s="276">
        <v>3</v>
      </c>
      <c r="C9" s="277" t="str">
        <f>'Program Descriptions'!C7</f>
        <v>Residential Solution Program</v>
      </c>
      <c r="D9" s="474">
        <v>92531.269724610349</v>
      </c>
      <c r="E9" s="474">
        <v>42165.054540813573</v>
      </c>
      <c r="F9" s="474">
        <v>40275.519487148173</v>
      </c>
      <c r="H9" s="464">
        <v>63954.425927690609</v>
      </c>
      <c r="I9" s="464">
        <v>24903.693173113468</v>
      </c>
      <c r="J9" s="599">
        <v>23787.688421577401</v>
      </c>
      <c r="K9" s="29"/>
      <c r="L9" s="4"/>
    </row>
    <row r="10" spans="2:12" ht="15" customHeight="1" thickBot="1" x14ac:dyDescent="0.35">
      <c r="B10" s="276">
        <v>4</v>
      </c>
      <c r="C10" s="277" t="str">
        <f>'Program Descriptions'!C8</f>
        <v>Income Qualified Program</v>
      </c>
      <c r="D10" s="474">
        <v>4305.0032433829629</v>
      </c>
      <c r="E10" s="474">
        <v>5488.6407751533652</v>
      </c>
      <c r="F10" s="474">
        <v>8292.0056442265504</v>
      </c>
      <c r="H10" s="464">
        <v>6146.211114103402</v>
      </c>
      <c r="I10" s="464">
        <v>3241.7229691841812</v>
      </c>
      <c r="J10" s="599">
        <v>4897.4575416156622</v>
      </c>
      <c r="L10" s="4"/>
    </row>
    <row r="11" spans="2:12" ht="15" hidden="1" customHeight="1" x14ac:dyDescent="0.3">
      <c r="B11" s="276">
        <v>5</v>
      </c>
      <c r="C11" s="277" t="str">
        <f>'Program Descriptions'!C9</f>
        <v>Empty</v>
      </c>
      <c r="D11" s="474"/>
      <c r="E11" s="474"/>
      <c r="F11" s="474"/>
      <c r="H11" s="464"/>
      <c r="I11" s="464"/>
      <c r="J11" s="464"/>
      <c r="L11" s="4"/>
    </row>
    <row r="12" spans="2:12" ht="15" hidden="1" customHeight="1" x14ac:dyDescent="0.3">
      <c r="B12" s="276">
        <v>6</v>
      </c>
      <c r="C12" s="277" t="str">
        <f>'Program Descriptions'!C10</f>
        <v>Empty</v>
      </c>
      <c r="D12" s="474"/>
      <c r="E12" s="474"/>
      <c r="F12" s="474"/>
      <c r="H12" s="464"/>
      <c r="I12" s="464"/>
      <c r="J12" s="464"/>
      <c r="L12" s="4"/>
    </row>
    <row r="13" spans="2:12" ht="15" hidden="1" customHeight="1" x14ac:dyDescent="0.3">
      <c r="B13" s="276">
        <v>7</v>
      </c>
      <c r="C13" s="277" t="str">
        <f>'Program Descriptions'!C11</f>
        <v>Empty</v>
      </c>
      <c r="D13" s="474"/>
      <c r="E13" s="474"/>
      <c r="F13" s="474"/>
      <c r="H13" s="464"/>
      <c r="I13" s="464"/>
      <c r="J13" s="464"/>
      <c r="L13" s="4"/>
    </row>
    <row r="14" spans="2:12" ht="15" hidden="1" customHeight="1" x14ac:dyDescent="0.3">
      <c r="B14" s="276">
        <v>8</v>
      </c>
      <c r="C14" s="277" t="str">
        <f>'Program Descriptions'!C12</f>
        <v>Empty</v>
      </c>
      <c r="D14" s="474"/>
      <c r="E14" s="474"/>
      <c r="F14" s="474"/>
      <c r="H14" s="464"/>
      <c r="I14" s="464"/>
      <c r="J14" s="464"/>
      <c r="L14" s="4"/>
    </row>
    <row r="15" spans="2:12" ht="15" hidden="1" customHeight="1" x14ac:dyDescent="0.3">
      <c r="B15" s="276">
        <v>9</v>
      </c>
      <c r="C15" s="277" t="str">
        <f>'Program Descriptions'!C13</f>
        <v>Empty</v>
      </c>
      <c r="D15" s="474"/>
      <c r="E15" s="474"/>
      <c r="F15" s="474"/>
      <c r="H15" s="464"/>
      <c r="I15" s="464"/>
      <c r="J15" s="464"/>
      <c r="L15" s="4"/>
    </row>
    <row r="16" spans="2:12" ht="15" hidden="1" customHeight="1" x14ac:dyDescent="0.3">
      <c r="B16" s="276">
        <v>10</v>
      </c>
      <c r="C16" s="277" t="str">
        <f>'Program Descriptions'!C14</f>
        <v>Empty</v>
      </c>
      <c r="D16" s="474"/>
      <c r="E16" s="474"/>
      <c r="F16" s="474"/>
      <c r="H16" s="464"/>
      <c r="I16" s="464"/>
      <c r="J16" s="464"/>
      <c r="L16" s="4"/>
    </row>
    <row r="17" spans="2:12" ht="15" hidden="1" customHeight="1" x14ac:dyDescent="0.3">
      <c r="B17" s="276">
        <v>11</v>
      </c>
      <c r="C17" s="277" t="str">
        <f>'Program Descriptions'!C15</f>
        <v>Empty</v>
      </c>
      <c r="D17" s="474"/>
      <c r="E17" s="474"/>
      <c r="F17" s="474"/>
      <c r="H17" s="464"/>
      <c r="I17" s="464"/>
      <c r="J17" s="464"/>
      <c r="L17" s="4"/>
    </row>
    <row r="18" spans="2:12" ht="15" hidden="1" customHeight="1" x14ac:dyDescent="0.3">
      <c r="B18" s="276">
        <v>12</v>
      </c>
      <c r="C18" s="277" t="str">
        <f>'Program Descriptions'!C16</f>
        <v>Empty</v>
      </c>
      <c r="D18" s="474"/>
      <c r="E18" s="474"/>
      <c r="F18" s="474"/>
      <c r="H18" s="464"/>
      <c r="I18" s="464"/>
      <c r="J18" s="464"/>
      <c r="L18" s="4"/>
    </row>
    <row r="19" spans="2:12" ht="15" hidden="1" customHeight="1" x14ac:dyDescent="0.3">
      <c r="B19" s="276">
        <v>13</v>
      </c>
      <c r="C19" s="277" t="str">
        <f>'Program Descriptions'!C17</f>
        <v>Empty</v>
      </c>
      <c r="D19" s="474"/>
      <c r="E19" s="474"/>
      <c r="F19" s="474"/>
      <c r="H19" s="464"/>
      <c r="I19" s="464"/>
      <c r="J19" s="464"/>
      <c r="L19" s="4"/>
    </row>
    <row r="20" spans="2:12" ht="15" hidden="1" customHeight="1" x14ac:dyDescent="0.3">
      <c r="B20" s="276">
        <v>14</v>
      </c>
      <c r="C20" s="277" t="str">
        <f>'Program Descriptions'!C18</f>
        <v>Empty</v>
      </c>
      <c r="D20" s="474"/>
      <c r="E20" s="474"/>
      <c r="F20" s="474"/>
      <c r="H20" s="464"/>
      <c r="I20" s="464"/>
      <c r="J20" s="464"/>
      <c r="L20" s="4"/>
    </row>
    <row r="21" spans="2:12" ht="15" hidden="1" customHeight="1" x14ac:dyDescent="0.3">
      <c r="B21" s="276">
        <v>15</v>
      </c>
      <c r="C21" s="277" t="str">
        <f>'Program Descriptions'!C19</f>
        <v>Empty</v>
      </c>
      <c r="D21" s="474"/>
      <c r="E21" s="474"/>
      <c r="F21" s="474"/>
      <c r="H21" s="464"/>
      <c r="I21" s="464"/>
      <c r="J21" s="464"/>
      <c r="L21" s="4"/>
    </row>
    <row r="22" spans="2:12" ht="15" hidden="1" customHeight="1" x14ac:dyDescent="0.3">
      <c r="B22" s="276">
        <v>16</v>
      </c>
      <c r="C22" s="277" t="str">
        <f>'Program Descriptions'!C20</f>
        <v>Empty</v>
      </c>
      <c r="D22" s="474"/>
      <c r="E22" s="474"/>
      <c r="F22" s="474"/>
      <c r="H22" s="464"/>
      <c r="I22" s="464"/>
      <c r="J22" s="464"/>
      <c r="L22" s="4"/>
    </row>
    <row r="23" spans="2:12" ht="15" hidden="1" customHeight="1" x14ac:dyDescent="0.3">
      <c r="B23" s="276">
        <v>17</v>
      </c>
      <c r="C23" s="277" t="str">
        <f>'Program Descriptions'!C21</f>
        <v>Empty</v>
      </c>
      <c r="D23" s="474"/>
      <c r="E23" s="474"/>
      <c r="F23" s="474"/>
      <c r="H23" s="465"/>
      <c r="I23" s="465"/>
      <c r="J23" s="465"/>
      <c r="L23" s="4"/>
    </row>
    <row r="24" spans="2:12" ht="15" hidden="1" customHeight="1" x14ac:dyDescent="0.3">
      <c r="B24" s="276">
        <v>18</v>
      </c>
      <c r="C24" s="277" t="str">
        <f>'Program Descriptions'!C22</f>
        <v>Empty</v>
      </c>
      <c r="D24" s="474"/>
      <c r="E24" s="474"/>
      <c r="F24" s="474"/>
      <c r="H24" s="465"/>
      <c r="I24" s="465"/>
      <c r="J24" s="465"/>
      <c r="L24" s="4"/>
    </row>
    <row r="25" spans="2:12" ht="15" hidden="1" customHeight="1" x14ac:dyDescent="0.3">
      <c r="B25" s="276">
        <v>19</v>
      </c>
      <c r="C25" s="277" t="str">
        <f>'Program Descriptions'!C23</f>
        <v>Empty</v>
      </c>
      <c r="D25" s="474"/>
      <c r="E25" s="474"/>
      <c r="F25" s="474"/>
      <c r="H25" s="465"/>
      <c r="I25" s="465"/>
      <c r="J25" s="465"/>
      <c r="L25" s="4"/>
    </row>
    <row r="26" spans="2:12" ht="15" hidden="1" customHeight="1" thickBot="1" x14ac:dyDescent="0.35">
      <c r="B26" s="276">
        <v>20</v>
      </c>
      <c r="C26" s="277" t="str">
        <f>'Program Descriptions'!C24</f>
        <v>Empty</v>
      </c>
      <c r="D26" s="479"/>
      <c r="E26" s="479"/>
      <c r="F26" s="479"/>
      <c r="H26" s="466"/>
      <c r="I26" s="466"/>
      <c r="J26" s="466"/>
      <c r="L26" s="4"/>
    </row>
    <row r="27" spans="2:12" ht="15" customHeight="1" x14ac:dyDescent="0.35">
      <c r="B27" s="3"/>
      <c r="C27" s="280" t="s">
        <v>150</v>
      </c>
      <c r="D27" s="69">
        <f>SUM(D7:D26)</f>
        <v>265788.11272476643</v>
      </c>
      <c r="E27" s="69">
        <f>SUM(E7:E26)</f>
        <v>691899.2216048165</v>
      </c>
      <c r="F27" s="69">
        <f>SUM(F7:F26)</f>
        <v>481166.16688208899</v>
      </c>
      <c r="H27" s="14">
        <f>SUM(H7:H26)</f>
        <v>120927.59901790615</v>
      </c>
      <c r="I27" s="14">
        <f>SUM(I7:I26)</f>
        <v>160165.17314625005</v>
      </c>
      <c r="J27" s="14">
        <f>SUM(J7:J26)</f>
        <v>95898.151931638044</v>
      </c>
      <c r="L27" s="4"/>
    </row>
    <row r="28" spans="2:12" ht="15" customHeight="1" x14ac:dyDescent="0.3">
      <c r="B28" s="3"/>
      <c r="L28" s="4"/>
    </row>
    <row r="29" spans="2:12" ht="15" customHeight="1" x14ac:dyDescent="0.35">
      <c r="B29" s="3"/>
      <c r="D29" s="683" t="str">
        <f>D5</f>
        <v>2024 LCFC Energy Savings (Therms)</v>
      </c>
      <c r="E29" s="683"/>
      <c r="F29" s="683"/>
      <c r="H29" s="683" t="str">
        <f>H5</f>
        <v>2024 LCFC Cost Recovery ($)</v>
      </c>
      <c r="I29" s="683"/>
      <c r="J29" s="683"/>
      <c r="L29" s="4"/>
    </row>
    <row r="30" spans="2:12" x14ac:dyDescent="0.3">
      <c r="B30" s="3"/>
      <c r="D30" s="29">
        <f>D6</f>
        <v>2024</v>
      </c>
      <c r="E30" s="29">
        <f>E6</f>
        <v>2023</v>
      </c>
      <c r="F30" s="29" t="str">
        <f>F6</f>
        <v>Prior to 2023</v>
      </c>
      <c r="I30" s="29">
        <f>I6</f>
        <v>2023</v>
      </c>
      <c r="J30" s="29" t="str">
        <f>J6</f>
        <v>Prior to 2023</v>
      </c>
      <c r="L30" s="4"/>
    </row>
    <row r="31" spans="2:12" ht="15" customHeight="1" x14ac:dyDescent="0.35">
      <c r="B31" s="3"/>
      <c r="C31" s="333" t="s">
        <v>306</v>
      </c>
      <c r="D31" s="436" t="s">
        <v>106</v>
      </c>
      <c r="E31" s="474">
        <v>0</v>
      </c>
      <c r="F31" s="474">
        <v>0</v>
      </c>
      <c r="H31" s="436" t="s">
        <v>106</v>
      </c>
      <c r="I31" s="464">
        <v>0</v>
      </c>
      <c r="J31" s="464">
        <v>0</v>
      </c>
      <c r="L31" s="4"/>
    </row>
    <row r="32" spans="2:12" ht="15" customHeight="1" x14ac:dyDescent="0.3">
      <c r="B32" s="3"/>
      <c r="C32" s="277"/>
      <c r="L32" s="4"/>
    </row>
    <row r="33" spans="2:12" ht="15" customHeight="1" x14ac:dyDescent="0.35">
      <c r="B33" s="3"/>
      <c r="I33" s="71" t="str">
        <f>"Total LCFC Recovery for Program Year "&amp;D6&amp;":"</f>
        <v>Total LCFC Recovery for Program Year 2024:</v>
      </c>
      <c r="J33" s="11">
        <f>H27+I27+J27+I31+J31</f>
        <v>376990.92409579421</v>
      </c>
      <c r="L33" s="4"/>
    </row>
    <row r="34" spans="2:12" ht="15" customHeight="1" x14ac:dyDescent="0.35">
      <c r="B34" s="3"/>
      <c r="I34" s="71"/>
      <c r="J34" s="11"/>
      <c r="L34" s="4"/>
    </row>
    <row r="35" spans="2:12" ht="15" customHeight="1" x14ac:dyDescent="0.35">
      <c r="B35" s="3"/>
      <c r="E35" s="334" t="s">
        <v>307</v>
      </c>
      <c r="F35" s="332" t="s">
        <v>308</v>
      </c>
      <c r="I35" s="71"/>
      <c r="J35" s="11"/>
      <c r="L35" s="4"/>
    </row>
    <row r="36" spans="2:12" ht="15" customHeight="1" x14ac:dyDescent="0.3">
      <c r="B36" s="3"/>
      <c r="E36" s="334" t="s">
        <v>309</v>
      </c>
      <c r="F36" s="335"/>
      <c r="L36" s="4"/>
    </row>
    <row r="37" spans="2:12" ht="15" customHeight="1" x14ac:dyDescent="0.3">
      <c r="B37" s="5"/>
      <c r="C37" s="6"/>
      <c r="D37" s="6"/>
      <c r="E37" s="6"/>
      <c r="F37" s="6"/>
      <c r="G37" s="6"/>
      <c r="H37" s="6"/>
      <c r="I37" s="6"/>
      <c r="J37" s="6"/>
      <c r="K37" s="6"/>
      <c r="L37" s="7"/>
    </row>
    <row r="38" spans="2:12" ht="15" customHeight="1" x14ac:dyDescent="0.3">
      <c r="C38" s="2" t="s">
        <v>310</v>
      </c>
    </row>
    <row r="39" spans="2:12" ht="15" customHeight="1" x14ac:dyDescent="0.3"/>
    <row r="40" spans="2:12" ht="15" customHeight="1" x14ac:dyDescent="0.3"/>
    <row r="41" spans="2:12" ht="15" customHeight="1" x14ac:dyDescent="0.3"/>
    <row r="42" spans="2:12" ht="15" customHeight="1" x14ac:dyDescent="0.3"/>
    <row r="43" spans="2:12" ht="15" customHeight="1" x14ac:dyDescent="0.3"/>
    <row r="44" spans="2:12" ht="15" customHeight="1" x14ac:dyDescent="0.3"/>
    <row r="45" spans="2:12" ht="15" customHeight="1" x14ac:dyDescent="0.3"/>
    <row r="46" spans="2:12" ht="15" customHeight="1" x14ac:dyDescent="0.3"/>
    <row r="47" spans="2:12" ht="15" customHeight="1" x14ac:dyDescent="0.3"/>
    <row r="48" spans="2:12"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sheetData>
  <sheetProtection algorithmName="SHA-512" hashValue="rWhWH+k3iq5dQG29Dei7jtbPrRl1yyYYx7xTPh6MZVuSaRIoVXfk1DyoOGvY7Z6Bwqi8eA+MvbkNKiUChlHO8g==" saltValue="1P7xigVv93+GdWmkdJFb9g==" spinCount="100000" sheet="1" objects="1" scenarios="1" formatRows="0"/>
  <mergeCells count="5">
    <mergeCell ref="D5:F5"/>
    <mergeCell ref="H5:J5"/>
    <mergeCell ref="C4:J4"/>
    <mergeCell ref="D29:F29"/>
    <mergeCell ref="H29:J29"/>
  </mergeCells>
  <conditionalFormatting sqref="D7:F26 H7:J26">
    <cfRule type="expression" dxfId="9" priority="1">
      <formula>$B7&gt;Programs</formula>
    </cfRule>
  </conditionalFormatting>
  <dataValidations count="1">
    <dataValidation type="list" allowBlank="1" showInputMessage="1" showErrorMessage="1" sqref="F35" xr:uid="{00000000-0002-0000-1400-000000000000}">
      <formula1>"Yes, No"</formula1>
    </dataValidation>
  </dataValidations>
  <pageMargins left="0.25" right="0.25" top="0.25" bottom="0.2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B1:O109"/>
  <sheetViews>
    <sheetView showGridLines="0" showRowColHeaders="0" zoomScale="110" zoomScaleNormal="110" workbookViewId="0">
      <pane ySplit="2" topLeftCell="A3" activePane="bottomLeft" state="frozen"/>
      <selection activeCell="K9" sqref="K9"/>
      <selection pane="bottomLeft" activeCell="F17" sqref="F17"/>
    </sheetView>
  </sheetViews>
  <sheetFormatPr defaultColWidth="9.1796875" defaultRowHeight="13" x14ac:dyDescent="0.3"/>
  <cols>
    <col min="1" max="1" width="1" style="2" customWidth="1"/>
    <col min="2" max="2" width="3.7265625" style="2" customWidth="1"/>
    <col min="3" max="3" width="28.54296875" style="2" customWidth="1"/>
    <col min="4" max="6" width="12.1796875" style="2" customWidth="1"/>
    <col min="7" max="7" width="3.81640625" style="2" customWidth="1"/>
    <col min="8" max="8" width="23" style="2" customWidth="1"/>
    <col min="9" max="11" width="12.1796875" style="2" customWidth="1"/>
    <col min="12" max="12" width="1.1796875" style="2" customWidth="1"/>
    <col min="13" max="13" width="1" style="2" customWidth="1"/>
    <col min="14" max="14" width="16" style="2" customWidth="1"/>
    <col min="15" max="15" width="0" style="2" hidden="1" customWidth="1"/>
    <col min="16" max="16384" width="9.1796875" style="2"/>
  </cols>
  <sheetData>
    <row r="1" spans="2:15" ht="28.5" customHeight="1" x14ac:dyDescent="0.3"/>
    <row r="2" spans="2:15" ht="64.5" customHeight="1" x14ac:dyDescent="0.3">
      <c r="B2" s="456"/>
      <c r="C2" s="457"/>
      <c r="D2" s="457"/>
      <c r="E2" s="457"/>
      <c r="F2" s="457"/>
      <c r="G2" s="457"/>
      <c r="H2" s="457"/>
      <c r="I2" s="457"/>
      <c r="J2" s="457"/>
      <c r="K2" s="457"/>
      <c r="L2" s="458"/>
    </row>
    <row r="3" spans="2:15" ht="11.25" customHeight="1" x14ac:dyDescent="0.3">
      <c r="B3" s="459"/>
      <c r="C3" s="354" t="str">
        <f>IF(O7&gt;0,"Incomplete - All yellow shaded cells must be completed.","")</f>
        <v/>
      </c>
      <c r="D3" s="351"/>
      <c r="E3" s="351"/>
      <c r="F3" s="351"/>
      <c r="G3" s="351"/>
      <c r="H3" s="351"/>
      <c r="I3" s="351"/>
      <c r="J3" s="351"/>
      <c r="K3" s="351"/>
      <c r="L3" s="460"/>
    </row>
    <row r="4" spans="2:15" ht="15" customHeight="1" x14ac:dyDescent="0.35">
      <c r="B4" s="72" t="s">
        <v>311</v>
      </c>
      <c r="G4" s="73" t="s">
        <v>312</v>
      </c>
      <c r="L4" s="4"/>
    </row>
    <row r="5" spans="2:15" ht="15" customHeight="1" x14ac:dyDescent="0.3">
      <c r="B5" s="276">
        <v>1</v>
      </c>
      <c r="C5" s="2" t="str">
        <f>INDEX(Targets,MATCH(D12,Target_Year,0),3)&amp;" Annual Energy Sales"</f>
        <v>20xx Annual Energy Sales</v>
      </c>
      <c r="D5" s="474">
        <v>266990639</v>
      </c>
      <c r="E5" s="285" t="str">
        <f>Energy_2</f>
        <v>Therms</v>
      </c>
      <c r="G5" s="284">
        <v>1</v>
      </c>
      <c r="H5" s="2" t="s">
        <v>313</v>
      </c>
      <c r="I5" s="437">
        <f>'Rec1'!E26</f>
        <v>4187184</v>
      </c>
      <c r="L5" s="4"/>
      <c r="O5" s="2">
        <f>IF(ISBLANK(D5),1,0)</f>
        <v>0</v>
      </c>
    </row>
    <row r="6" spans="2:15" ht="15" customHeight="1" x14ac:dyDescent="0.3">
      <c r="B6" s="276">
        <v>2</v>
      </c>
      <c r="C6" s="2" t="s">
        <v>314</v>
      </c>
      <c r="D6" s="474">
        <v>32556250</v>
      </c>
      <c r="E6" s="285" t="str">
        <f>E5</f>
        <v>Therms</v>
      </c>
      <c r="G6" s="284">
        <v>2</v>
      </c>
      <c r="H6" s="2" t="s">
        <v>315</v>
      </c>
      <c r="I6" s="437">
        <f>'Actual Expenses'!J91</f>
        <v>3961624.8899999997</v>
      </c>
      <c r="L6" s="4"/>
      <c r="O6" s="2">
        <f>IF(ISBLANK(D6),1,0)</f>
        <v>0</v>
      </c>
    </row>
    <row r="7" spans="2:15" ht="15" customHeight="1" x14ac:dyDescent="0.3">
      <c r="B7" s="3"/>
      <c r="C7" s="286" t="s">
        <v>316</v>
      </c>
      <c r="D7" s="135">
        <f>D5-D6</f>
        <v>234434389</v>
      </c>
      <c r="E7" s="285" t="str">
        <f>E5</f>
        <v>Therms</v>
      </c>
      <c r="G7" s="284">
        <v>3</v>
      </c>
      <c r="H7" s="2" t="str">
        <f>E5&amp;" Achieved"</f>
        <v>Therms Achieved</v>
      </c>
      <c r="I7" s="18">
        <f>IF(Titles!F13=Titles!B24,'Evaluated Savings'!E26/1000,'Evaluated Savings'!E26)</f>
        <v>1350413</v>
      </c>
      <c r="L7" s="4"/>
      <c r="O7" s="2">
        <f>SUM(O5:O6)</f>
        <v>0</v>
      </c>
    </row>
    <row r="8" spans="2:15" ht="15" customHeight="1" x14ac:dyDescent="0.3">
      <c r="B8" s="8"/>
      <c r="G8" s="284">
        <v>4</v>
      </c>
      <c r="H8" s="2" t="s">
        <v>317</v>
      </c>
      <c r="I8" s="437">
        <f>'Cost-Benefits'!I27*1000</f>
        <v>3756167.1256947964</v>
      </c>
      <c r="L8" s="4"/>
    </row>
    <row r="9" spans="2:15" ht="15" customHeight="1" x14ac:dyDescent="0.35">
      <c r="B9" s="72"/>
      <c r="L9" s="4"/>
    </row>
    <row r="10" spans="2:15" ht="15" customHeight="1" x14ac:dyDescent="0.3">
      <c r="B10" s="3"/>
      <c r="L10" s="4"/>
    </row>
    <row r="11" spans="2:15" ht="15" customHeight="1" x14ac:dyDescent="0.3">
      <c r="B11" s="3"/>
      <c r="L11" s="4"/>
    </row>
    <row r="12" spans="2:15" ht="15" customHeight="1" x14ac:dyDescent="0.35">
      <c r="B12" s="72" t="s">
        <v>318</v>
      </c>
      <c r="D12" s="29">
        <f>Prg_Year</f>
        <v>2024</v>
      </c>
      <c r="F12" s="382" t="s">
        <v>319</v>
      </c>
      <c r="L12" s="4"/>
    </row>
    <row r="13" spans="2:15" ht="15" customHeight="1" x14ac:dyDescent="0.3">
      <c r="B13" s="276">
        <v>1</v>
      </c>
      <c r="C13" s="2" t="str">
        <f>"Energy Baseline"&amp;" ("&amp;E5&amp;")"</f>
        <v>Energy Baseline (Therms)</v>
      </c>
      <c r="D13" s="75">
        <f>D7</f>
        <v>234434389</v>
      </c>
      <c r="F13" s="381">
        <f>I7/D7</f>
        <v>5.7603025126147338E-3</v>
      </c>
      <c r="G13" s="2" t="str">
        <f>"of "&amp;C5&amp;" adjusted for self-direct."</f>
        <v>of 20xx Annual Energy Sales adjusted for self-direct.</v>
      </c>
      <c r="L13" s="4"/>
    </row>
    <row r="14" spans="2:15" ht="15" customHeight="1" x14ac:dyDescent="0.3">
      <c r="B14" s="276">
        <f>B13+1</f>
        <v>2</v>
      </c>
      <c r="C14" s="2" t="s">
        <v>320</v>
      </c>
      <c r="D14" s="74">
        <v>5.0000000000000001E-3</v>
      </c>
      <c r="F14" s="381">
        <f>I7/D5</f>
        <v>5.0579039214929183E-3</v>
      </c>
      <c r="G14" s="2" t="str">
        <f>"of unadjusted "&amp;C5&amp;"."</f>
        <v>of unadjusted 20xx Annual Energy Sales.</v>
      </c>
      <c r="L14" s="4"/>
    </row>
    <row r="15" spans="2:15" ht="15" customHeight="1" x14ac:dyDescent="0.3">
      <c r="B15" s="276">
        <f t="shared" ref="B15:B20" si="0">B14+1</f>
        <v>3</v>
      </c>
      <c r="C15" s="2" t="str">
        <f>E5&amp;" Goal"</f>
        <v>Therms Goal</v>
      </c>
      <c r="D15" s="75">
        <f>D13*D14</f>
        <v>1172171.9450000001</v>
      </c>
      <c r="F15" s="381">
        <f>I7/'Utility Information'!F11</f>
        <v>4.6434012862070235E-3</v>
      </c>
      <c r="G15" s="2" t="str">
        <f>"of "&amp;Prg_Year&amp; " retail sales."</f>
        <v>of 2024 retail sales.</v>
      </c>
      <c r="L15" s="4"/>
    </row>
    <row r="16" spans="2:15" ht="15" customHeight="1" x14ac:dyDescent="0.3">
      <c r="B16" s="276">
        <f t="shared" si="0"/>
        <v>4</v>
      </c>
      <c r="C16" s="2" t="str">
        <f>H7</f>
        <v>Therms Achieved</v>
      </c>
      <c r="D16" s="75">
        <f>I7</f>
        <v>1350413</v>
      </c>
      <c r="L16" s="4"/>
    </row>
    <row r="17" spans="2:12" ht="15" customHeight="1" x14ac:dyDescent="0.3">
      <c r="B17" s="276">
        <f t="shared" si="0"/>
        <v>5</v>
      </c>
      <c r="C17" s="2" t="s">
        <v>321</v>
      </c>
      <c r="D17" s="74">
        <f>ROUND(D16/D15,2)</f>
        <v>1.1499999999999999</v>
      </c>
      <c r="L17" s="4"/>
    </row>
    <row r="18" spans="2:12" ht="15" customHeight="1" x14ac:dyDescent="0.3">
      <c r="B18" s="276">
        <f t="shared" si="0"/>
        <v>6</v>
      </c>
      <c r="C18" s="2" t="s">
        <v>322</v>
      </c>
      <c r="D18" s="77">
        <f>0.1*I8</f>
        <v>375616.71256947966</v>
      </c>
      <c r="L18" s="4"/>
    </row>
    <row r="19" spans="2:12" ht="15" customHeight="1" x14ac:dyDescent="0.3">
      <c r="B19" s="276">
        <f t="shared" si="0"/>
        <v>7</v>
      </c>
      <c r="C19" s="2" t="s">
        <v>323</v>
      </c>
      <c r="D19" s="76">
        <f>IF(D17&lt;80%,0,IF(D17&gt;=120%,8%,((D17-80%)/10)+4%))</f>
        <v>7.4999999999999983E-2</v>
      </c>
      <c r="E19" s="76"/>
      <c r="L19" s="4"/>
    </row>
    <row r="20" spans="2:12" ht="15" customHeight="1" x14ac:dyDescent="0.3">
      <c r="B20" s="276">
        <f t="shared" si="0"/>
        <v>8</v>
      </c>
      <c r="C20" s="2" t="s">
        <v>324</v>
      </c>
      <c r="D20" s="77">
        <f>D19*I5</f>
        <v>314038.79999999993</v>
      </c>
      <c r="L20" s="4"/>
    </row>
    <row r="21" spans="2:12" ht="15" customHeight="1" thickBot="1" x14ac:dyDescent="0.4">
      <c r="B21" s="3"/>
      <c r="C21" s="78" t="s">
        <v>325</v>
      </c>
      <c r="D21" s="79">
        <f>IF(D18&lt;D20,D18,D20)</f>
        <v>314038.79999999993</v>
      </c>
      <c r="L21" s="4"/>
    </row>
    <row r="22" spans="2:12" ht="15" customHeight="1" thickTop="1" x14ac:dyDescent="0.3">
      <c r="B22" s="5"/>
      <c r="C22" s="6"/>
      <c r="D22" s="6"/>
      <c r="E22" s="6"/>
      <c r="F22" s="6"/>
      <c r="G22" s="6"/>
      <c r="H22" s="6"/>
      <c r="I22" s="6"/>
      <c r="J22" s="6"/>
      <c r="K22" s="6"/>
      <c r="L22" s="7"/>
    </row>
    <row r="23" spans="2:12" ht="15" customHeight="1" x14ac:dyDescent="0.3"/>
    <row r="24" spans="2:12"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sheetData>
  <sheetProtection algorithmName="SHA-512" hashValue="8d96wvC4ygB4KB0/glr4QEJ3iIR1F/qPchYD+PRvyTuOnMseqf+7pf4+1WogMJWzexq7w8QRd7hT/T5vZPGJxA==" saltValue="v+ZWXYt6XBFYPYCHdj+pyw==" spinCount="100000" sheet="1" objects="1" scenarios="1" formatRows="0"/>
  <pageMargins left="0.25" right="0.25" top="0.25" bottom="0.2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K108"/>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3.7265625" style="2" customWidth="1"/>
    <col min="3" max="3" width="7.81640625" style="2" customWidth="1"/>
    <col min="4" max="4" width="10" style="2" customWidth="1"/>
    <col min="5" max="6" width="18" style="2" customWidth="1"/>
    <col min="7" max="7" width="11.26953125" style="2" customWidth="1"/>
    <col min="8" max="8" width="18" style="2" customWidth="1"/>
    <col min="9" max="9" width="11.453125" style="2" customWidth="1"/>
    <col min="10" max="10" width="9.1796875" style="2"/>
    <col min="11" max="11" width="25.54296875" style="2" customWidth="1"/>
    <col min="12" max="12" width="1" style="2" customWidth="1"/>
    <col min="13" max="13" width="16" style="2" customWidth="1"/>
    <col min="14" max="16384" width="9.1796875" style="2"/>
  </cols>
  <sheetData>
    <row r="1" spans="2:11" ht="28.5" customHeight="1" x14ac:dyDescent="0.3"/>
    <row r="2" spans="2:11" ht="64.5" customHeight="1" x14ac:dyDescent="0.3">
      <c r="B2" s="456"/>
      <c r="C2" s="457"/>
      <c r="D2" s="457"/>
      <c r="E2" s="457"/>
      <c r="F2" s="457"/>
      <c r="G2" s="457"/>
      <c r="H2" s="457"/>
      <c r="I2" s="457"/>
      <c r="J2" s="457"/>
      <c r="K2" s="458"/>
    </row>
    <row r="3" spans="2:11" ht="7.5" customHeight="1" x14ac:dyDescent="0.3">
      <c r="B3" s="459"/>
      <c r="C3" s="351"/>
      <c r="D3" s="351"/>
      <c r="E3" s="351"/>
      <c r="F3" s="351"/>
      <c r="G3" s="351"/>
      <c r="H3" s="351"/>
      <c r="I3" s="351"/>
      <c r="J3" s="351"/>
      <c r="K3" s="460"/>
    </row>
    <row r="4" spans="2:11" ht="14.25" customHeight="1" x14ac:dyDescent="0.45">
      <c r="B4" s="3"/>
      <c r="E4" s="306"/>
      <c r="F4" s="307"/>
      <c r="G4" s="307"/>
      <c r="H4" s="307"/>
      <c r="I4" s="307"/>
      <c r="K4" s="4"/>
    </row>
    <row r="5" spans="2:11" ht="27" customHeight="1" x14ac:dyDescent="0.35">
      <c r="B5" s="3"/>
      <c r="C5" s="9"/>
      <c r="E5" s="278"/>
      <c r="F5" s="278"/>
      <c r="G5" s="278"/>
      <c r="H5" s="278"/>
      <c r="I5" s="278"/>
      <c r="K5" s="4"/>
    </row>
    <row r="6" spans="2:11" ht="12.75" customHeight="1" x14ac:dyDescent="0.3">
      <c r="B6" s="3"/>
      <c r="E6" s="278"/>
      <c r="F6" s="278"/>
      <c r="G6" s="308"/>
      <c r="H6" s="278"/>
      <c r="I6" s="308"/>
      <c r="K6" s="4"/>
    </row>
    <row r="7" spans="2:11" ht="15" customHeight="1" x14ac:dyDescent="0.3">
      <c r="B7" s="3"/>
      <c r="E7" s="266"/>
      <c r="F7" s="266"/>
      <c r="G7" s="309"/>
      <c r="H7" s="266"/>
      <c r="I7" s="309"/>
      <c r="K7" s="4"/>
    </row>
    <row r="8" spans="2:11" ht="15" customHeight="1" x14ac:dyDescent="0.3">
      <c r="B8" s="3"/>
      <c r="E8" s="266"/>
      <c r="F8" s="266"/>
      <c r="G8" s="309"/>
      <c r="H8" s="266"/>
      <c r="I8" s="309"/>
      <c r="K8" s="4"/>
    </row>
    <row r="9" spans="2:11" ht="15" customHeight="1" x14ac:dyDescent="0.3">
      <c r="B9" s="3"/>
      <c r="E9" s="266"/>
      <c r="F9" s="266"/>
      <c r="G9" s="309"/>
      <c r="H9" s="266"/>
      <c r="I9" s="309"/>
      <c r="K9" s="4"/>
    </row>
    <row r="10" spans="2:11" ht="15" customHeight="1" x14ac:dyDescent="0.35">
      <c r="B10" s="3"/>
      <c r="E10" s="632" t="s">
        <v>196</v>
      </c>
      <c r="F10" s="632"/>
      <c r="G10" s="632"/>
      <c r="H10" s="632"/>
      <c r="I10" s="632"/>
      <c r="J10" s="632"/>
      <c r="K10" s="4"/>
    </row>
    <row r="11" spans="2:11" ht="15" customHeight="1" x14ac:dyDescent="0.3">
      <c r="B11" s="3"/>
      <c r="E11" s="266"/>
      <c r="F11" s="266"/>
      <c r="G11" s="309"/>
      <c r="H11" s="266"/>
      <c r="I11" s="309"/>
      <c r="K11" s="4"/>
    </row>
    <row r="12" spans="2:11" ht="15" customHeight="1" x14ac:dyDescent="0.3">
      <c r="B12" s="3"/>
      <c r="K12" s="4"/>
    </row>
    <row r="13" spans="2:11" ht="14.25" customHeight="1" x14ac:dyDescent="0.45">
      <c r="B13" s="3"/>
      <c r="E13" s="306"/>
      <c r="F13" s="307"/>
      <c r="G13" s="307"/>
      <c r="H13" s="307"/>
      <c r="I13" s="307"/>
      <c r="K13" s="4"/>
    </row>
    <row r="14" spans="2:11" ht="39" customHeight="1" x14ac:dyDescent="0.35">
      <c r="B14" s="3"/>
      <c r="C14" s="9"/>
      <c r="E14" s="278"/>
      <c r="F14" s="278"/>
      <c r="G14" s="278"/>
      <c r="H14" s="278"/>
      <c r="I14" s="278"/>
      <c r="K14" s="4"/>
    </row>
    <row r="15" spans="2:11" ht="9.75" customHeight="1" x14ac:dyDescent="0.3">
      <c r="B15" s="3"/>
      <c r="E15" s="278"/>
      <c r="F15" s="278"/>
      <c r="G15" s="308"/>
      <c r="H15" s="278"/>
      <c r="I15" s="308"/>
      <c r="K15" s="4"/>
    </row>
    <row r="16" spans="2:11" ht="15" customHeight="1" x14ac:dyDescent="0.3">
      <c r="B16" s="3"/>
      <c r="E16" s="310"/>
      <c r="F16" s="310"/>
      <c r="G16" s="309"/>
      <c r="H16" s="310"/>
      <c r="I16" s="309"/>
      <c r="K16" s="4"/>
    </row>
    <row r="17" spans="2:11" ht="15" customHeight="1" x14ac:dyDescent="0.3">
      <c r="B17" s="3"/>
      <c r="E17" s="310"/>
      <c r="F17" s="310"/>
      <c r="G17" s="309"/>
      <c r="H17" s="310"/>
      <c r="I17" s="309"/>
      <c r="K17" s="4"/>
    </row>
    <row r="18" spans="2:11" ht="15" customHeight="1" x14ac:dyDescent="0.3">
      <c r="B18" s="3"/>
      <c r="E18" s="310"/>
      <c r="F18" s="310"/>
      <c r="G18" s="309"/>
      <c r="H18" s="310"/>
      <c r="I18" s="309"/>
      <c r="K18" s="4"/>
    </row>
    <row r="19" spans="2:11" ht="15" customHeight="1" x14ac:dyDescent="0.3">
      <c r="B19" s="3"/>
      <c r="E19" s="310"/>
      <c r="F19" s="310"/>
      <c r="G19" s="309"/>
      <c r="H19" s="310"/>
      <c r="I19" s="309"/>
      <c r="K19" s="4"/>
    </row>
    <row r="20" spans="2:11" ht="15" customHeight="1" x14ac:dyDescent="0.3">
      <c r="B20" s="3"/>
      <c r="E20" s="310"/>
      <c r="F20" s="310"/>
      <c r="G20" s="309"/>
      <c r="H20" s="310"/>
      <c r="I20" s="309"/>
      <c r="K20" s="4"/>
    </row>
    <row r="21" spans="2:11" ht="15" customHeight="1" x14ac:dyDescent="0.3">
      <c r="B21" s="5"/>
      <c r="C21" s="6"/>
      <c r="D21" s="6"/>
      <c r="E21" s="6"/>
      <c r="F21" s="6"/>
      <c r="G21" s="6"/>
      <c r="H21" s="6"/>
      <c r="I21" s="6"/>
      <c r="J21" s="6"/>
      <c r="K21" s="7"/>
    </row>
    <row r="22" spans="2:11" ht="15" customHeight="1" x14ac:dyDescent="0.3"/>
    <row r="23" spans="2:11" ht="15" customHeight="1" x14ac:dyDescent="0.3"/>
    <row r="24" spans="2:11" ht="15" customHeight="1" x14ac:dyDescent="0.3"/>
    <row r="25" spans="2:11" ht="15" customHeight="1" x14ac:dyDescent="0.3"/>
    <row r="26" spans="2:11" ht="15" customHeight="1" x14ac:dyDescent="0.3"/>
    <row r="27" spans="2:11" ht="15" customHeight="1" x14ac:dyDescent="0.3"/>
    <row r="28" spans="2:11" ht="15" customHeight="1" x14ac:dyDescent="0.3"/>
    <row r="29" spans="2:11" ht="15" customHeight="1" x14ac:dyDescent="0.3"/>
    <row r="30" spans="2:11" ht="15" customHeight="1" x14ac:dyDescent="0.3"/>
    <row r="31" spans="2:11" ht="15" customHeight="1" x14ac:dyDescent="0.3"/>
    <row r="32" spans="2:11"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sheetData>
  <sheetProtection password="C925" sheet="1" objects="1" scenarios="1" formatRows="0"/>
  <mergeCells count="1">
    <mergeCell ref="E10:J10"/>
  </mergeCells>
  <pageMargins left="0.25" right="0.25" top="0.25" bottom="0.2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pageSetUpPr fitToPage="1"/>
  </sheetPr>
  <dimension ref="B1:Y56"/>
  <sheetViews>
    <sheetView showGridLines="0" showRowColHeaders="0" zoomScaleNormal="100" workbookViewId="0">
      <pane xSplit="3" ySplit="4" topLeftCell="D5" activePane="bottomRight" state="frozen"/>
      <selection activeCell="K9" sqref="K9"/>
      <selection pane="topRight" activeCell="K9" sqref="K9"/>
      <selection pane="bottomLeft" activeCell="K9" sqref="K9"/>
      <selection pane="bottomRight" activeCell="R34" sqref="R34"/>
    </sheetView>
  </sheetViews>
  <sheetFormatPr defaultColWidth="9.1796875" defaultRowHeight="13" x14ac:dyDescent="0.3"/>
  <cols>
    <col min="1" max="1" width="1" style="2" customWidth="1"/>
    <col min="2" max="2" width="4" style="2" customWidth="1"/>
    <col min="3" max="3" width="40.54296875" style="2" customWidth="1"/>
    <col min="4" max="4" width="15" style="2" customWidth="1"/>
    <col min="5" max="5" width="1.7265625" style="2" customWidth="1"/>
    <col min="6" max="9" width="11" style="2" bestFit="1" customWidth="1"/>
    <col min="10" max="10" width="1.7265625" style="2" customWidth="1"/>
    <col min="11" max="14" width="9.453125" style="2" bestFit="1" customWidth="1"/>
    <col min="15" max="15" width="1.7265625" style="2" customWidth="1"/>
    <col min="16" max="19" width="10.7265625" style="2" customWidth="1"/>
    <col min="20" max="20" width="1.7265625" style="2" customWidth="1"/>
    <col min="21" max="24" width="10.7265625" style="2" customWidth="1"/>
    <col min="25" max="25" width="1.54296875" style="2" customWidth="1"/>
    <col min="26" max="26" width="1" style="2" customWidth="1"/>
    <col min="27" max="16384" width="9.1796875" style="2"/>
  </cols>
  <sheetData>
    <row r="1" spans="2:25" ht="5.15" customHeight="1" thickBot="1" x14ac:dyDescent="0.35"/>
    <row r="2" spans="2:25" ht="38.25" customHeight="1" x14ac:dyDescent="0.3">
      <c r="B2" s="674" t="s">
        <v>326</v>
      </c>
      <c r="C2" s="674"/>
      <c r="D2" s="674"/>
      <c r="E2" s="674"/>
      <c r="F2" s="674"/>
      <c r="G2" s="674"/>
      <c r="H2" s="674"/>
      <c r="I2" s="674"/>
      <c r="J2" s="674"/>
      <c r="K2" s="674"/>
      <c r="L2" s="674"/>
      <c r="M2" s="674"/>
      <c r="N2" s="674"/>
      <c r="O2" s="674"/>
      <c r="P2" s="674"/>
      <c r="Q2" s="674"/>
      <c r="R2" s="674"/>
      <c r="S2" s="674"/>
      <c r="T2" s="674"/>
      <c r="U2" s="674"/>
      <c r="V2" s="674"/>
      <c r="W2" s="674"/>
      <c r="X2" s="674"/>
      <c r="Y2" s="674"/>
    </row>
    <row r="3" spans="2:25" ht="72.75" customHeight="1" x14ac:dyDescent="0.3">
      <c r="B3" s="459"/>
      <c r="C3" s="351"/>
      <c r="D3" s="351"/>
      <c r="E3" s="351"/>
      <c r="F3" s="351"/>
      <c r="G3" s="351"/>
      <c r="H3" s="351"/>
      <c r="I3" s="351"/>
      <c r="J3" s="351"/>
      <c r="K3" s="351"/>
      <c r="L3" s="351"/>
      <c r="M3" s="351"/>
      <c r="N3" s="351"/>
      <c r="O3" s="351"/>
      <c r="P3" s="351"/>
      <c r="Q3" s="351"/>
      <c r="R3" s="351"/>
      <c r="S3" s="351"/>
      <c r="T3" s="351"/>
      <c r="U3" s="351"/>
      <c r="V3" s="351"/>
      <c r="W3" s="351"/>
      <c r="X3" s="351"/>
      <c r="Y3" s="460"/>
    </row>
    <row r="4" spans="2:25" ht="18.75" customHeight="1" x14ac:dyDescent="0.3">
      <c r="B4" s="3"/>
      <c r="Y4" s="4"/>
    </row>
    <row r="5" spans="2:25" ht="20.25" customHeight="1" x14ac:dyDescent="0.3">
      <c r="B5" s="3"/>
      <c r="Y5" s="4"/>
    </row>
    <row r="6" spans="2:25" ht="19" thickBot="1" x14ac:dyDescent="0.5">
      <c r="B6" s="3"/>
      <c r="C6" s="691" t="s">
        <v>305</v>
      </c>
      <c r="D6" s="691"/>
      <c r="E6" s="294"/>
      <c r="F6" s="685" t="s">
        <v>327</v>
      </c>
      <c r="G6" s="685"/>
      <c r="H6" s="685"/>
      <c r="I6" s="685"/>
      <c r="K6" s="685" t="str">
        <f>"Annual Net Energy Savings ("&amp;Energy_1&amp;")"</f>
        <v>Annual Net Energy Savings (Therms)</v>
      </c>
      <c r="L6" s="685"/>
      <c r="M6" s="685"/>
      <c r="N6" s="685"/>
      <c r="P6" s="685" t="str">
        <f>"Annual Net Demand Savings ("&amp;Demand_1&amp;")"</f>
        <v>Annual Net Demand Savings (Therms)</v>
      </c>
      <c r="Q6" s="685"/>
      <c r="R6" s="685"/>
      <c r="S6" s="685"/>
      <c r="U6" s="685" t="s">
        <v>328</v>
      </c>
      <c r="V6" s="685"/>
      <c r="W6" s="685"/>
      <c r="X6" s="685"/>
      <c r="Y6" s="4"/>
    </row>
    <row r="7" spans="2:25" x14ac:dyDescent="0.3">
      <c r="B7" s="3"/>
      <c r="F7" s="686">
        <f>Prg_Year-2</f>
        <v>2022</v>
      </c>
      <c r="G7" s="687"/>
      <c r="H7" s="686">
        <f>F7+1</f>
        <v>2023</v>
      </c>
      <c r="I7" s="687"/>
      <c r="K7" s="686">
        <f>F7</f>
        <v>2022</v>
      </c>
      <c r="L7" s="687"/>
      <c r="M7" s="686">
        <f>H7</f>
        <v>2023</v>
      </c>
      <c r="N7" s="687"/>
      <c r="P7" s="686">
        <f>K7</f>
        <v>2022</v>
      </c>
      <c r="Q7" s="687"/>
      <c r="R7" s="686">
        <f>M7</f>
        <v>2023</v>
      </c>
      <c r="S7" s="687"/>
      <c r="U7" s="686">
        <f>P7</f>
        <v>2022</v>
      </c>
      <c r="V7" s="687"/>
      <c r="W7" s="686">
        <f>R7</f>
        <v>2023</v>
      </c>
      <c r="X7" s="687"/>
      <c r="Y7" s="4"/>
    </row>
    <row r="8" spans="2:25" ht="12.75" customHeight="1" thickBot="1" x14ac:dyDescent="0.4">
      <c r="B8" s="8"/>
      <c r="C8" s="9" t="s">
        <v>85</v>
      </c>
      <c r="D8" s="9" t="s">
        <v>86</v>
      </c>
      <c r="E8" s="9"/>
      <c r="F8" s="131" t="s">
        <v>329</v>
      </c>
      <c r="G8" s="132" t="s">
        <v>330</v>
      </c>
      <c r="H8" s="131" t="s">
        <v>329</v>
      </c>
      <c r="I8" s="132" t="s">
        <v>330</v>
      </c>
      <c r="J8" s="9"/>
      <c r="K8" s="133" t="s">
        <v>331</v>
      </c>
      <c r="L8" s="134" t="s">
        <v>332</v>
      </c>
      <c r="M8" s="133" t="s">
        <v>331</v>
      </c>
      <c r="N8" s="134" t="s">
        <v>332</v>
      </c>
      <c r="O8" s="9"/>
      <c r="P8" s="133" t="s">
        <v>331</v>
      </c>
      <c r="Q8" s="134" t="s">
        <v>332</v>
      </c>
      <c r="R8" s="133" t="s">
        <v>331</v>
      </c>
      <c r="S8" s="134" t="s">
        <v>332</v>
      </c>
      <c r="U8" s="133" t="s">
        <v>331</v>
      </c>
      <c r="V8" s="134" t="s">
        <v>332</v>
      </c>
      <c r="W8" s="133" t="s">
        <v>331</v>
      </c>
      <c r="X8" s="134" t="s">
        <v>332</v>
      </c>
      <c r="Y8" s="4"/>
    </row>
    <row r="9" spans="2:25" ht="12.75" customHeight="1" x14ac:dyDescent="0.35">
      <c r="B9" s="276">
        <v>1</v>
      </c>
      <c r="C9" s="277" t="str">
        <f>'Program Descriptions'!C5</f>
        <v>Commercial &amp; Industrial Solutions Program</v>
      </c>
      <c r="D9" s="277" t="str">
        <f>IF(C9="Empty","",'Program Descriptions'!E5)</f>
        <v>Commercial &amp; Industrial</v>
      </c>
      <c r="E9" s="277"/>
      <c r="F9" s="55">
        <v>1634488</v>
      </c>
      <c r="G9" s="130">
        <v>1634488.2599999998</v>
      </c>
      <c r="H9" s="55">
        <v>1552279</v>
      </c>
      <c r="I9" s="130">
        <v>1674089.2699999998</v>
      </c>
      <c r="J9" s="9"/>
      <c r="K9" s="126">
        <v>629741</v>
      </c>
      <c r="L9" s="127">
        <v>723540.33585622755</v>
      </c>
      <c r="M9" s="126">
        <v>723540</v>
      </c>
      <c r="N9" s="127">
        <v>792445</v>
      </c>
      <c r="O9" s="9"/>
      <c r="P9" s="126"/>
      <c r="Q9" s="127"/>
      <c r="R9" s="126"/>
      <c r="S9" s="127"/>
      <c r="U9" s="126">
        <v>1569</v>
      </c>
      <c r="V9" s="573">
        <v>58</v>
      </c>
      <c r="W9" s="126">
        <v>1569</v>
      </c>
      <c r="X9" s="126">
        <v>1569</v>
      </c>
      <c r="Y9" s="4"/>
    </row>
    <row r="10" spans="2:25" ht="12.75" customHeight="1" x14ac:dyDescent="0.35">
      <c r="B10" s="276">
        <v>2</v>
      </c>
      <c r="C10" s="277" t="str">
        <f>'Program Descriptions'!C6</f>
        <v>Energy Efficiency Arkansas</v>
      </c>
      <c r="D10" s="277" t="str">
        <f>IF(C10="Empty","",'Program Descriptions'!E6)</f>
        <v>All Classes</v>
      </c>
      <c r="E10" s="277"/>
      <c r="F10" s="56">
        <v>56317</v>
      </c>
      <c r="G10" s="125">
        <v>55879.33</v>
      </c>
      <c r="H10" s="56">
        <v>56317</v>
      </c>
      <c r="I10" s="125">
        <v>600</v>
      </c>
      <c r="J10" s="9"/>
      <c r="K10" s="128">
        <v>0</v>
      </c>
      <c r="L10" s="115">
        <v>0</v>
      </c>
      <c r="M10" s="128">
        <v>0</v>
      </c>
      <c r="N10" s="115">
        <v>0</v>
      </c>
      <c r="O10" s="9"/>
      <c r="P10" s="128"/>
      <c r="Q10" s="115"/>
      <c r="R10" s="128"/>
      <c r="S10" s="115"/>
      <c r="U10" s="128">
        <v>0</v>
      </c>
      <c r="V10" s="574">
        <v>0</v>
      </c>
      <c r="W10" s="128">
        <v>0</v>
      </c>
      <c r="X10" s="128">
        <v>0</v>
      </c>
      <c r="Y10" s="4"/>
    </row>
    <row r="11" spans="2:25" ht="12.75" customHeight="1" x14ac:dyDescent="0.35">
      <c r="B11" s="276">
        <v>3</v>
      </c>
      <c r="C11" s="277" t="str">
        <f>'Program Descriptions'!C7</f>
        <v>Residential Solution Program</v>
      </c>
      <c r="D11" s="277" t="str">
        <f>IF(C11="Empty","",'Program Descriptions'!E7)</f>
        <v>Residential</v>
      </c>
      <c r="E11" s="277"/>
      <c r="F11" s="56">
        <v>2728081</v>
      </c>
      <c r="G11" s="125">
        <v>2715499.1999999997</v>
      </c>
      <c r="H11" s="56">
        <v>2699719</v>
      </c>
      <c r="I11" s="125">
        <v>2688538.1900000004</v>
      </c>
      <c r="J11" s="9"/>
      <c r="K11" s="128">
        <v>681204</v>
      </c>
      <c r="L11" s="115">
        <v>755138.53330341901</v>
      </c>
      <c r="M11" s="128">
        <v>755139</v>
      </c>
      <c r="N11" s="115">
        <v>726434</v>
      </c>
      <c r="O11" s="9"/>
      <c r="P11" s="128"/>
      <c r="Q11" s="115"/>
      <c r="R11" s="128"/>
      <c r="S11" s="115"/>
      <c r="U11" s="128">
        <v>4834</v>
      </c>
      <c r="V11" s="574">
        <v>4909</v>
      </c>
      <c r="W11" s="128">
        <v>4834</v>
      </c>
      <c r="X11" s="128">
        <v>4834</v>
      </c>
      <c r="Y11" s="4"/>
    </row>
    <row r="12" spans="2:25" ht="12.75" customHeight="1" x14ac:dyDescent="0.35">
      <c r="B12" s="276">
        <v>4</v>
      </c>
      <c r="C12" s="277" t="str">
        <f>'Program Descriptions'!C8</f>
        <v>Income Qualified Program</v>
      </c>
      <c r="D12" s="277" t="str">
        <f>IF(C12="Empty","",'Program Descriptions'!E8)</f>
        <v>Residential</v>
      </c>
      <c r="E12" s="277"/>
      <c r="F12" s="56">
        <v>102239</v>
      </c>
      <c r="G12" s="125">
        <v>101081.69999999998</v>
      </c>
      <c r="H12" s="56">
        <v>87959</v>
      </c>
      <c r="I12" s="125">
        <v>86236.41</v>
      </c>
      <c r="J12" s="9"/>
      <c r="K12" s="128">
        <v>19596</v>
      </c>
      <c r="L12" s="115">
        <v>31697.880112947692</v>
      </c>
      <c r="M12" s="128">
        <v>31698</v>
      </c>
      <c r="N12" s="115">
        <v>24150</v>
      </c>
      <c r="O12" s="9"/>
      <c r="P12" s="128"/>
      <c r="Q12" s="115"/>
      <c r="R12" s="128"/>
      <c r="S12" s="115"/>
      <c r="U12" s="128">
        <v>123</v>
      </c>
      <c r="V12" s="574">
        <v>399</v>
      </c>
      <c r="W12" s="128">
        <v>123</v>
      </c>
      <c r="X12" s="128">
        <v>123</v>
      </c>
      <c r="Y12" s="4"/>
    </row>
    <row r="13" spans="2:25" ht="12.75" customHeight="1" x14ac:dyDescent="0.35">
      <c r="B13" s="276">
        <v>5</v>
      </c>
      <c r="C13" s="277" t="str">
        <f>'Program Descriptions'!C9</f>
        <v>Empty</v>
      </c>
      <c r="D13" s="277" t="str">
        <f>IF(C13="Empty","",'Program Descriptions'!E9)</f>
        <v/>
      </c>
      <c r="E13" s="277"/>
      <c r="F13" s="56"/>
      <c r="G13" s="125"/>
      <c r="H13" s="56"/>
      <c r="I13" s="125"/>
      <c r="J13" s="9"/>
      <c r="K13" s="128"/>
      <c r="L13" s="115"/>
      <c r="M13" s="128"/>
      <c r="N13" s="115"/>
      <c r="O13" s="9"/>
      <c r="P13" s="128"/>
      <c r="Q13" s="115"/>
      <c r="R13" s="128"/>
      <c r="S13" s="115"/>
      <c r="U13" s="128"/>
      <c r="V13" s="115"/>
      <c r="W13" s="128"/>
      <c r="X13" s="115"/>
      <c r="Y13" s="4"/>
    </row>
    <row r="14" spans="2:25" ht="12.75" customHeight="1" x14ac:dyDescent="0.35">
      <c r="B14" s="276">
        <v>6</v>
      </c>
      <c r="C14" s="277" t="str">
        <f>'Program Descriptions'!C10</f>
        <v>Empty</v>
      </c>
      <c r="D14" s="277" t="str">
        <f>IF(C14="Empty","",'Program Descriptions'!E10)</f>
        <v/>
      </c>
      <c r="E14" s="277"/>
      <c r="F14" s="56"/>
      <c r="G14" s="125"/>
      <c r="H14" s="56"/>
      <c r="I14" s="125"/>
      <c r="J14" s="9"/>
      <c r="K14" s="128"/>
      <c r="L14" s="115"/>
      <c r="M14" s="128"/>
      <c r="N14" s="115"/>
      <c r="O14" s="9"/>
      <c r="P14" s="128"/>
      <c r="Q14" s="115"/>
      <c r="R14" s="128"/>
      <c r="S14" s="115"/>
      <c r="U14" s="128"/>
      <c r="V14" s="115"/>
      <c r="W14" s="128"/>
      <c r="X14" s="115"/>
      <c r="Y14" s="4"/>
    </row>
    <row r="15" spans="2:25" ht="12.75" customHeight="1" x14ac:dyDescent="0.35">
      <c r="B15" s="276">
        <v>7</v>
      </c>
      <c r="C15" s="277" t="str">
        <f>'Program Descriptions'!C11</f>
        <v>Empty</v>
      </c>
      <c r="D15" s="277" t="str">
        <f>IF(C15="Empty","",'Program Descriptions'!E11)</f>
        <v/>
      </c>
      <c r="E15" s="277"/>
      <c r="F15" s="56"/>
      <c r="G15" s="125"/>
      <c r="H15" s="56"/>
      <c r="I15" s="125"/>
      <c r="J15" s="9"/>
      <c r="K15" s="128"/>
      <c r="L15" s="115"/>
      <c r="M15" s="128"/>
      <c r="N15" s="115"/>
      <c r="O15" s="9"/>
      <c r="P15" s="128"/>
      <c r="Q15" s="115"/>
      <c r="R15" s="128"/>
      <c r="S15" s="115"/>
      <c r="U15" s="128"/>
      <c r="V15" s="115"/>
      <c r="W15" s="128"/>
      <c r="X15" s="115"/>
      <c r="Y15" s="4"/>
    </row>
    <row r="16" spans="2:25" ht="12.75" customHeight="1" x14ac:dyDescent="0.35">
      <c r="B16" s="276">
        <v>8</v>
      </c>
      <c r="C16" s="277" t="str">
        <f>'Program Descriptions'!C12</f>
        <v>Empty</v>
      </c>
      <c r="D16" s="277" t="str">
        <f>IF(C16="Empty","",'Program Descriptions'!E12)</f>
        <v/>
      </c>
      <c r="E16" s="277"/>
      <c r="F16" s="56"/>
      <c r="G16" s="125"/>
      <c r="H16" s="56"/>
      <c r="I16" s="125"/>
      <c r="J16" s="9"/>
      <c r="K16" s="128"/>
      <c r="L16" s="115"/>
      <c r="M16" s="128"/>
      <c r="N16" s="115"/>
      <c r="O16" s="9"/>
      <c r="P16" s="128"/>
      <c r="Q16" s="115"/>
      <c r="R16" s="128"/>
      <c r="S16" s="115"/>
      <c r="U16" s="128"/>
      <c r="V16" s="115"/>
      <c r="W16" s="128"/>
      <c r="X16" s="115"/>
      <c r="Y16" s="4"/>
    </row>
    <row r="17" spans="2:25" ht="12.75" customHeight="1" x14ac:dyDescent="0.35">
      <c r="B17" s="276">
        <v>9</v>
      </c>
      <c r="C17" s="277" t="str">
        <f>'Program Descriptions'!C13</f>
        <v>Empty</v>
      </c>
      <c r="D17" s="277" t="str">
        <f>IF(C17="Empty","",'Program Descriptions'!E13)</f>
        <v/>
      </c>
      <c r="E17" s="277"/>
      <c r="F17" s="56"/>
      <c r="G17" s="125"/>
      <c r="H17" s="56"/>
      <c r="I17" s="125"/>
      <c r="J17" s="9"/>
      <c r="K17" s="128"/>
      <c r="L17" s="115"/>
      <c r="M17" s="128"/>
      <c r="N17" s="115"/>
      <c r="O17" s="9"/>
      <c r="P17" s="128"/>
      <c r="Q17" s="115"/>
      <c r="R17" s="128"/>
      <c r="S17" s="115"/>
      <c r="U17" s="128"/>
      <c r="V17" s="115"/>
      <c r="W17" s="128"/>
      <c r="X17" s="115"/>
      <c r="Y17" s="4"/>
    </row>
    <row r="18" spans="2:25" ht="12.75" customHeight="1" x14ac:dyDescent="0.35">
      <c r="B18" s="276">
        <v>10</v>
      </c>
      <c r="C18" s="277" t="str">
        <f>'Program Descriptions'!C14</f>
        <v>Empty</v>
      </c>
      <c r="D18" s="277" t="str">
        <f>IF(C18="Empty","",'Program Descriptions'!E14)</f>
        <v/>
      </c>
      <c r="E18" s="277"/>
      <c r="F18" s="56"/>
      <c r="G18" s="125"/>
      <c r="H18" s="56"/>
      <c r="I18" s="125"/>
      <c r="J18" s="9"/>
      <c r="K18" s="128"/>
      <c r="L18" s="115"/>
      <c r="M18" s="128"/>
      <c r="N18" s="115"/>
      <c r="O18" s="9"/>
      <c r="P18" s="128"/>
      <c r="Q18" s="115"/>
      <c r="R18" s="128"/>
      <c r="S18" s="115"/>
      <c r="U18" s="128"/>
      <c r="V18" s="115"/>
      <c r="W18" s="128"/>
      <c r="X18" s="115"/>
      <c r="Y18" s="4"/>
    </row>
    <row r="19" spans="2:25" ht="12.75" customHeight="1" x14ac:dyDescent="0.35">
      <c r="B19" s="276">
        <v>11</v>
      </c>
      <c r="C19" s="277" t="str">
        <f>'Program Descriptions'!C15</f>
        <v>Empty</v>
      </c>
      <c r="D19" s="277" t="str">
        <f>IF(C19="Empty","",'Program Descriptions'!E15)</f>
        <v/>
      </c>
      <c r="E19" s="277"/>
      <c r="F19" s="56"/>
      <c r="G19" s="125"/>
      <c r="H19" s="56"/>
      <c r="I19" s="125"/>
      <c r="J19" s="9"/>
      <c r="K19" s="128"/>
      <c r="L19" s="115"/>
      <c r="M19" s="128"/>
      <c r="N19" s="115"/>
      <c r="O19" s="9"/>
      <c r="P19" s="128"/>
      <c r="Q19" s="115"/>
      <c r="R19" s="128"/>
      <c r="S19" s="115"/>
      <c r="U19" s="128"/>
      <c r="V19" s="115"/>
      <c r="W19" s="128"/>
      <c r="X19" s="115"/>
      <c r="Y19" s="4"/>
    </row>
    <row r="20" spans="2:25" ht="12.75" customHeight="1" x14ac:dyDescent="0.35">
      <c r="B20" s="276">
        <v>12</v>
      </c>
      <c r="C20" s="277" t="str">
        <f>'Program Descriptions'!C16</f>
        <v>Empty</v>
      </c>
      <c r="D20" s="277" t="str">
        <f>IF(C20="Empty","",'Program Descriptions'!E16)</f>
        <v/>
      </c>
      <c r="E20" s="277"/>
      <c r="F20" s="56"/>
      <c r="G20" s="125"/>
      <c r="H20" s="56"/>
      <c r="I20" s="125"/>
      <c r="J20" s="9"/>
      <c r="K20" s="128"/>
      <c r="L20" s="115"/>
      <c r="M20" s="128"/>
      <c r="N20" s="115"/>
      <c r="O20" s="9"/>
      <c r="P20" s="128"/>
      <c r="Q20" s="115"/>
      <c r="R20" s="128"/>
      <c r="S20" s="115"/>
      <c r="U20" s="128"/>
      <c r="V20" s="115"/>
      <c r="W20" s="128"/>
      <c r="X20" s="115"/>
      <c r="Y20" s="4"/>
    </row>
    <row r="21" spans="2:25" ht="12.75" customHeight="1" x14ac:dyDescent="0.35">
      <c r="B21" s="276">
        <v>13</v>
      </c>
      <c r="C21" s="277" t="str">
        <f>'Program Descriptions'!C17</f>
        <v>Empty</v>
      </c>
      <c r="D21" s="277" t="str">
        <f>IF(C21="Empty","",'Program Descriptions'!E17)</f>
        <v/>
      </c>
      <c r="E21" s="277"/>
      <c r="F21" s="56"/>
      <c r="G21" s="125"/>
      <c r="H21" s="56"/>
      <c r="I21" s="125"/>
      <c r="J21" s="9"/>
      <c r="K21" s="128"/>
      <c r="L21" s="115"/>
      <c r="M21" s="128"/>
      <c r="N21" s="115"/>
      <c r="O21" s="9"/>
      <c r="P21" s="128"/>
      <c r="Q21" s="115"/>
      <c r="R21" s="128"/>
      <c r="S21" s="115"/>
      <c r="U21" s="128"/>
      <c r="V21" s="115"/>
      <c r="W21" s="128"/>
      <c r="X21" s="115"/>
      <c r="Y21" s="4"/>
    </row>
    <row r="22" spans="2:25" ht="12.75" customHeight="1" x14ac:dyDescent="0.35">
      <c r="B22" s="276">
        <v>14</v>
      </c>
      <c r="C22" s="277" t="str">
        <f>'Program Descriptions'!C18</f>
        <v>Empty</v>
      </c>
      <c r="D22" s="277" t="str">
        <f>IF(C22="Empty","",'Program Descriptions'!E18)</f>
        <v/>
      </c>
      <c r="E22" s="277"/>
      <c r="F22" s="56"/>
      <c r="G22" s="125"/>
      <c r="H22" s="56"/>
      <c r="I22" s="125"/>
      <c r="J22" s="9"/>
      <c r="K22" s="128"/>
      <c r="L22" s="115"/>
      <c r="M22" s="128"/>
      <c r="N22" s="115"/>
      <c r="O22" s="9"/>
      <c r="P22" s="128"/>
      <c r="Q22" s="115"/>
      <c r="R22" s="128"/>
      <c r="S22" s="115"/>
      <c r="U22" s="128"/>
      <c r="V22" s="115"/>
      <c r="W22" s="128"/>
      <c r="X22" s="115"/>
      <c r="Y22" s="4"/>
    </row>
    <row r="23" spans="2:25" ht="12.75" customHeight="1" x14ac:dyDescent="0.35">
      <c r="B23" s="276">
        <v>15</v>
      </c>
      <c r="C23" s="277" t="str">
        <f>'Program Descriptions'!C19</f>
        <v>Empty</v>
      </c>
      <c r="D23" s="277" t="str">
        <f>IF(C23="Empty","",'Program Descriptions'!E19)</f>
        <v/>
      </c>
      <c r="E23" s="277"/>
      <c r="F23" s="56"/>
      <c r="G23" s="125"/>
      <c r="H23" s="56"/>
      <c r="I23" s="125"/>
      <c r="J23" s="9"/>
      <c r="K23" s="128"/>
      <c r="L23" s="115"/>
      <c r="M23" s="128"/>
      <c r="N23" s="115"/>
      <c r="O23" s="9"/>
      <c r="P23" s="128"/>
      <c r="Q23" s="115"/>
      <c r="R23" s="128"/>
      <c r="S23" s="115"/>
      <c r="U23" s="128"/>
      <c r="V23" s="115"/>
      <c r="W23" s="128"/>
      <c r="X23" s="115"/>
      <c r="Y23" s="4"/>
    </row>
    <row r="24" spans="2:25" ht="12.75" customHeight="1" x14ac:dyDescent="0.35">
      <c r="B24" s="276">
        <v>16</v>
      </c>
      <c r="C24" s="277" t="str">
        <f>'Program Descriptions'!C20</f>
        <v>Empty</v>
      </c>
      <c r="D24" s="277" t="str">
        <f>IF(C24="Empty","",'Program Descriptions'!E20)</f>
        <v/>
      </c>
      <c r="E24" s="277"/>
      <c r="F24" s="56"/>
      <c r="G24" s="125"/>
      <c r="H24" s="56"/>
      <c r="I24" s="125"/>
      <c r="J24" s="9"/>
      <c r="K24" s="128"/>
      <c r="L24" s="115"/>
      <c r="M24" s="128"/>
      <c r="N24" s="115"/>
      <c r="O24" s="9"/>
      <c r="P24" s="128"/>
      <c r="Q24" s="115"/>
      <c r="R24" s="128"/>
      <c r="S24" s="115"/>
      <c r="U24" s="128"/>
      <c r="V24" s="115"/>
      <c r="W24" s="128"/>
      <c r="X24" s="115"/>
      <c r="Y24" s="4"/>
    </row>
    <row r="25" spans="2:25" ht="12.75" customHeight="1" x14ac:dyDescent="0.35">
      <c r="B25" s="276">
        <v>17</v>
      </c>
      <c r="C25" s="277" t="str">
        <f>'Program Descriptions'!C21</f>
        <v>Empty</v>
      </c>
      <c r="D25" s="277" t="str">
        <f>IF(C25="Empty","",'Program Descriptions'!E21)</f>
        <v/>
      </c>
      <c r="E25" s="277"/>
      <c r="F25" s="56"/>
      <c r="G25" s="125"/>
      <c r="H25" s="56"/>
      <c r="I25" s="125"/>
      <c r="J25" s="9"/>
      <c r="K25" s="128"/>
      <c r="L25" s="115"/>
      <c r="M25" s="128"/>
      <c r="N25" s="115"/>
      <c r="O25" s="9"/>
      <c r="P25" s="128"/>
      <c r="Q25" s="115"/>
      <c r="R25" s="128"/>
      <c r="S25" s="115"/>
      <c r="U25" s="128"/>
      <c r="V25" s="115"/>
      <c r="W25" s="128"/>
      <c r="X25" s="115"/>
      <c r="Y25" s="4"/>
    </row>
    <row r="26" spans="2:25" ht="12.75" customHeight="1" x14ac:dyDescent="0.35">
      <c r="B26" s="276">
        <v>18</v>
      </c>
      <c r="C26" s="277" t="str">
        <f>'Program Descriptions'!C22</f>
        <v>Empty</v>
      </c>
      <c r="D26" s="277" t="str">
        <f>IF(C26="Empty","",'Program Descriptions'!E22)</f>
        <v/>
      </c>
      <c r="E26" s="277"/>
      <c r="F26" s="56"/>
      <c r="G26" s="125"/>
      <c r="H26" s="56"/>
      <c r="I26" s="125"/>
      <c r="J26" s="9"/>
      <c r="K26" s="128"/>
      <c r="L26" s="115"/>
      <c r="M26" s="128"/>
      <c r="N26" s="115"/>
      <c r="O26" s="9"/>
      <c r="P26" s="128"/>
      <c r="Q26" s="115"/>
      <c r="R26" s="128"/>
      <c r="S26" s="115"/>
      <c r="U26" s="128"/>
      <c r="V26" s="115"/>
      <c r="W26" s="128"/>
      <c r="X26" s="115"/>
      <c r="Y26" s="4"/>
    </row>
    <row r="27" spans="2:25" ht="12.75" customHeight="1" x14ac:dyDescent="0.35">
      <c r="B27" s="276">
        <v>19</v>
      </c>
      <c r="C27" s="277" t="str">
        <f>'Program Descriptions'!C23</f>
        <v>Empty</v>
      </c>
      <c r="D27" s="277" t="str">
        <f>IF(C27="Empty","",'Program Descriptions'!E23)</f>
        <v/>
      </c>
      <c r="E27" s="277"/>
      <c r="F27" s="56"/>
      <c r="G27" s="125"/>
      <c r="H27" s="56"/>
      <c r="I27" s="125"/>
      <c r="J27" s="9"/>
      <c r="K27" s="128"/>
      <c r="L27" s="115"/>
      <c r="M27" s="128"/>
      <c r="N27" s="115"/>
      <c r="O27" s="9"/>
      <c r="P27" s="128"/>
      <c r="Q27" s="115"/>
      <c r="R27" s="128"/>
      <c r="S27" s="115"/>
      <c r="U27" s="128"/>
      <c r="V27" s="115"/>
      <c r="W27" s="128"/>
      <c r="X27" s="115"/>
      <c r="Y27" s="4"/>
    </row>
    <row r="28" spans="2:25" ht="12.75" customHeight="1" thickBot="1" x14ac:dyDescent="0.4">
      <c r="B28" s="276">
        <v>20</v>
      </c>
      <c r="C28" s="277" t="str">
        <f>'Program Descriptions'!C24</f>
        <v>Empty</v>
      </c>
      <c r="D28" s="277" t="str">
        <f>IF(C28="Empty","",'Program Descriptions'!E24)</f>
        <v/>
      </c>
      <c r="E28" s="277"/>
      <c r="F28" s="108"/>
      <c r="G28" s="303"/>
      <c r="H28" s="108"/>
      <c r="I28" s="303"/>
      <c r="J28" s="9"/>
      <c r="K28" s="129"/>
      <c r="L28" s="118"/>
      <c r="M28" s="129"/>
      <c r="N28" s="118"/>
      <c r="O28" s="9"/>
      <c r="P28" s="129"/>
      <c r="Q28" s="118"/>
      <c r="R28" s="129"/>
      <c r="S28" s="118"/>
      <c r="U28" s="129"/>
      <c r="V28" s="118"/>
      <c r="W28" s="129"/>
      <c r="X28" s="118"/>
      <c r="Y28" s="4"/>
    </row>
    <row r="29" spans="2:25" ht="12.75" customHeight="1" thickBot="1" x14ac:dyDescent="0.4">
      <c r="B29" s="8"/>
      <c r="C29" s="277" t="s">
        <v>333</v>
      </c>
      <c r="D29" s="277"/>
      <c r="E29" s="277"/>
      <c r="F29" s="109"/>
      <c r="G29" s="304"/>
      <c r="H29" s="109"/>
      <c r="I29" s="304"/>
      <c r="J29" s="9"/>
      <c r="K29" s="9"/>
      <c r="L29" s="9"/>
      <c r="M29" s="9"/>
      <c r="N29" s="9"/>
      <c r="O29" s="9"/>
      <c r="P29" s="9"/>
      <c r="Q29" s="9"/>
      <c r="R29" s="9"/>
      <c r="S29" s="9"/>
      <c r="Y29" s="4"/>
    </row>
    <row r="30" spans="2:25" ht="12.75" customHeight="1" x14ac:dyDescent="0.3">
      <c r="B30" s="8"/>
      <c r="Y30" s="4"/>
    </row>
    <row r="31" spans="2:25" ht="12.75" customHeight="1" x14ac:dyDescent="0.35">
      <c r="B31" s="8"/>
      <c r="C31" s="289"/>
      <c r="D31" s="289" t="s">
        <v>334</v>
      </c>
      <c r="E31" s="289"/>
      <c r="F31" s="11">
        <f>SUM(F9:F29)</f>
        <v>4521125</v>
      </c>
      <c r="G31" s="11">
        <f>SUM(G9:G29)</f>
        <v>4506948.4899999993</v>
      </c>
      <c r="H31" s="11">
        <f>SUM(H9:H29)</f>
        <v>4396274</v>
      </c>
      <c r="I31" s="11">
        <f>SUM(I9:I29)</f>
        <v>4449463.87</v>
      </c>
      <c r="K31" s="135">
        <f>SUM(K9:K28)</f>
        <v>1330541</v>
      </c>
      <c r="L31" s="135">
        <f t="shared" ref="L31:X31" si="0">SUM(L9:L28)</f>
        <v>1510376.7492725942</v>
      </c>
      <c r="M31" s="135">
        <f t="shared" si="0"/>
        <v>1510377</v>
      </c>
      <c r="N31" s="135">
        <f t="shared" si="0"/>
        <v>1543029</v>
      </c>
      <c r="P31" s="135">
        <f t="shared" si="0"/>
        <v>0</v>
      </c>
      <c r="Q31" s="135">
        <f t="shared" si="0"/>
        <v>0</v>
      </c>
      <c r="R31" s="135">
        <f t="shared" si="0"/>
        <v>0</v>
      </c>
      <c r="S31" s="135">
        <f t="shared" si="0"/>
        <v>0</v>
      </c>
      <c r="U31" s="135">
        <f t="shared" si="0"/>
        <v>6526</v>
      </c>
      <c r="V31" s="135">
        <f t="shared" si="0"/>
        <v>5366</v>
      </c>
      <c r="W31" s="135">
        <f t="shared" si="0"/>
        <v>6526</v>
      </c>
      <c r="X31" s="135">
        <f t="shared" si="0"/>
        <v>6526</v>
      </c>
      <c r="Y31" s="4"/>
    </row>
    <row r="32" spans="2:25" ht="12.75" customHeight="1" x14ac:dyDescent="0.3">
      <c r="B32" s="8"/>
      <c r="C32"/>
      <c r="D32"/>
      <c r="E32"/>
      <c r="Y32" s="4"/>
    </row>
    <row r="33" spans="2:25" ht="12.75" customHeight="1" x14ac:dyDescent="0.35">
      <c r="B33" s="8"/>
      <c r="C33" s="299" t="s">
        <v>335</v>
      </c>
      <c r="D33" s="289"/>
      <c r="E33" s="289"/>
      <c r="F33" s="135"/>
      <c r="G33" s="135"/>
      <c r="H33" s="135"/>
      <c r="I33" s="135"/>
      <c r="Y33" s="4"/>
    </row>
    <row r="34" spans="2:25" ht="51.75" customHeight="1" x14ac:dyDescent="0.3">
      <c r="B34" s="8"/>
      <c r="C34" s="688" t="s">
        <v>751</v>
      </c>
      <c r="D34" s="689"/>
      <c r="E34" s="689"/>
      <c r="F34" s="689"/>
      <c r="G34" s="689"/>
      <c r="H34" s="689"/>
      <c r="I34" s="689"/>
      <c r="J34" s="689"/>
      <c r="K34" s="689"/>
      <c r="L34" s="689"/>
      <c r="M34" s="689"/>
      <c r="N34" s="690"/>
      <c r="Y34" s="4"/>
    </row>
    <row r="35" spans="2:25" ht="12.75" customHeight="1" x14ac:dyDescent="0.35">
      <c r="B35" s="8"/>
      <c r="C35" s="289"/>
      <c r="D35" s="289"/>
      <c r="E35" s="289"/>
      <c r="F35" s="135"/>
      <c r="G35" s="135"/>
      <c r="H35" s="135"/>
      <c r="I35" s="135"/>
      <c r="Y35" s="4"/>
    </row>
    <row r="36" spans="2:25" ht="12.75" customHeight="1" x14ac:dyDescent="0.35">
      <c r="B36" s="8"/>
      <c r="C36" s="300"/>
      <c r="D36" s="300"/>
      <c r="E36" s="300"/>
      <c r="F36" s="301"/>
      <c r="G36" s="301"/>
      <c r="H36" s="301"/>
      <c r="I36" s="301"/>
      <c r="J36" s="302"/>
      <c r="K36" s="302"/>
      <c r="L36" s="302"/>
      <c r="M36" s="302"/>
      <c r="N36" s="302"/>
      <c r="O36" s="302"/>
      <c r="P36" s="302"/>
      <c r="Q36" s="302"/>
      <c r="R36" s="302"/>
      <c r="S36" s="302"/>
      <c r="T36" s="302"/>
      <c r="U36" s="302"/>
      <c r="V36" s="302"/>
      <c r="W36" s="302"/>
      <c r="X36" s="302"/>
      <c r="Y36" s="4"/>
    </row>
    <row r="37" spans="2:25" ht="19.5" customHeight="1" thickBot="1" x14ac:dyDescent="0.5">
      <c r="B37" s="3"/>
      <c r="C37" s="691" t="s">
        <v>306</v>
      </c>
      <c r="D37" s="691"/>
      <c r="E37" s="294"/>
      <c r="F37" s="685" t="str">
        <f>F6</f>
        <v>Annual Budget &amp; Actual Costs</v>
      </c>
      <c r="G37" s="685"/>
      <c r="H37" s="685"/>
      <c r="I37" s="685"/>
      <c r="K37" s="685" t="str">
        <f>K6</f>
        <v>Annual Net Energy Savings (Therms)</v>
      </c>
      <c r="L37" s="685"/>
      <c r="M37" s="685"/>
      <c r="N37" s="685"/>
      <c r="P37" s="685" t="str">
        <f>P6</f>
        <v>Annual Net Demand Savings (Therms)</v>
      </c>
      <c r="Q37" s="685"/>
      <c r="R37" s="685"/>
      <c r="S37" s="685"/>
      <c r="U37" s="685" t="str">
        <f>U6</f>
        <v>Number of Participants</v>
      </c>
      <c r="V37" s="685"/>
      <c r="W37" s="685"/>
      <c r="X37" s="685"/>
      <c r="Y37" s="4"/>
    </row>
    <row r="38" spans="2:25" ht="12.75" customHeight="1" x14ac:dyDescent="0.45">
      <c r="B38" s="3"/>
      <c r="E38" s="294"/>
      <c r="F38" s="686">
        <f>F7</f>
        <v>2022</v>
      </c>
      <c r="G38" s="687"/>
      <c r="H38" s="686">
        <f>H7</f>
        <v>2023</v>
      </c>
      <c r="I38" s="687"/>
      <c r="K38" s="686">
        <f>K7</f>
        <v>2022</v>
      </c>
      <c r="L38" s="687"/>
      <c r="M38" s="686">
        <f>M7</f>
        <v>2023</v>
      </c>
      <c r="N38" s="687"/>
      <c r="P38" s="686">
        <f>P7</f>
        <v>2022</v>
      </c>
      <c r="Q38" s="687"/>
      <c r="R38" s="686">
        <f>R7</f>
        <v>2023</v>
      </c>
      <c r="S38" s="687"/>
      <c r="U38" s="686">
        <f>U7</f>
        <v>2022</v>
      </c>
      <c r="V38" s="687"/>
      <c r="W38" s="686">
        <f>W7</f>
        <v>2023</v>
      </c>
      <c r="X38" s="687"/>
      <c r="Y38" s="4"/>
    </row>
    <row r="39" spans="2:25" ht="12.75" customHeight="1" thickBot="1" x14ac:dyDescent="0.5">
      <c r="B39" s="8"/>
      <c r="C39" s="9" t="s">
        <v>85</v>
      </c>
      <c r="D39" s="9" t="s">
        <v>86</v>
      </c>
      <c r="E39" s="294"/>
      <c r="F39" s="131" t="str">
        <f>F8</f>
        <v>Budget</v>
      </c>
      <c r="G39" s="132" t="str">
        <f>G8</f>
        <v>Actual</v>
      </c>
      <c r="H39" s="131" t="str">
        <f>H8</f>
        <v>Budget</v>
      </c>
      <c r="I39" s="132" t="str">
        <f>I8</f>
        <v>Actual</v>
      </c>
      <c r="J39" s="9"/>
      <c r="K39" s="131" t="str">
        <f>K8</f>
        <v>Plan</v>
      </c>
      <c r="L39" s="132" t="str">
        <f>L8</f>
        <v>Evaluated</v>
      </c>
      <c r="M39" s="131" t="str">
        <f>M8</f>
        <v>Plan</v>
      </c>
      <c r="N39" s="132" t="str">
        <f>N8</f>
        <v>Evaluated</v>
      </c>
      <c r="O39" s="9"/>
      <c r="P39" s="131" t="str">
        <f>P8</f>
        <v>Plan</v>
      </c>
      <c r="Q39" s="132" t="str">
        <f>Q8</f>
        <v>Evaluated</v>
      </c>
      <c r="R39" s="131" t="str">
        <f>R8</f>
        <v>Plan</v>
      </c>
      <c r="S39" s="132" t="str">
        <f>S8</f>
        <v>Evaluated</v>
      </c>
      <c r="U39" s="131" t="str">
        <f>U8</f>
        <v>Plan</v>
      </c>
      <c r="V39" s="132" t="str">
        <f>V8</f>
        <v>Evaluated</v>
      </c>
      <c r="W39" s="131" t="str">
        <f>W8</f>
        <v>Plan</v>
      </c>
      <c r="X39" s="132" t="str">
        <f>X8</f>
        <v>Evaluated</v>
      </c>
      <c r="Y39" s="4"/>
    </row>
    <row r="40" spans="2:25" ht="13.5" customHeight="1" x14ac:dyDescent="0.45">
      <c r="B40" s="276">
        <v>1</v>
      </c>
      <c r="C40" s="180"/>
      <c r="D40" s="180"/>
      <c r="E40" s="294"/>
      <c r="F40" s="55"/>
      <c r="G40" s="130"/>
      <c r="H40" s="55"/>
      <c r="I40" s="130"/>
      <c r="J40" s="9"/>
      <c r="K40" s="126"/>
      <c r="L40" s="127"/>
      <c r="M40" s="126"/>
      <c r="N40" s="127"/>
      <c r="O40" s="9"/>
      <c r="P40" s="126"/>
      <c r="Q40" s="127"/>
      <c r="R40" s="126"/>
      <c r="S40" s="127"/>
      <c r="U40" s="126"/>
      <c r="V40" s="127"/>
      <c r="W40" s="126"/>
      <c r="X40" s="127"/>
      <c r="Y40" s="4"/>
    </row>
    <row r="41" spans="2:25" ht="16.5" customHeight="1" x14ac:dyDescent="0.45">
      <c r="B41" s="276">
        <v>2</v>
      </c>
      <c r="C41" s="180"/>
      <c r="D41" s="180"/>
      <c r="E41" s="294"/>
      <c r="F41" s="56"/>
      <c r="G41" s="125"/>
      <c r="H41" s="56"/>
      <c r="I41" s="125"/>
      <c r="J41" s="9"/>
      <c r="K41" s="128"/>
      <c r="L41" s="115"/>
      <c r="M41" s="128"/>
      <c r="N41" s="115"/>
      <c r="O41" s="9"/>
      <c r="P41" s="128"/>
      <c r="Q41" s="115"/>
      <c r="R41" s="128"/>
      <c r="S41" s="115"/>
      <c r="U41" s="128"/>
      <c r="V41" s="115"/>
      <c r="W41" s="128"/>
      <c r="X41" s="115"/>
      <c r="Y41" s="4"/>
    </row>
    <row r="42" spans="2:25" ht="12.75" customHeight="1" x14ac:dyDescent="0.45">
      <c r="B42" s="276">
        <v>3</v>
      </c>
      <c r="C42" s="180"/>
      <c r="D42" s="180"/>
      <c r="E42" s="294"/>
      <c r="F42" s="56"/>
      <c r="G42" s="125"/>
      <c r="H42" s="56"/>
      <c r="I42" s="125"/>
      <c r="J42" s="9"/>
      <c r="K42" s="128"/>
      <c r="L42" s="115"/>
      <c r="M42" s="128"/>
      <c r="N42" s="115"/>
      <c r="O42" s="9"/>
      <c r="P42" s="128"/>
      <c r="Q42" s="115"/>
      <c r="R42" s="128"/>
      <c r="S42" s="115"/>
      <c r="U42" s="128"/>
      <c r="V42" s="115"/>
      <c r="W42" s="128"/>
      <c r="X42" s="115"/>
      <c r="Y42" s="4"/>
    </row>
    <row r="43" spans="2:25" ht="12.75" customHeight="1" x14ac:dyDescent="0.45">
      <c r="B43" s="276">
        <v>4</v>
      </c>
      <c r="C43" s="180"/>
      <c r="D43" s="180"/>
      <c r="E43" s="294"/>
      <c r="F43" s="56"/>
      <c r="G43" s="125"/>
      <c r="H43" s="56"/>
      <c r="I43" s="125"/>
      <c r="J43" s="9"/>
      <c r="K43" s="128"/>
      <c r="L43" s="115"/>
      <c r="M43" s="128"/>
      <c r="N43" s="115"/>
      <c r="O43" s="9"/>
      <c r="P43" s="128"/>
      <c r="Q43" s="115"/>
      <c r="R43" s="128"/>
      <c r="S43" s="115"/>
      <c r="U43" s="128"/>
      <c r="V43" s="115"/>
      <c r="W43" s="128"/>
      <c r="X43" s="115"/>
      <c r="Y43" s="4"/>
    </row>
    <row r="44" spans="2:25" ht="12.75" customHeight="1" x14ac:dyDescent="0.45">
      <c r="B44" s="276">
        <v>5</v>
      </c>
      <c r="C44" s="180"/>
      <c r="D44" s="180"/>
      <c r="E44" s="294"/>
      <c r="F44" s="56"/>
      <c r="G44" s="125"/>
      <c r="H44" s="56"/>
      <c r="I44" s="125"/>
      <c r="J44" s="9"/>
      <c r="K44" s="128"/>
      <c r="L44" s="115"/>
      <c r="M44" s="128"/>
      <c r="N44" s="115"/>
      <c r="O44" s="9"/>
      <c r="P44" s="128"/>
      <c r="Q44" s="115"/>
      <c r="R44" s="128"/>
      <c r="S44" s="115"/>
      <c r="U44" s="128"/>
      <c r="V44" s="115"/>
      <c r="W44" s="128"/>
      <c r="X44" s="115"/>
      <c r="Y44" s="4"/>
    </row>
    <row r="45" spans="2:25" ht="12.75" customHeight="1" x14ac:dyDescent="0.45">
      <c r="B45" s="276">
        <v>6</v>
      </c>
      <c r="C45" s="180"/>
      <c r="D45" s="180"/>
      <c r="E45" s="294"/>
      <c r="F45" s="56"/>
      <c r="G45" s="125"/>
      <c r="H45" s="56"/>
      <c r="I45" s="125"/>
      <c r="J45" s="9"/>
      <c r="K45" s="128"/>
      <c r="L45" s="115"/>
      <c r="M45" s="128"/>
      <c r="N45" s="115"/>
      <c r="O45" s="9"/>
      <c r="P45" s="128"/>
      <c r="Q45" s="115"/>
      <c r="R45" s="128"/>
      <c r="S45" s="115"/>
      <c r="U45" s="128"/>
      <c r="V45" s="115"/>
      <c r="W45" s="128"/>
      <c r="X45" s="115"/>
      <c r="Y45" s="4"/>
    </row>
    <row r="46" spans="2:25" ht="12.75" customHeight="1" x14ac:dyDescent="0.45">
      <c r="B46" s="276">
        <v>7</v>
      </c>
      <c r="C46" s="180"/>
      <c r="D46" s="180"/>
      <c r="E46" s="294"/>
      <c r="F46" s="56"/>
      <c r="G46" s="125"/>
      <c r="H46" s="56"/>
      <c r="I46" s="125"/>
      <c r="J46" s="9"/>
      <c r="K46" s="128"/>
      <c r="L46" s="115"/>
      <c r="M46" s="128"/>
      <c r="N46" s="115"/>
      <c r="O46" s="9"/>
      <c r="P46" s="128"/>
      <c r="Q46" s="115"/>
      <c r="R46" s="128"/>
      <c r="S46" s="115"/>
      <c r="U46" s="128"/>
      <c r="V46" s="115"/>
      <c r="W46" s="128"/>
      <c r="X46" s="115"/>
      <c r="Y46" s="4"/>
    </row>
    <row r="47" spans="2:25" ht="12.75" customHeight="1" x14ac:dyDescent="0.45">
      <c r="B47" s="276">
        <v>8</v>
      </c>
      <c r="C47" s="180"/>
      <c r="D47" s="180"/>
      <c r="E47" s="294"/>
      <c r="F47" s="56"/>
      <c r="G47" s="125"/>
      <c r="H47" s="56"/>
      <c r="I47" s="125"/>
      <c r="J47" s="9"/>
      <c r="K47" s="128"/>
      <c r="L47" s="115"/>
      <c r="M47" s="128"/>
      <c r="N47" s="115"/>
      <c r="O47" s="9"/>
      <c r="P47" s="128"/>
      <c r="Q47" s="115"/>
      <c r="R47" s="128"/>
      <c r="S47" s="115"/>
      <c r="U47" s="128"/>
      <c r="V47" s="115"/>
      <c r="W47" s="128"/>
      <c r="X47" s="115"/>
      <c r="Y47" s="4"/>
    </row>
    <row r="48" spans="2:25" ht="12.75" customHeight="1" x14ac:dyDescent="0.45">
      <c r="B48" s="276">
        <v>9</v>
      </c>
      <c r="C48" s="180"/>
      <c r="D48" s="180"/>
      <c r="E48" s="294"/>
      <c r="F48" s="56"/>
      <c r="G48" s="125"/>
      <c r="H48" s="56"/>
      <c r="I48" s="125"/>
      <c r="J48" s="9"/>
      <c r="K48" s="128"/>
      <c r="L48" s="115"/>
      <c r="M48" s="128"/>
      <c r="N48" s="115"/>
      <c r="O48" s="9"/>
      <c r="P48" s="128"/>
      <c r="Q48" s="115"/>
      <c r="R48" s="128"/>
      <c r="S48" s="115"/>
      <c r="U48" s="128"/>
      <c r="V48" s="115"/>
      <c r="W48" s="128"/>
      <c r="X48" s="115"/>
      <c r="Y48" s="4"/>
    </row>
    <row r="49" spans="2:25" ht="12.75" customHeight="1" x14ac:dyDescent="0.45">
      <c r="B49" s="276">
        <v>10</v>
      </c>
      <c r="C49" s="180"/>
      <c r="D49" s="180"/>
      <c r="E49" s="294"/>
      <c r="F49" s="56"/>
      <c r="G49" s="125"/>
      <c r="H49" s="56"/>
      <c r="I49" s="125"/>
      <c r="J49" s="9"/>
      <c r="K49" s="128"/>
      <c r="L49" s="115"/>
      <c r="M49" s="128"/>
      <c r="N49" s="115"/>
      <c r="O49" s="9"/>
      <c r="P49" s="128"/>
      <c r="Q49" s="115"/>
      <c r="R49" s="128"/>
      <c r="S49" s="115"/>
      <c r="U49" s="128"/>
      <c r="V49" s="115"/>
      <c r="W49" s="128"/>
      <c r="X49" s="115"/>
      <c r="Y49" s="4"/>
    </row>
    <row r="50" spans="2:25" ht="12.75" customHeight="1" x14ac:dyDescent="0.35">
      <c r="B50" s="8"/>
      <c r="C50" s="289"/>
      <c r="D50" s="289"/>
      <c r="E50" s="289"/>
      <c r="F50" s="135"/>
      <c r="G50" s="135"/>
      <c r="H50" s="135"/>
      <c r="I50" s="135"/>
      <c r="Y50" s="4"/>
    </row>
    <row r="51" spans="2:25" ht="12.75" customHeight="1" x14ac:dyDescent="0.35">
      <c r="B51" s="8"/>
      <c r="C51" s="289"/>
      <c r="D51" s="289" t="s">
        <v>336</v>
      </c>
      <c r="E51" s="289"/>
      <c r="F51" s="11">
        <f>SUM(F40:F49)</f>
        <v>0</v>
      </c>
      <c r="G51" s="11">
        <f>SUM(G40:G49)</f>
        <v>0</v>
      </c>
      <c r="H51" s="11">
        <f>SUM(H40:H49)</f>
        <v>0</v>
      </c>
      <c r="I51" s="11">
        <f>SUM(I40:I49)</f>
        <v>0</v>
      </c>
      <c r="K51" s="135">
        <f>SUM(K40:K49)</f>
        <v>0</v>
      </c>
      <c r="L51" s="135">
        <f>SUM(L40:L49)</f>
        <v>0</v>
      </c>
      <c r="M51" s="135">
        <f>SUM(M40:M49)</f>
        <v>0</v>
      </c>
      <c r="N51" s="135">
        <f>SUM(N40:N49)</f>
        <v>0</v>
      </c>
      <c r="P51" s="135">
        <f>SUM(P40:P49)</f>
        <v>0</v>
      </c>
      <c r="Q51" s="135">
        <f>SUM(Q40:Q49)</f>
        <v>0</v>
      </c>
      <c r="R51" s="135">
        <f>SUM(R40:R49)</f>
        <v>0</v>
      </c>
      <c r="S51" s="135">
        <f>SUM(S40:S49)</f>
        <v>0</v>
      </c>
      <c r="U51" s="135">
        <f>SUM(U40:U49)</f>
        <v>0</v>
      </c>
      <c r="V51" s="135">
        <f>SUM(V40:V49)</f>
        <v>0</v>
      </c>
      <c r="W51" s="135">
        <f>SUM(W40:W49)</f>
        <v>0</v>
      </c>
      <c r="X51" s="135">
        <f>SUM(X40:X49)</f>
        <v>0</v>
      </c>
      <c r="Y51" s="4"/>
    </row>
    <row r="52" spans="2:25" ht="12.75" customHeight="1" x14ac:dyDescent="0.35">
      <c r="B52" s="8"/>
      <c r="C52" s="289"/>
      <c r="D52" s="289"/>
      <c r="E52" s="289"/>
      <c r="F52" s="135"/>
      <c r="G52" s="135"/>
      <c r="H52" s="135"/>
      <c r="I52" s="135"/>
      <c r="Y52" s="4"/>
    </row>
    <row r="53" spans="2:25" ht="12.75" customHeight="1" x14ac:dyDescent="0.35">
      <c r="B53" s="8"/>
      <c r="C53" s="289"/>
      <c r="D53" s="289"/>
      <c r="E53" s="289"/>
      <c r="F53" s="135"/>
      <c r="G53" s="135"/>
      <c r="H53" s="135"/>
      <c r="I53" s="135"/>
      <c r="Y53" s="4"/>
    </row>
    <row r="54" spans="2:25" ht="12.75" customHeight="1" x14ac:dyDescent="0.35">
      <c r="B54" s="8"/>
      <c r="C54" s="295"/>
      <c r="D54" s="295" t="s">
        <v>337</v>
      </c>
      <c r="E54" s="295"/>
      <c r="F54" s="296">
        <f>F31+F51</f>
        <v>4521125</v>
      </c>
      <c r="G54" s="296">
        <f>G31+G51</f>
        <v>4506948.4899999993</v>
      </c>
      <c r="H54" s="296">
        <f>H31+H51</f>
        <v>4396274</v>
      </c>
      <c r="I54" s="296">
        <f>I31+I51</f>
        <v>4449463.87</v>
      </c>
      <c r="J54" s="297"/>
      <c r="K54" s="298">
        <f>K31+K51</f>
        <v>1330541</v>
      </c>
      <c r="L54" s="298">
        <f>L31+L51</f>
        <v>1510376.7492725942</v>
      </c>
      <c r="M54" s="298">
        <f>M31+M51</f>
        <v>1510377</v>
      </c>
      <c r="N54" s="298">
        <f>N31+N51</f>
        <v>1543029</v>
      </c>
      <c r="O54" s="297"/>
      <c r="P54" s="298">
        <f>P31+P51</f>
        <v>0</v>
      </c>
      <c r="Q54" s="298">
        <f>Q31+Q51</f>
        <v>0</v>
      </c>
      <c r="R54" s="298">
        <f>R31+R51</f>
        <v>0</v>
      </c>
      <c r="S54" s="298">
        <f>S31+S51</f>
        <v>0</v>
      </c>
      <c r="T54" s="297"/>
      <c r="U54" s="298">
        <f>U31+U51</f>
        <v>6526</v>
      </c>
      <c r="V54" s="298">
        <f>V31+V51</f>
        <v>5366</v>
      </c>
      <c r="W54" s="298">
        <f>W31+W51</f>
        <v>6526</v>
      </c>
      <c r="X54" s="298">
        <f>X31+X51</f>
        <v>6526</v>
      </c>
      <c r="Y54" s="4"/>
    </row>
    <row r="55" spans="2:25" ht="12.75" customHeight="1" x14ac:dyDescent="0.35">
      <c r="B55" s="8"/>
      <c r="C55" s="289"/>
      <c r="D55" s="289"/>
      <c r="E55" s="289"/>
      <c r="F55" s="135"/>
      <c r="G55" s="135"/>
      <c r="H55" s="135"/>
      <c r="I55" s="135"/>
      <c r="K55" s="311"/>
      <c r="L55" s="311"/>
      <c r="M55" s="311"/>
      <c r="N55" s="311"/>
      <c r="Y55" s="4"/>
    </row>
    <row r="56" spans="2:25" ht="12.75" customHeight="1" x14ac:dyDescent="0.3">
      <c r="B56" s="5"/>
      <c r="C56" s="6"/>
      <c r="D56" s="6"/>
      <c r="E56" s="6"/>
      <c r="F56" s="6"/>
      <c r="G56" s="6"/>
      <c r="H56" s="6"/>
      <c r="I56" s="6"/>
      <c r="J56" s="6"/>
      <c r="K56" s="6"/>
      <c r="L56" s="6"/>
      <c r="M56" s="6"/>
      <c r="N56" s="6"/>
      <c r="O56" s="6"/>
      <c r="P56" s="6"/>
      <c r="Q56" s="6"/>
      <c r="R56" s="6"/>
      <c r="S56" s="6"/>
      <c r="T56" s="6"/>
      <c r="U56" s="6"/>
      <c r="V56" s="6"/>
      <c r="W56" s="6"/>
      <c r="X56" s="6"/>
      <c r="Y56" s="7"/>
    </row>
  </sheetData>
  <mergeCells count="28">
    <mergeCell ref="B2:Y2"/>
    <mergeCell ref="F7:G7"/>
    <mergeCell ref="H7:I7"/>
    <mergeCell ref="K7:L7"/>
    <mergeCell ref="M7:N7"/>
    <mergeCell ref="P7:Q7"/>
    <mergeCell ref="R7:S7"/>
    <mergeCell ref="F6:I6"/>
    <mergeCell ref="K6:N6"/>
    <mergeCell ref="P6:S6"/>
    <mergeCell ref="C6:D6"/>
    <mergeCell ref="U6:X6"/>
    <mergeCell ref="U7:V7"/>
    <mergeCell ref="W7:X7"/>
    <mergeCell ref="U37:X37"/>
    <mergeCell ref="U38:V38"/>
    <mergeCell ref="W38:X38"/>
    <mergeCell ref="P38:Q38"/>
    <mergeCell ref="C34:N34"/>
    <mergeCell ref="C37:D37"/>
    <mergeCell ref="F37:I37"/>
    <mergeCell ref="K37:N37"/>
    <mergeCell ref="P37:S37"/>
    <mergeCell ref="R38:S38"/>
    <mergeCell ref="F38:G38"/>
    <mergeCell ref="H38:I38"/>
    <mergeCell ref="K38:L38"/>
    <mergeCell ref="M38:N38"/>
  </mergeCells>
  <conditionalFormatting sqref="F9:I28 K9:N28 P9:S28">
    <cfRule type="expression" dxfId="8" priority="2">
      <formula>$B9&gt;Programs</formula>
    </cfRule>
  </conditionalFormatting>
  <conditionalFormatting sqref="P9:S28 P40:S49">
    <cfRule type="expression" dxfId="7" priority="3">
      <formula>Demand_1=NG_Demand</formula>
    </cfRule>
  </conditionalFormatting>
  <conditionalFormatting sqref="U9:X28">
    <cfRule type="expression" dxfId="6" priority="1">
      <formula>$B9&gt;Programs</formula>
    </cfRule>
  </conditionalFormatting>
  <dataValidations count="1">
    <dataValidation type="list" allowBlank="1" showInputMessage="1" showErrorMessage="1" sqref="D40:D49" xr:uid="{00000000-0002-0000-1700-000000000000}">
      <formula1>Sector_Type</formula1>
    </dataValidation>
  </dataValidations>
  <pageMargins left="0.25" right="0.25" top="0.5" bottom="0.5" header="0.3" footer="0.3"/>
  <pageSetup scale="57"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B1:N18"/>
  <sheetViews>
    <sheetView showGridLines="0" showRowColHeaders="0" topLeftCell="A2" zoomScale="110" zoomScaleNormal="110" workbookViewId="0">
      <selection activeCell="G12" sqref="G12:H12"/>
    </sheetView>
  </sheetViews>
  <sheetFormatPr defaultColWidth="9.1796875" defaultRowHeight="13" x14ac:dyDescent="0.3"/>
  <cols>
    <col min="1" max="1" width="1" style="2" customWidth="1"/>
    <col min="2" max="2" width="1.54296875" style="2" customWidth="1"/>
    <col min="3" max="3" width="14.453125" style="2" bestFit="1" customWidth="1"/>
    <col min="4" max="4" width="16.54296875" style="2" customWidth="1"/>
    <col min="5" max="5" width="17.81640625" style="2" customWidth="1"/>
    <col min="6" max="6" width="1.81640625" style="2" customWidth="1"/>
    <col min="7" max="7" width="14.7265625" style="2" customWidth="1"/>
    <col min="8" max="8" width="14" style="2" customWidth="1"/>
    <col min="9" max="9" width="15" style="2" customWidth="1"/>
    <col min="10" max="10" width="12.26953125" style="2" customWidth="1"/>
    <col min="11" max="11" width="6.453125" style="2" customWidth="1"/>
    <col min="12" max="12" width="1" style="2" customWidth="1"/>
    <col min="13" max="13" width="9.1796875" style="2"/>
    <col min="14" max="14" width="0" style="2" hidden="1" customWidth="1"/>
    <col min="15" max="16384" width="9.1796875" style="2"/>
  </cols>
  <sheetData>
    <row r="1" spans="2:14" ht="5.15" customHeight="1" thickBot="1" x14ac:dyDescent="0.35"/>
    <row r="2" spans="2:14" ht="38.25" customHeight="1" x14ac:dyDescent="0.3">
      <c r="B2" s="674" t="s">
        <v>338</v>
      </c>
      <c r="C2" s="674"/>
      <c r="D2" s="674"/>
      <c r="E2" s="674"/>
      <c r="F2" s="674"/>
      <c r="G2" s="674"/>
      <c r="H2" s="674"/>
      <c r="I2" s="674"/>
      <c r="J2" s="674"/>
      <c r="K2" s="674"/>
    </row>
    <row r="3" spans="2:14" x14ac:dyDescent="0.3">
      <c r="B3" s="459"/>
      <c r="C3" s="351"/>
      <c r="D3" s="351"/>
      <c r="E3" s="351"/>
      <c r="F3" s="351"/>
      <c r="G3" s="351"/>
      <c r="H3" s="351"/>
      <c r="I3" s="351"/>
      <c r="J3" s="351"/>
      <c r="K3" s="460"/>
    </row>
    <row r="4" spans="2:14" x14ac:dyDescent="0.3">
      <c r="B4" s="3"/>
      <c r="K4" s="4"/>
    </row>
    <row r="5" spans="2:14" x14ac:dyDescent="0.3">
      <c r="B5" s="3"/>
      <c r="K5" s="4"/>
    </row>
    <row r="6" spans="2:14" ht="15" customHeight="1" x14ac:dyDescent="0.3">
      <c r="B6" s="3"/>
      <c r="C6" s="354" t="str">
        <f>IF(N14&gt;0,"Incomplete - All 'yellow' shaded cells must be completed.","")</f>
        <v/>
      </c>
      <c r="K6" s="4"/>
    </row>
    <row r="7" spans="2:14" x14ac:dyDescent="0.3">
      <c r="B7" s="3"/>
      <c r="D7" s="692" t="s">
        <v>10</v>
      </c>
      <c r="E7" s="692"/>
      <c r="G7" s="693" t="s">
        <v>339</v>
      </c>
      <c r="H7" s="693"/>
      <c r="I7" s="693"/>
      <c r="J7" s="693"/>
      <c r="K7" s="4"/>
    </row>
    <row r="8" spans="2:14" x14ac:dyDescent="0.3">
      <c r="B8" s="3"/>
      <c r="D8" s="692" t="s">
        <v>340</v>
      </c>
      <c r="E8" s="692"/>
      <c r="G8" s="692" t="s">
        <v>341</v>
      </c>
      <c r="H8" s="692"/>
      <c r="I8" s="692" t="str">
        <f>"Savings ("&amp;Energy_2&amp;")"</f>
        <v>Savings (Therms)</v>
      </c>
      <c r="J8" s="692"/>
      <c r="K8" s="4"/>
    </row>
    <row r="9" spans="2:14" ht="12.75" customHeight="1" x14ac:dyDescent="0.35">
      <c r="B9" s="8"/>
      <c r="C9" s="293" t="s">
        <v>74</v>
      </c>
      <c r="D9" s="480" t="s">
        <v>342</v>
      </c>
      <c r="E9" s="480" t="str">
        <f>"Sales ("&amp;Energy_2&amp;")"</f>
        <v>Sales (Therms)</v>
      </c>
      <c r="G9" s="480" t="s">
        <v>329</v>
      </c>
      <c r="H9" s="480" t="s">
        <v>330</v>
      </c>
      <c r="I9" s="480" t="s">
        <v>331</v>
      </c>
      <c r="J9" s="480" t="s">
        <v>330</v>
      </c>
      <c r="K9" s="4"/>
    </row>
    <row r="10" spans="2:14" ht="12.75" customHeight="1" x14ac:dyDescent="0.3">
      <c r="B10" s="8"/>
      <c r="C10" s="600">
        <f>'Utility Information'!D7</f>
        <v>2024</v>
      </c>
      <c r="D10" s="465">
        <f>'Utility Information'!F8</f>
        <v>247790327</v>
      </c>
      <c r="E10" s="474">
        <f>'Utility Information'!F11</f>
        <v>290824100</v>
      </c>
      <c r="G10" s="523">
        <v>4241455.97</v>
      </c>
      <c r="H10" s="465">
        <v>3961625</v>
      </c>
      <c r="I10" s="474">
        <v>1291789</v>
      </c>
      <c r="J10" s="474">
        <v>1350413</v>
      </c>
      <c r="K10" s="4"/>
      <c r="N10" s="336">
        <f>IF(OR(ISBLANK(D12),ISBLANK(E12),ISBLANK(G12),ISBLANK(H12),ISBLANK(I12),ISBLANK(J12)),1,0)</f>
        <v>0</v>
      </c>
    </row>
    <row r="11" spans="2:14" ht="12.75" customHeight="1" x14ac:dyDescent="0.3">
      <c r="B11" s="8"/>
      <c r="C11" s="600">
        <f>C10-1</f>
        <v>2023</v>
      </c>
      <c r="D11" s="465">
        <v>267937952</v>
      </c>
      <c r="E11" s="474">
        <v>295781710</v>
      </c>
      <c r="G11" s="523">
        <v>4399274</v>
      </c>
      <c r="H11" s="465">
        <v>4449464</v>
      </c>
      <c r="I11" s="474">
        <v>1510377</v>
      </c>
      <c r="J11" s="474">
        <v>1543029</v>
      </c>
      <c r="K11" s="4"/>
      <c r="N11" s="336">
        <f>IF(OR(ISBLANK(D13),ISBLANK(E13),ISBLANK(G13),ISBLANK(H13),ISBLANK(I13),ISBLANK(J13)),1,0)</f>
        <v>0</v>
      </c>
    </row>
    <row r="12" spans="2:14" ht="12.75" customHeight="1" x14ac:dyDescent="0.3">
      <c r="B12" s="8"/>
      <c r="C12" s="600">
        <f t="shared" ref="C12:C13" si="0">C11-1</f>
        <v>2022</v>
      </c>
      <c r="D12" s="465">
        <v>310466193</v>
      </c>
      <c r="E12" s="474">
        <v>317361270</v>
      </c>
      <c r="G12" s="523">
        <v>4524125</v>
      </c>
      <c r="H12" s="465">
        <v>4509838.49</v>
      </c>
      <c r="I12" s="474">
        <v>1330541</v>
      </c>
      <c r="J12" s="474">
        <v>1510376.7492725942</v>
      </c>
      <c r="K12" s="4"/>
      <c r="N12" s="336">
        <f>IF(OR(ISBLANK(#REF!),ISBLANK(#REF!),ISBLANK(#REF!),ISBLANK(#REF!),ISBLANK(#REF!),ISBLANK(#REF!)),1,0)</f>
        <v>0</v>
      </c>
    </row>
    <row r="13" spans="2:14" ht="12.75" customHeight="1" x14ac:dyDescent="0.3">
      <c r="B13" s="8"/>
      <c r="C13" s="600">
        <f t="shared" si="0"/>
        <v>2021</v>
      </c>
      <c r="D13" s="465">
        <v>217933935</v>
      </c>
      <c r="E13" s="474">
        <v>303339040</v>
      </c>
      <c r="G13" s="523">
        <v>4204997.7</v>
      </c>
      <c r="H13" s="465">
        <v>4156000.0207470804</v>
      </c>
      <c r="I13" s="474">
        <v>1330541</v>
      </c>
      <c r="J13" s="474">
        <v>1507349</v>
      </c>
      <c r="K13" s="4"/>
      <c r="N13" s="336">
        <f>IF(OR(ISBLANK(#REF!),ISBLANK(#REF!),ISBLANK(#REF!),ISBLANK(#REF!),ISBLANK(#REF!),ISBLANK(#REF!)),1,0)</f>
        <v>0</v>
      </c>
    </row>
    <row r="14" spans="2:14" ht="12.75" customHeight="1" x14ac:dyDescent="0.3">
      <c r="B14" s="8"/>
      <c r="C14"/>
      <c r="K14" s="4"/>
      <c r="N14" s="2">
        <f>SUM(N10:N13)</f>
        <v>0</v>
      </c>
    </row>
    <row r="15" spans="2:14" ht="12.75" customHeight="1" x14ac:dyDescent="0.3">
      <c r="B15" s="5"/>
      <c r="C15" s="6" t="s">
        <v>750</v>
      </c>
      <c r="D15" s="6"/>
      <c r="E15" s="6"/>
      <c r="F15" s="6"/>
      <c r="G15" s="6"/>
      <c r="H15" s="6"/>
      <c r="I15" s="6"/>
      <c r="J15" s="6"/>
      <c r="K15" s="7"/>
    </row>
    <row r="18" spans="4:5" x14ac:dyDescent="0.3">
      <c r="D18" s="572"/>
      <c r="E18" s="311"/>
    </row>
  </sheetData>
  <mergeCells count="6">
    <mergeCell ref="D7:E7"/>
    <mergeCell ref="G8:H8"/>
    <mergeCell ref="I8:J8"/>
    <mergeCell ref="G7:J7"/>
    <mergeCell ref="B2:K2"/>
    <mergeCell ref="D8:E8"/>
  </mergeCells>
  <pageMargins left="0.25" right="0.25" top="0.5" bottom="0.5" header="0.3" footer="0.3"/>
  <pageSetup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C39"/>
  <sheetViews>
    <sheetView showGridLines="0" showRowColHeaders="0" zoomScaleNormal="10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29" t="s">
        <v>343</v>
      </c>
      <c r="C2" s="629"/>
    </row>
    <row r="3" spans="2:3" s="1" customFormat="1" ht="15.5" x14ac:dyDescent="0.35">
      <c r="B3" s="481" t="s">
        <v>344</v>
      </c>
      <c r="C3" s="481" t="s">
        <v>345</v>
      </c>
    </row>
    <row r="4" spans="2:3" s="1" customFormat="1" x14ac:dyDescent="0.25">
      <c r="B4" s="482" t="s">
        <v>346</v>
      </c>
      <c r="C4" s="287" t="s">
        <v>347</v>
      </c>
    </row>
    <row r="5" spans="2:3" s="1" customFormat="1" x14ac:dyDescent="0.25">
      <c r="B5" s="482" t="s">
        <v>348</v>
      </c>
      <c r="C5" s="287" t="s">
        <v>349</v>
      </c>
    </row>
    <row r="6" spans="2:3" s="1" customFormat="1" x14ac:dyDescent="0.25">
      <c r="B6" s="482" t="s">
        <v>350</v>
      </c>
      <c r="C6" s="287" t="s">
        <v>351</v>
      </c>
    </row>
    <row r="7" spans="2:3" s="1" customFormat="1" x14ac:dyDescent="0.25">
      <c r="B7" s="482" t="s">
        <v>352</v>
      </c>
      <c r="C7" s="287" t="s">
        <v>353</v>
      </c>
    </row>
    <row r="8" spans="2:3" s="1" customFormat="1" ht="79.5" customHeight="1" x14ac:dyDescent="0.25">
      <c r="B8" s="482" t="s">
        <v>208</v>
      </c>
      <c r="C8" s="287" t="s">
        <v>354</v>
      </c>
    </row>
    <row r="9" spans="2:3" s="1" customFormat="1" ht="26" x14ac:dyDescent="0.25">
      <c r="B9" s="482" t="s">
        <v>355</v>
      </c>
      <c r="C9" s="287" t="s">
        <v>356</v>
      </c>
    </row>
    <row r="10" spans="2:3" s="1" customFormat="1" x14ac:dyDescent="0.25">
      <c r="B10" s="482" t="s">
        <v>285</v>
      </c>
      <c r="C10" s="287" t="s">
        <v>357</v>
      </c>
    </row>
    <row r="11" spans="2:3" s="1" customFormat="1" x14ac:dyDescent="0.25">
      <c r="B11" s="482" t="s">
        <v>358</v>
      </c>
      <c r="C11" s="287" t="s">
        <v>359</v>
      </c>
    </row>
    <row r="12" spans="2:3" s="1" customFormat="1" x14ac:dyDescent="0.25">
      <c r="B12" s="482" t="s">
        <v>360</v>
      </c>
      <c r="C12" s="287" t="s">
        <v>361</v>
      </c>
    </row>
    <row r="13" spans="2:3" s="1" customFormat="1" ht="26" x14ac:dyDescent="0.25">
      <c r="B13" s="482" t="s">
        <v>362</v>
      </c>
      <c r="C13" s="287" t="s">
        <v>363</v>
      </c>
    </row>
    <row r="14" spans="2:3" s="1" customFormat="1" ht="26" x14ac:dyDescent="0.25">
      <c r="B14" s="482" t="s">
        <v>313</v>
      </c>
      <c r="C14" s="287" t="s">
        <v>364</v>
      </c>
    </row>
    <row r="15" spans="2:3" s="1" customFormat="1" x14ac:dyDescent="0.25">
      <c r="B15" s="482" t="s">
        <v>365</v>
      </c>
      <c r="C15" s="287" t="s">
        <v>366</v>
      </c>
    </row>
    <row r="16" spans="2:3" s="1" customFormat="1" ht="26" x14ac:dyDescent="0.25">
      <c r="B16" s="482" t="s">
        <v>367</v>
      </c>
      <c r="C16" s="287" t="s">
        <v>368</v>
      </c>
    </row>
    <row r="17" spans="2:3" s="1" customFormat="1" ht="52" x14ac:dyDescent="0.25">
      <c r="B17" s="482" t="s">
        <v>369</v>
      </c>
      <c r="C17" s="287" t="s">
        <v>370</v>
      </c>
    </row>
    <row r="18" spans="2:3" s="1" customFormat="1" x14ac:dyDescent="0.25">
      <c r="B18" s="482" t="s">
        <v>371</v>
      </c>
      <c r="C18" s="287" t="s">
        <v>372</v>
      </c>
    </row>
    <row r="19" spans="2:3" s="1" customFormat="1" x14ac:dyDescent="0.25">
      <c r="B19" s="482" t="s">
        <v>216</v>
      </c>
      <c r="C19" s="287" t="s">
        <v>373</v>
      </c>
    </row>
    <row r="20" spans="2:3" s="1" customFormat="1" ht="26" x14ac:dyDescent="0.25">
      <c r="B20" s="482" t="s">
        <v>374</v>
      </c>
      <c r="C20" s="287" t="s">
        <v>375</v>
      </c>
    </row>
    <row r="21" spans="2:3" s="1" customFormat="1" x14ac:dyDescent="0.25">
      <c r="B21" s="482" t="s">
        <v>376</v>
      </c>
      <c r="C21" s="287" t="s">
        <v>377</v>
      </c>
    </row>
    <row r="22" spans="2:3" s="1" customFormat="1" ht="39" x14ac:dyDescent="0.25">
      <c r="B22" s="482" t="s">
        <v>378</v>
      </c>
      <c r="C22" s="287" t="s">
        <v>379</v>
      </c>
    </row>
    <row r="23" spans="2:3" s="1" customFormat="1" ht="26" x14ac:dyDescent="0.25">
      <c r="B23" s="482" t="s">
        <v>380</v>
      </c>
      <c r="C23" s="287" t="s">
        <v>381</v>
      </c>
    </row>
    <row r="24" spans="2:3" s="1" customFormat="1" x14ac:dyDescent="0.25">
      <c r="B24" s="482" t="s">
        <v>210</v>
      </c>
      <c r="C24" s="287" t="s">
        <v>382</v>
      </c>
    </row>
    <row r="25" spans="2:3" s="1" customFormat="1" x14ac:dyDescent="0.25">
      <c r="B25" s="482" t="s">
        <v>383</v>
      </c>
      <c r="C25" s="287" t="s">
        <v>384</v>
      </c>
    </row>
    <row r="26" spans="2:3" s="1" customFormat="1" ht="52" x14ac:dyDescent="0.25">
      <c r="B26" s="482" t="s">
        <v>385</v>
      </c>
      <c r="C26" s="287" t="s">
        <v>386</v>
      </c>
    </row>
    <row r="27" spans="2:3" s="1" customFormat="1" x14ac:dyDescent="0.25">
      <c r="B27" s="482" t="s">
        <v>387</v>
      </c>
      <c r="C27" s="287" t="s">
        <v>388</v>
      </c>
    </row>
    <row r="28" spans="2:3" s="1" customFormat="1" ht="39" x14ac:dyDescent="0.25">
      <c r="B28" s="482" t="s">
        <v>389</v>
      </c>
      <c r="C28" s="287" t="s">
        <v>390</v>
      </c>
    </row>
    <row r="29" spans="2:3" s="1" customFormat="1" ht="39" x14ac:dyDescent="0.25">
      <c r="B29" s="482" t="s">
        <v>391</v>
      </c>
      <c r="C29" s="287" t="s">
        <v>392</v>
      </c>
    </row>
    <row r="30" spans="2:3" s="1" customFormat="1" ht="26" x14ac:dyDescent="0.25">
      <c r="B30" s="482" t="s">
        <v>74</v>
      </c>
      <c r="C30" s="287" t="s">
        <v>393</v>
      </c>
    </row>
    <row r="31" spans="2:3" s="1" customFormat="1" ht="39" x14ac:dyDescent="0.25">
      <c r="B31" s="482" t="s">
        <v>394</v>
      </c>
      <c r="C31" s="287" t="s">
        <v>395</v>
      </c>
    </row>
    <row r="32" spans="2:3" s="1" customFormat="1" ht="26" x14ac:dyDescent="0.25">
      <c r="B32" s="482" t="s">
        <v>396</v>
      </c>
      <c r="C32" s="287" t="s">
        <v>397</v>
      </c>
    </row>
    <row r="33" spans="2:3" s="1" customFormat="1" ht="26" x14ac:dyDescent="0.25">
      <c r="B33" s="482" t="s">
        <v>154</v>
      </c>
      <c r="C33" s="287" t="s">
        <v>398</v>
      </c>
    </row>
    <row r="34" spans="2:3" s="1" customFormat="1" ht="26" x14ac:dyDescent="0.25">
      <c r="B34" s="482" t="s">
        <v>399</v>
      </c>
      <c r="C34" s="287" t="s">
        <v>400</v>
      </c>
    </row>
    <row r="35" spans="2:3" s="1" customFormat="1" ht="26" x14ac:dyDescent="0.25">
      <c r="B35" s="482" t="s">
        <v>401</v>
      </c>
      <c r="C35" s="287" t="s">
        <v>402</v>
      </c>
    </row>
    <row r="36" spans="2:3" s="1" customFormat="1" ht="26" x14ac:dyDescent="0.25">
      <c r="B36" s="482" t="s">
        <v>222</v>
      </c>
      <c r="C36" s="287" t="s">
        <v>403</v>
      </c>
    </row>
    <row r="37" spans="2:3" s="1" customFormat="1" ht="12.5" x14ac:dyDescent="0.25">
      <c r="B37"/>
      <c r="C37"/>
    </row>
    <row r="38" spans="2:3" s="1" customFormat="1" ht="12.5" x14ac:dyDescent="0.25">
      <c r="B38"/>
      <c r="C38"/>
    </row>
    <row r="39" spans="2:3" s="1" customFormat="1" ht="12.5" x14ac:dyDescent="0.25">
      <c r="B39"/>
      <c r="C39"/>
    </row>
  </sheetData>
  <sheetProtection password="C925" sheet="1" objects="1" scenarios="1"/>
  <mergeCells count="1">
    <mergeCell ref="B2:C2"/>
  </mergeCells>
  <pageMargins left="0.25" right="0.25" top="0.5" bottom="0.5" header="0.3" footer="0.3"/>
  <pageSetup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C18"/>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29" t="s">
        <v>404</v>
      </c>
      <c r="C2" s="629"/>
    </row>
    <row r="3" spans="2:3" s="1" customFormat="1" ht="15.5" x14ac:dyDescent="0.35">
      <c r="B3" s="481" t="s">
        <v>344</v>
      </c>
      <c r="C3" s="481" t="s">
        <v>345</v>
      </c>
    </row>
    <row r="4" spans="2:3" s="1" customFormat="1" ht="28.5" customHeight="1" x14ac:dyDescent="0.25">
      <c r="B4" s="482" t="s">
        <v>405</v>
      </c>
      <c r="C4" s="287" t="s">
        <v>406</v>
      </c>
    </row>
    <row r="5" spans="2:3" s="1" customFormat="1" ht="66.75" customHeight="1" x14ac:dyDescent="0.25">
      <c r="B5" s="482" t="s">
        <v>95</v>
      </c>
      <c r="C5" s="287" t="s">
        <v>407</v>
      </c>
    </row>
    <row r="6" spans="2:3" s="1" customFormat="1" ht="72" customHeight="1" x14ac:dyDescent="0.25">
      <c r="B6" s="482" t="s">
        <v>408</v>
      </c>
      <c r="C6" s="287" t="s">
        <v>409</v>
      </c>
    </row>
    <row r="7" spans="2:3" s="1" customFormat="1" ht="40.5" customHeight="1" x14ac:dyDescent="0.25">
      <c r="B7" s="482" t="s">
        <v>91</v>
      </c>
      <c r="C7" s="287" t="s">
        <v>410</v>
      </c>
    </row>
    <row r="8" spans="2:3" s="1" customFormat="1" ht="15.75" customHeight="1" x14ac:dyDescent="0.25">
      <c r="B8" s="482" t="s">
        <v>411</v>
      </c>
      <c r="C8" s="287" t="s">
        <v>412</v>
      </c>
    </row>
    <row r="9" spans="2:3" s="1" customFormat="1" ht="117" x14ac:dyDescent="0.25">
      <c r="B9" s="482" t="s">
        <v>413</v>
      </c>
      <c r="C9" s="287" t="s">
        <v>414</v>
      </c>
    </row>
    <row r="10" spans="2:3" s="1" customFormat="1" ht="42" customHeight="1" x14ac:dyDescent="0.25">
      <c r="B10" s="482" t="s">
        <v>100</v>
      </c>
      <c r="C10" s="287" t="s">
        <v>415</v>
      </c>
    </row>
    <row r="11" spans="2:3" s="1" customFormat="1" ht="81" customHeight="1" x14ac:dyDescent="0.25">
      <c r="B11" s="482" t="s">
        <v>416</v>
      </c>
      <c r="C11" s="287" t="s">
        <v>417</v>
      </c>
    </row>
    <row r="12" spans="2:3" s="1" customFormat="1" ht="42" customHeight="1" x14ac:dyDescent="0.25">
      <c r="B12" s="482" t="s">
        <v>99</v>
      </c>
      <c r="C12" s="287" t="s">
        <v>418</v>
      </c>
    </row>
    <row r="13" spans="2:3" s="1" customFormat="1" ht="27.75" customHeight="1" x14ac:dyDescent="0.25">
      <c r="B13" s="482" t="s">
        <v>419</v>
      </c>
      <c r="C13" s="287" t="s">
        <v>420</v>
      </c>
    </row>
    <row r="14" spans="2:3" s="1" customFormat="1" ht="78" customHeight="1" x14ac:dyDescent="0.25">
      <c r="B14" s="482" t="s">
        <v>421</v>
      </c>
      <c r="C14" s="287" t="s">
        <v>422</v>
      </c>
    </row>
    <row r="15" spans="2:3" s="1" customFormat="1" ht="129.75" customHeight="1" x14ac:dyDescent="0.25">
      <c r="B15" s="482" t="s">
        <v>423</v>
      </c>
      <c r="C15" s="287" t="s">
        <v>424</v>
      </c>
    </row>
    <row r="16" spans="2:3" s="1" customFormat="1" ht="12.5" x14ac:dyDescent="0.25">
      <c r="B16"/>
      <c r="C16"/>
    </row>
    <row r="17" spans="2:3" s="1" customFormat="1" ht="12.5" x14ac:dyDescent="0.25">
      <c r="B17"/>
      <c r="C17"/>
    </row>
    <row r="18" spans="2:3" s="1" customFormat="1" ht="12.5" x14ac:dyDescent="0.25">
      <c r="B18"/>
      <c r="C18"/>
    </row>
  </sheetData>
  <sheetProtection password="C925" sheet="1" objects="1" scenarios="1"/>
  <mergeCells count="1">
    <mergeCell ref="B2:C2"/>
  </mergeCells>
  <pageMargins left="0.25" right="0.25" top="0.5" bottom="0.5" header="0.3" footer="0.3"/>
  <pageSetup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C12"/>
  <sheetViews>
    <sheetView showGridLines="0" showRowColHeaders="0" workbookViewId="0">
      <pane ySplit="3" topLeftCell="A4" activePane="bottomLeft" state="frozen"/>
      <selection pane="bottomLeft" activeCell="A3" sqref="A3"/>
    </sheetView>
  </sheetViews>
  <sheetFormatPr defaultColWidth="9.1796875" defaultRowHeight="13" x14ac:dyDescent="0.3"/>
  <cols>
    <col min="1" max="1" width="1" style="2" customWidth="1"/>
    <col min="2" max="2" width="33.1796875" style="2" customWidth="1"/>
    <col min="3" max="3" width="100" style="2" customWidth="1"/>
    <col min="4" max="4" width="1" style="2" customWidth="1"/>
    <col min="5" max="16384" width="9.1796875" style="2"/>
  </cols>
  <sheetData>
    <row r="1" spans="2:3" ht="5.15" customHeight="1" thickBot="1" x14ac:dyDescent="0.35"/>
    <row r="2" spans="2:3" ht="38.25" customHeight="1" thickBot="1" x14ac:dyDescent="0.35">
      <c r="B2" s="629" t="s">
        <v>425</v>
      </c>
      <c r="C2" s="629"/>
    </row>
    <row r="3" spans="2:3" s="1" customFormat="1" ht="15.5" x14ac:dyDescent="0.35">
      <c r="B3" s="481" t="s">
        <v>344</v>
      </c>
      <c r="C3" s="481" t="s">
        <v>345</v>
      </c>
    </row>
    <row r="4" spans="2:3" s="1" customFormat="1" ht="25" customHeight="1" x14ac:dyDescent="0.25">
      <c r="B4" s="482" t="s">
        <v>426</v>
      </c>
      <c r="C4" s="287" t="s">
        <v>427</v>
      </c>
    </row>
    <row r="5" spans="2:3" s="1" customFormat="1" ht="25" customHeight="1" x14ac:dyDescent="0.25">
      <c r="B5" s="482" t="s">
        <v>166</v>
      </c>
      <c r="C5" s="287" t="s">
        <v>428</v>
      </c>
    </row>
    <row r="6" spans="2:3" s="1" customFormat="1" ht="25" customHeight="1" x14ac:dyDescent="0.25">
      <c r="B6" s="482" t="s">
        <v>165</v>
      </c>
      <c r="C6" s="287" t="s">
        <v>429</v>
      </c>
    </row>
    <row r="7" spans="2:3" s="1" customFormat="1" ht="25" customHeight="1" x14ac:dyDescent="0.25">
      <c r="B7" s="482" t="s">
        <v>430</v>
      </c>
      <c r="C7" s="287" t="s">
        <v>431</v>
      </c>
    </row>
    <row r="8" spans="2:3" s="1" customFormat="1" ht="25" customHeight="1" x14ac:dyDescent="0.25">
      <c r="B8" s="482" t="s">
        <v>167</v>
      </c>
      <c r="C8" s="287" t="s">
        <v>432</v>
      </c>
    </row>
    <row r="9" spans="2:3" s="1" customFormat="1" ht="25" customHeight="1" x14ac:dyDescent="0.25">
      <c r="B9" s="482" t="s">
        <v>433</v>
      </c>
      <c r="C9" s="287" t="s">
        <v>434</v>
      </c>
    </row>
    <row r="10" spans="2:3" s="1" customFormat="1" ht="24.75" customHeight="1" x14ac:dyDescent="0.25">
      <c r="B10" s="482" t="s">
        <v>435</v>
      </c>
      <c r="C10" s="287" t="s">
        <v>436</v>
      </c>
    </row>
    <row r="11" spans="2:3" s="1" customFormat="1" ht="12.5" x14ac:dyDescent="0.25">
      <c r="B11"/>
      <c r="C11"/>
    </row>
    <row r="12" spans="2:3" s="1" customFormat="1" ht="12.5" x14ac:dyDescent="0.25">
      <c r="B12"/>
      <c r="C12"/>
    </row>
  </sheetData>
  <sheetProtection password="C925" sheet="1" objects="1" scenarios="1"/>
  <mergeCells count="1">
    <mergeCell ref="B2:C2"/>
  </mergeCells>
  <pageMargins left="0.25" right="0.25" top="0.5" bottom="0.5" header="0.3" footer="0.3"/>
  <pageSetup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C25"/>
  <sheetViews>
    <sheetView showGridLines="0" showRowColHeaders="0" workbookViewId="0">
      <pane ySplit="3" topLeftCell="A18" activePane="bottomLeft" state="frozen"/>
      <selection pane="bottomLeft" activeCell="A4" sqref="A4"/>
    </sheetView>
  </sheetViews>
  <sheetFormatPr defaultColWidth="9.1796875" defaultRowHeight="13" x14ac:dyDescent="0.3"/>
  <cols>
    <col min="1" max="1" width="1" style="2" customWidth="1"/>
    <col min="2" max="2" width="37.26953125" style="2" customWidth="1"/>
    <col min="3" max="3" width="97.1796875" style="2" customWidth="1"/>
    <col min="4" max="4" width="1" style="2" customWidth="1"/>
    <col min="5" max="16384" width="9.1796875" style="2"/>
  </cols>
  <sheetData>
    <row r="1" spans="2:3" ht="5.15" customHeight="1" thickBot="1" x14ac:dyDescent="0.35"/>
    <row r="2" spans="2:3" ht="38.25" customHeight="1" thickBot="1" x14ac:dyDescent="0.35">
      <c r="B2" s="629" t="s">
        <v>437</v>
      </c>
      <c r="C2" s="629"/>
    </row>
    <row r="3" spans="2:3" s="1" customFormat="1" ht="15.5" x14ac:dyDescent="0.35">
      <c r="B3" s="481" t="s">
        <v>344</v>
      </c>
      <c r="C3" s="481" t="s">
        <v>345</v>
      </c>
    </row>
    <row r="4" spans="2:3" s="1" customFormat="1" ht="65" x14ac:dyDescent="0.25">
      <c r="B4" s="482" t="s">
        <v>95</v>
      </c>
      <c r="C4" s="287" t="s">
        <v>407</v>
      </c>
    </row>
    <row r="5" spans="2:3" s="1" customFormat="1" ht="39" x14ac:dyDescent="0.25">
      <c r="B5" s="482" t="s">
        <v>438</v>
      </c>
      <c r="C5" s="287" t="s">
        <v>439</v>
      </c>
    </row>
    <row r="6" spans="2:3" s="1" customFormat="1" ht="39" x14ac:dyDescent="0.25">
      <c r="B6" s="482" t="s">
        <v>440</v>
      </c>
      <c r="C6" s="287" t="s">
        <v>441</v>
      </c>
    </row>
    <row r="7" spans="2:3" s="1" customFormat="1" ht="52.5" customHeight="1" x14ac:dyDescent="0.25">
      <c r="B7" s="482" t="s">
        <v>442</v>
      </c>
      <c r="C7" s="287" t="s">
        <v>443</v>
      </c>
    </row>
    <row r="8" spans="2:3" s="1" customFormat="1" ht="15.75" customHeight="1" x14ac:dyDescent="0.25">
      <c r="B8" s="482" t="s">
        <v>444</v>
      </c>
      <c r="C8" s="287" t="s">
        <v>445</v>
      </c>
    </row>
    <row r="9" spans="2:3" s="1" customFormat="1" ht="39" x14ac:dyDescent="0.25">
      <c r="B9" s="482" t="s">
        <v>446</v>
      </c>
      <c r="C9" s="287" t="s">
        <v>447</v>
      </c>
    </row>
    <row r="10" spans="2:3" s="1" customFormat="1" ht="108" customHeight="1" x14ac:dyDescent="0.25">
      <c r="B10" s="482" t="s">
        <v>448</v>
      </c>
      <c r="C10" s="287" t="s">
        <v>449</v>
      </c>
    </row>
    <row r="11" spans="2:3" s="1" customFormat="1" ht="29.25" customHeight="1" x14ac:dyDescent="0.25">
      <c r="B11" s="482" t="s">
        <v>413</v>
      </c>
      <c r="C11" s="287" t="s">
        <v>450</v>
      </c>
    </row>
    <row r="12" spans="2:3" s="1" customFormat="1" ht="18.75" customHeight="1" x14ac:dyDescent="0.25">
      <c r="B12" s="482" t="s">
        <v>115</v>
      </c>
      <c r="C12" s="287" t="s">
        <v>451</v>
      </c>
    </row>
    <row r="13" spans="2:3" s="1" customFormat="1" ht="52" x14ac:dyDescent="0.25">
      <c r="B13" s="482" t="s">
        <v>452</v>
      </c>
      <c r="C13" s="287" t="s">
        <v>453</v>
      </c>
    </row>
    <row r="14" spans="2:3" s="1" customFormat="1" ht="39" x14ac:dyDescent="0.25">
      <c r="B14" s="482" t="s">
        <v>454</v>
      </c>
      <c r="C14" s="287" t="s">
        <v>455</v>
      </c>
    </row>
    <row r="15" spans="2:3" s="1" customFormat="1" ht="26" x14ac:dyDescent="0.25">
      <c r="B15" s="482" t="s">
        <v>456</v>
      </c>
      <c r="C15" s="287" t="s">
        <v>457</v>
      </c>
    </row>
    <row r="16" spans="2:3" s="1" customFormat="1" ht="26" x14ac:dyDescent="0.25">
      <c r="B16" s="482" t="s">
        <v>458</v>
      </c>
      <c r="C16" s="287" t="s">
        <v>459</v>
      </c>
    </row>
    <row r="17" spans="2:3" s="1" customFormat="1" x14ac:dyDescent="0.25">
      <c r="B17" s="482" t="s">
        <v>460</v>
      </c>
      <c r="C17" s="287" t="s">
        <v>461</v>
      </c>
    </row>
    <row r="18" spans="2:3" s="1" customFormat="1" ht="39" x14ac:dyDescent="0.25">
      <c r="B18" s="482" t="s">
        <v>462</v>
      </c>
      <c r="C18" s="287" t="s">
        <v>463</v>
      </c>
    </row>
    <row r="19" spans="2:3" s="1" customFormat="1" x14ac:dyDescent="0.25">
      <c r="B19" s="482" t="s">
        <v>99</v>
      </c>
      <c r="C19" s="287" t="s">
        <v>464</v>
      </c>
    </row>
    <row r="20" spans="2:3" s="1" customFormat="1" ht="65" x14ac:dyDescent="0.25">
      <c r="B20" s="482" t="s">
        <v>465</v>
      </c>
      <c r="C20" s="287" t="s">
        <v>466</v>
      </c>
    </row>
    <row r="21" spans="2:3" s="1" customFormat="1" ht="65.25" customHeight="1" x14ac:dyDescent="0.25">
      <c r="B21" s="482" t="s">
        <v>467</v>
      </c>
      <c r="C21" s="287" t="s">
        <v>468</v>
      </c>
    </row>
    <row r="22" spans="2:3" s="1" customFormat="1" ht="129.75" customHeight="1" x14ac:dyDescent="0.25">
      <c r="B22" s="482" t="s">
        <v>469</v>
      </c>
      <c r="C22" s="287" t="s">
        <v>470</v>
      </c>
    </row>
    <row r="23" spans="2:3" s="1" customFormat="1" ht="12.5" x14ac:dyDescent="0.25">
      <c r="B23"/>
      <c r="C23"/>
    </row>
    <row r="24" spans="2:3" s="1" customFormat="1" ht="12.5" x14ac:dyDescent="0.25">
      <c r="B24"/>
      <c r="C24"/>
    </row>
    <row r="25" spans="2:3" s="1" customFormat="1" ht="12.5" x14ac:dyDescent="0.25">
      <c r="B25"/>
      <c r="C25"/>
    </row>
  </sheetData>
  <sheetProtection password="C925" sheet="1" objects="1" scenarios="1"/>
  <mergeCells count="1">
    <mergeCell ref="B2:C2"/>
  </mergeCells>
  <pageMargins left="0.25" right="0.25" top="0.5"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1:O102"/>
  <sheetViews>
    <sheetView showGridLines="0" showRowColHeaders="0" zoomScale="110" zoomScaleNormal="110" workbookViewId="0">
      <pane ySplit="2" topLeftCell="A3" activePane="bottomLeft" state="frozen"/>
      <selection pane="bottomLeft" activeCell="A3" sqref="A3"/>
    </sheetView>
  </sheetViews>
  <sheetFormatPr defaultColWidth="9.1796875" defaultRowHeight="13" x14ac:dyDescent="0.3"/>
  <cols>
    <col min="1" max="1" width="1" style="2" customWidth="1"/>
    <col min="2" max="2" width="3.7265625" style="2" customWidth="1"/>
    <col min="3" max="3" width="26" style="2" bestFit="1" customWidth="1"/>
    <col min="4" max="4" width="30.81640625" style="2" customWidth="1"/>
    <col min="5" max="5" width="9.1796875" style="2"/>
    <col min="6" max="6" width="11.453125" style="2" customWidth="1"/>
    <col min="7" max="10" width="9.1796875" style="2"/>
    <col min="11" max="11" width="15.26953125" style="2" customWidth="1"/>
    <col min="12" max="12" width="1" style="2" customWidth="1"/>
    <col min="13" max="13" width="16" style="2" customWidth="1"/>
    <col min="14" max="15" width="0" style="2" hidden="1" customWidth="1"/>
    <col min="16" max="16384" width="9.1796875" style="2"/>
  </cols>
  <sheetData>
    <row r="1" spans="2:15" ht="28.5" customHeight="1" x14ac:dyDescent="0.3"/>
    <row r="2" spans="2:15" ht="64.5" customHeight="1" x14ac:dyDescent="0.3">
      <c r="B2" s="456"/>
      <c r="C2" s="457"/>
      <c r="D2" s="457"/>
      <c r="E2" s="457"/>
      <c r="F2" s="457"/>
      <c r="G2" s="457"/>
      <c r="H2" s="457"/>
      <c r="I2" s="457"/>
      <c r="J2" s="457"/>
      <c r="K2" s="458"/>
    </row>
    <row r="3" spans="2:15" ht="12.75" customHeight="1" x14ac:dyDescent="0.3">
      <c r="B3" s="459"/>
      <c r="C3" s="354" t="str">
        <f>IF(N14&gt;0,"Incomplete - All 'yellow' shaded cells must be completed.","")</f>
        <v/>
      </c>
      <c r="D3" s="351"/>
      <c r="E3" s="351"/>
      <c r="F3" s="351"/>
      <c r="G3" s="351"/>
      <c r="H3" s="351"/>
      <c r="I3" s="351"/>
      <c r="J3" s="351"/>
      <c r="K3" s="460"/>
    </row>
    <row r="4" spans="2:15" ht="15" customHeight="1" x14ac:dyDescent="0.35">
      <c r="B4" s="3"/>
      <c r="C4" s="9" t="s">
        <v>34</v>
      </c>
      <c r="F4" s="10" t="s">
        <v>68</v>
      </c>
      <c r="K4" s="4"/>
    </row>
    <row r="5" spans="2:15" ht="15" customHeight="1" x14ac:dyDescent="0.3">
      <c r="B5" s="276">
        <v>1</v>
      </c>
      <c r="C5" s="277" t="s">
        <v>69</v>
      </c>
      <c r="D5" s="180" t="s">
        <v>70</v>
      </c>
      <c r="F5" s="290" t="s">
        <v>71</v>
      </c>
      <c r="K5" s="4"/>
      <c r="N5" s="336">
        <f t="shared" ref="N5:N13" si="0">IF(ISBLANK(D5),1,0)</f>
        <v>0</v>
      </c>
    </row>
    <row r="6" spans="2:15" ht="15" customHeight="1" x14ac:dyDescent="0.3">
      <c r="B6" s="276">
        <v>2</v>
      </c>
      <c r="C6" s="277" t="s">
        <v>72</v>
      </c>
      <c r="D6" s="180" t="s">
        <v>73</v>
      </c>
      <c r="K6" s="4"/>
      <c r="N6" s="336">
        <f t="shared" si="0"/>
        <v>0</v>
      </c>
    </row>
    <row r="7" spans="2:15" ht="15" customHeight="1" x14ac:dyDescent="0.3">
      <c r="B7" s="276">
        <v>3</v>
      </c>
      <c r="C7" s="277" t="s">
        <v>74</v>
      </c>
      <c r="D7" s="180">
        <v>2024</v>
      </c>
      <c r="F7" s="10" t="str">
        <f>"Total "&amp;Prg_Year&amp;" Utility Revenue"</f>
        <v>Total 2024 Utility Revenue</v>
      </c>
      <c r="K7" s="4"/>
      <c r="N7" s="336">
        <f t="shared" si="0"/>
        <v>0</v>
      </c>
    </row>
    <row r="8" spans="2:15" ht="15" customHeight="1" x14ac:dyDescent="0.3">
      <c r="B8" s="276">
        <v>4</v>
      </c>
      <c r="C8" s="277" t="s">
        <v>75</v>
      </c>
      <c r="D8" s="180" t="s">
        <v>76</v>
      </c>
      <c r="F8" s="620">
        <v>247790327</v>
      </c>
      <c r="G8" s="621"/>
      <c r="H8" s="622"/>
      <c r="K8" s="4"/>
      <c r="N8" s="336">
        <f t="shared" si="0"/>
        <v>0</v>
      </c>
      <c r="O8" s="336">
        <f>IF(ISBLANK(F8),1,0)</f>
        <v>0</v>
      </c>
    </row>
    <row r="9" spans="2:15" ht="15" customHeight="1" x14ac:dyDescent="0.3">
      <c r="B9" s="276">
        <v>5</v>
      </c>
      <c r="C9" s="277" t="s">
        <v>77</v>
      </c>
      <c r="D9" s="291">
        <v>45778</v>
      </c>
      <c r="K9" s="4"/>
      <c r="N9" s="336">
        <f t="shared" si="0"/>
        <v>0</v>
      </c>
    </row>
    <row r="10" spans="2:15" ht="15" customHeight="1" x14ac:dyDescent="0.3">
      <c r="B10" s="276">
        <v>6</v>
      </c>
      <c r="C10" s="277" t="s">
        <v>78</v>
      </c>
      <c r="D10" s="180" t="s">
        <v>79</v>
      </c>
      <c r="F10" s="10" t="str">
        <f>"Total "&amp;Prg_Year&amp;" Utility Energy Sales ("&amp;Energy_2&amp;")"</f>
        <v>Total 2024 Utility Energy Sales (Therms)</v>
      </c>
      <c r="K10" s="4"/>
      <c r="N10" s="336">
        <f t="shared" si="0"/>
        <v>0</v>
      </c>
    </row>
    <row r="11" spans="2:15" ht="15" customHeight="1" x14ac:dyDescent="0.3">
      <c r="B11" s="276">
        <v>7</v>
      </c>
      <c r="C11" s="277" t="s">
        <v>80</v>
      </c>
      <c r="D11" s="180" t="s">
        <v>81</v>
      </c>
      <c r="F11" s="623">
        <v>290824100</v>
      </c>
      <c r="G11" s="624"/>
      <c r="H11" s="625"/>
      <c r="K11" s="4"/>
      <c r="N11" s="336">
        <f t="shared" si="0"/>
        <v>0</v>
      </c>
      <c r="O11" s="336">
        <f>IF(ISBLANK(F11),1,0)</f>
        <v>0</v>
      </c>
    </row>
    <row r="12" spans="2:15" ht="15" customHeight="1" x14ac:dyDescent="0.3">
      <c r="B12" s="276">
        <v>8</v>
      </c>
      <c r="C12" s="277" t="s">
        <v>82</v>
      </c>
      <c r="D12" s="180" t="s">
        <v>83</v>
      </c>
      <c r="K12" s="4"/>
      <c r="N12" s="336">
        <f t="shared" si="0"/>
        <v>0</v>
      </c>
    </row>
    <row r="13" spans="2:15" ht="15" customHeight="1" x14ac:dyDescent="0.3">
      <c r="B13" s="276">
        <v>9</v>
      </c>
      <c r="C13" s="2" t="s">
        <v>84</v>
      </c>
      <c r="D13" s="180">
        <v>1</v>
      </c>
      <c r="F13" s="10"/>
      <c r="K13" s="4"/>
      <c r="N13" s="336">
        <f t="shared" si="0"/>
        <v>0</v>
      </c>
    </row>
    <row r="14" spans="2:15" ht="15" customHeight="1" x14ac:dyDescent="0.3">
      <c r="B14" s="3"/>
      <c r="F14" s="10"/>
      <c r="K14" s="4"/>
      <c r="N14" s="336">
        <f>SUM(N5:O13)</f>
        <v>0</v>
      </c>
    </row>
    <row r="15" spans="2:15" ht="15" customHeight="1" x14ac:dyDescent="0.3">
      <c r="B15" s="5"/>
      <c r="C15" s="6"/>
      <c r="D15" s="6"/>
      <c r="E15" s="6"/>
      <c r="F15" s="6"/>
      <c r="G15" s="6"/>
      <c r="H15" s="6"/>
      <c r="I15" s="6"/>
      <c r="J15" s="6"/>
      <c r="K15" s="7"/>
    </row>
    <row r="16" spans="2:15" ht="15" customHeight="1" x14ac:dyDescent="0.3">
      <c r="B16" s="351"/>
      <c r="C16" s="351"/>
      <c r="D16" s="351"/>
      <c r="E16" s="351"/>
      <c r="F16" s="351"/>
      <c r="G16" s="351"/>
      <c r="H16" s="351"/>
      <c r="I16" s="351"/>
      <c r="J16" s="351"/>
      <c r="K16" s="351"/>
    </row>
    <row r="17" ht="15" customHeight="1" x14ac:dyDescent="0.3"/>
    <row r="18" ht="15" customHeight="1" x14ac:dyDescent="0.3"/>
    <row r="19" ht="15" customHeight="1" x14ac:dyDescent="0.3"/>
    <row r="20" ht="15" customHeight="1" x14ac:dyDescent="0.3"/>
    <row r="21" ht="15" customHeight="1" x14ac:dyDescent="0.3"/>
    <row r="22" ht="15" customHeight="1" x14ac:dyDescent="0.3"/>
    <row r="23" ht="15" customHeight="1" x14ac:dyDescent="0.3"/>
    <row r="24" ht="15" customHeight="1" x14ac:dyDescent="0.3"/>
    <row r="25" ht="15" customHeight="1" x14ac:dyDescent="0.3"/>
    <row r="26" ht="15" customHeight="1" x14ac:dyDescent="0.3"/>
    <row r="27" ht="15" customHeight="1" x14ac:dyDescent="0.3"/>
    <row r="28" ht="15" customHeight="1" x14ac:dyDescent="0.3"/>
    <row r="29" ht="15" customHeight="1" x14ac:dyDescent="0.3"/>
    <row r="30" ht="15" customHeight="1" x14ac:dyDescent="0.3"/>
    <row r="31" ht="15" customHeight="1" x14ac:dyDescent="0.3"/>
    <row r="32"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sheetData>
  <sheetProtection password="C925" sheet="1" objects="1" scenarios="1" formatRows="0"/>
  <mergeCells count="2">
    <mergeCell ref="F8:H8"/>
    <mergeCell ref="F11:H11"/>
  </mergeCells>
  <dataValidations count="4">
    <dataValidation type="list" allowBlank="1" showInputMessage="1" showErrorMessage="1" sqref="F5" xr:uid="{00000000-0002-0000-0200-000000000000}">
      <formula1>Utility_Type</formula1>
    </dataValidation>
    <dataValidation type="textLength" allowBlank="1" showInputMessage="1" showErrorMessage="1" error="Name exceed the allowed number of charactes." prompt="Do not exceed 32 characters." sqref="D6" xr:uid="{00000000-0002-0000-0200-000001000000}">
      <formula1>1</formula1>
      <formula2>32</formula2>
    </dataValidation>
    <dataValidation type="custom" allowBlank="1" showInputMessage="1" showErrorMessage="1" errorTitle="Program Year" error="Please enter year using 4-digits.  (i.e. 2017)_x000a_" prompt="Must be the four digit year." sqref="D7" xr:uid="{00000000-0002-0000-0200-000002000000}">
      <formula1>AND(ISNUMBER(D7),LEN(D7)=4)</formula1>
    </dataValidation>
    <dataValidation allowBlank="1" showInputMessage="1" showErrorMessage="1" prompt="Report Utility Staff Only!" sqref="D13" xr:uid="{00000000-0002-0000-0200-000003000000}"/>
  </dataValidations>
  <pageMargins left="0.25" right="0.25" top="0.25" bottom="0.25" header="0.3" footer="0.3"/>
  <pageSetup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C25"/>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6.1796875" style="2" customWidth="1"/>
    <col min="3" max="3" width="97.1796875" style="2" customWidth="1"/>
    <col min="4" max="4" width="1" style="2" customWidth="1"/>
    <col min="5" max="16384" width="9.1796875" style="2"/>
  </cols>
  <sheetData>
    <row r="1" spans="2:3" ht="5.15" customHeight="1" thickBot="1" x14ac:dyDescent="0.35"/>
    <row r="2" spans="2:3" ht="38.25" customHeight="1" thickBot="1" x14ac:dyDescent="0.35">
      <c r="B2" s="629" t="s">
        <v>471</v>
      </c>
      <c r="C2" s="629"/>
    </row>
    <row r="3" spans="2:3" s="1" customFormat="1" ht="15.5" x14ac:dyDescent="0.35">
      <c r="B3" s="481" t="s">
        <v>344</v>
      </c>
      <c r="C3" s="481" t="s">
        <v>345</v>
      </c>
    </row>
    <row r="4" spans="2:3" s="1" customFormat="1" ht="26" x14ac:dyDescent="0.25">
      <c r="B4" s="482" t="s">
        <v>125</v>
      </c>
      <c r="C4" s="287" t="s">
        <v>406</v>
      </c>
    </row>
    <row r="5" spans="2:3" s="1" customFormat="1" ht="52" x14ac:dyDescent="0.25">
      <c r="B5" s="482" t="s">
        <v>91</v>
      </c>
      <c r="C5" s="287" t="s">
        <v>472</v>
      </c>
    </row>
    <row r="6" spans="2:3" s="1" customFormat="1" ht="26" x14ac:dyDescent="0.25">
      <c r="B6" s="482" t="s">
        <v>126</v>
      </c>
      <c r="C6" s="287" t="s">
        <v>473</v>
      </c>
    </row>
    <row r="7" spans="2:3" s="1" customFormat="1" ht="46.5" customHeight="1" x14ac:dyDescent="0.25">
      <c r="B7" s="482" t="s">
        <v>127</v>
      </c>
      <c r="C7" s="287" t="s">
        <v>474</v>
      </c>
    </row>
    <row r="8" spans="2:3" s="1" customFormat="1" ht="65" x14ac:dyDescent="0.25">
      <c r="B8" s="482" t="s">
        <v>128</v>
      </c>
      <c r="C8" s="287" t="s">
        <v>475</v>
      </c>
    </row>
    <row r="9" spans="2:3" s="1" customFormat="1" ht="26" x14ac:dyDescent="0.25">
      <c r="B9" s="482" t="s">
        <v>129</v>
      </c>
      <c r="C9" s="287" t="s">
        <v>476</v>
      </c>
    </row>
    <row r="10" spans="2:3" s="1" customFormat="1" ht="169" x14ac:dyDescent="0.25">
      <c r="B10" s="482" t="s">
        <v>446</v>
      </c>
      <c r="C10" s="287" t="s">
        <v>477</v>
      </c>
    </row>
    <row r="11" spans="2:3" s="1" customFormat="1" ht="238.5" customHeight="1" x14ac:dyDescent="0.25">
      <c r="B11" s="483" t="s">
        <v>478</v>
      </c>
      <c r="C11" s="287" t="s">
        <v>479</v>
      </c>
    </row>
    <row r="12" spans="2:3" s="1" customFormat="1" ht="78" x14ac:dyDescent="0.25">
      <c r="B12" s="482" t="s">
        <v>413</v>
      </c>
      <c r="C12" s="287" t="s">
        <v>480</v>
      </c>
    </row>
    <row r="13" spans="2:3" s="1" customFormat="1" ht="52.5" customHeight="1" x14ac:dyDescent="0.25">
      <c r="B13" s="482" t="s">
        <v>130</v>
      </c>
      <c r="C13" s="287" t="s">
        <v>481</v>
      </c>
    </row>
    <row r="14" spans="2:3" s="1" customFormat="1" ht="39" x14ac:dyDescent="0.25">
      <c r="B14" s="482" t="s">
        <v>99</v>
      </c>
      <c r="C14" s="287" t="s">
        <v>482</v>
      </c>
    </row>
    <row r="15" spans="2:3" s="1" customFormat="1" ht="26" x14ac:dyDescent="0.25">
      <c r="B15" s="482" t="s">
        <v>131</v>
      </c>
      <c r="C15" s="287" t="s">
        <v>483</v>
      </c>
    </row>
    <row r="16" spans="2:3" s="1" customFormat="1" ht="39" x14ac:dyDescent="0.25">
      <c r="B16" s="482" t="s">
        <v>132</v>
      </c>
      <c r="C16" s="287" t="s">
        <v>484</v>
      </c>
    </row>
    <row r="17" spans="2:3" s="1" customFormat="1" ht="26" x14ac:dyDescent="0.25">
      <c r="B17" s="482" t="s">
        <v>133</v>
      </c>
      <c r="C17" s="287" t="s">
        <v>485</v>
      </c>
    </row>
    <row r="18" spans="2:3" s="1" customFormat="1" ht="26" x14ac:dyDescent="0.25">
      <c r="B18" s="482" t="s">
        <v>134</v>
      </c>
      <c r="C18" s="287" t="s">
        <v>486</v>
      </c>
    </row>
    <row r="19" spans="2:3" s="1" customFormat="1" ht="52" x14ac:dyDescent="0.25">
      <c r="B19" s="482" t="s">
        <v>135</v>
      </c>
      <c r="C19" s="287" t="s">
        <v>487</v>
      </c>
    </row>
    <row r="20" spans="2:3" s="1" customFormat="1" ht="26" x14ac:dyDescent="0.25">
      <c r="B20" s="482" t="s">
        <v>136</v>
      </c>
      <c r="C20" s="287" t="s">
        <v>488</v>
      </c>
    </row>
    <row r="21" spans="2:3" s="1" customFormat="1" ht="39" x14ac:dyDescent="0.25">
      <c r="B21" s="482" t="s">
        <v>137</v>
      </c>
      <c r="C21" s="287" t="s">
        <v>489</v>
      </c>
    </row>
    <row r="22" spans="2:3" s="1" customFormat="1" ht="26" x14ac:dyDescent="0.25">
      <c r="B22" s="482" t="s">
        <v>138</v>
      </c>
      <c r="C22" s="287" t="s">
        <v>490</v>
      </c>
    </row>
    <row r="23" spans="2:3" s="1" customFormat="1" ht="12.5" x14ac:dyDescent="0.25">
      <c r="B23"/>
      <c r="C23"/>
    </row>
    <row r="24" spans="2:3" s="1" customFormat="1" ht="12.5" x14ac:dyDescent="0.25">
      <c r="B24"/>
      <c r="C24"/>
    </row>
    <row r="25" spans="2:3" s="1" customFormat="1" ht="12.5" x14ac:dyDescent="0.25">
      <c r="B25"/>
      <c r="C25"/>
    </row>
  </sheetData>
  <sheetProtection password="C925" sheet="1" objects="1" scenarios="1"/>
  <mergeCells count="1">
    <mergeCell ref="B2:C2"/>
  </mergeCells>
  <pageMargins left="0.25" right="0.25" top="0.5" bottom="0.5" header="0.3" footer="0.3"/>
  <pageSetup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C15"/>
  <sheetViews>
    <sheetView showGridLines="0" showRowColHeaders="0" workbookViewId="0">
      <pane ySplit="3" topLeftCell="A4" activePane="bottomLeft" state="frozen"/>
      <selection pane="bottomLeft" activeCell="A4" sqref="A4"/>
    </sheetView>
  </sheetViews>
  <sheetFormatPr defaultColWidth="9.1796875" defaultRowHeight="13" x14ac:dyDescent="0.3"/>
  <cols>
    <col min="1" max="1" width="1" style="2" customWidth="1"/>
    <col min="2" max="2" width="31.81640625" style="2" customWidth="1"/>
    <col min="3" max="3" width="101.26953125" style="2" customWidth="1"/>
    <col min="4" max="4" width="1" style="2" customWidth="1"/>
    <col min="5" max="16384" width="9.1796875" style="2"/>
  </cols>
  <sheetData>
    <row r="1" spans="2:3" ht="5.15" customHeight="1" thickBot="1" x14ac:dyDescent="0.35"/>
    <row r="2" spans="2:3" ht="38.25" customHeight="1" thickBot="1" x14ac:dyDescent="0.35">
      <c r="B2" s="629" t="s">
        <v>491</v>
      </c>
      <c r="C2" s="629"/>
    </row>
    <row r="3" spans="2:3" s="1" customFormat="1" ht="15.5" x14ac:dyDescent="0.35">
      <c r="B3" s="481" t="s">
        <v>344</v>
      </c>
      <c r="C3" s="481" t="s">
        <v>345</v>
      </c>
    </row>
    <row r="4" spans="2:3" s="1" customFormat="1" ht="53.25" customHeight="1" x14ac:dyDescent="0.25">
      <c r="B4" s="482" t="s">
        <v>139</v>
      </c>
      <c r="C4" s="287" t="s">
        <v>492</v>
      </c>
    </row>
    <row r="5" spans="2:3" s="1" customFormat="1" ht="104" x14ac:dyDescent="0.25">
      <c r="B5" s="482" t="s">
        <v>140</v>
      </c>
      <c r="C5" s="287" t="s">
        <v>493</v>
      </c>
    </row>
    <row r="6" spans="2:3" s="1" customFormat="1" ht="26.25" customHeight="1" x14ac:dyDescent="0.25">
      <c r="B6" s="482" t="s">
        <v>141</v>
      </c>
      <c r="C6" s="287" t="s">
        <v>494</v>
      </c>
    </row>
    <row r="7" spans="2:3" s="1" customFormat="1" ht="28.5" customHeight="1" x14ac:dyDescent="0.25">
      <c r="B7" s="482" t="s">
        <v>142</v>
      </c>
      <c r="C7" s="287" t="s">
        <v>495</v>
      </c>
    </row>
    <row r="8" spans="2:3" s="1" customFormat="1" ht="29.25" customHeight="1" x14ac:dyDescent="0.25">
      <c r="B8" s="482" t="s">
        <v>99</v>
      </c>
      <c r="C8" s="287" t="s">
        <v>496</v>
      </c>
    </row>
    <row r="9" spans="2:3" s="1" customFormat="1" ht="39" x14ac:dyDescent="0.25">
      <c r="B9" s="482" t="s">
        <v>497</v>
      </c>
      <c r="C9" s="287" t="s">
        <v>498</v>
      </c>
    </row>
    <row r="10" spans="2:3" s="1" customFormat="1" ht="41.25" customHeight="1" x14ac:dyDescent="0.25">
      <c r="B10" s="482" t="s">
        <v>144</v>
      </c>
      <c r="C10" s="287" t="s">
        <v>499</v>
      </c>
    </row>
    <row r="11" spans="2:3" s="1" customFormat="1" ht="45" customHeight="1" x14ac:dyDescent="0.25">
      <c r="B11" s="482" t="s">
        <v>145</v>
      </c>
      <c r="C11" s="287" t="s">
        <v>500</v>
      </c>
    </row>
    <row r="12" spans="2:3" s="1" customFormat="1" ht="30" customHeight="1" x14ac:dyDescent="0.25">
      <c r="B12" s="482" t="s">
        <v>146</v>
      </c>
      <c r="C12" s="287" t="s">
        <v>501</v>
      </c>
    </row>
    <row r="13" spans="2:3" s="1" customFormat="1" ht="12.5" x14ac:dyDescent="0.25">
      <c r="B13"/>
      <c r="C13"/>
    </row>
    <row r="14" spans="2:3" s="1" customFormat="1" ht="12.5" x14ac:dyDescent="0.25">
      <c r="B14"/>
      <c r="C14"/>
    </row>
    <row r="15" spans="2:3" s="1" customFormat="1" ht="12.5" x14ac:dyDescent="0.25">
      <c r="B15"/>
      <c r="C15"/>
    </row>
  </sheetData>
  <mergeCells count="1">
    <mergeCell ref="B2:C2"/>
  </mergeCells>
  <pageMargins left="0.25" right="0.25" top="0.5" bottom="0.5" header="0.3" footer="0.3"/>
  <pageSetup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C31"/>
  <sheetViews>
    <sheetView showGridLines="0" showRowColHeaders="0" workbookViewId="0">
      <selection activeCell="A4" sqref="A4"/>
    </sheetView>
  </sheetViews>
  <sheetFormatPr defaultColWidth="9.1796875" defaultRowHeight="13" x14ac:dyDescent="0.3"/>
  <cols>
    <col min="1" max="1" width="1" style="2" customWidth="1"/>
    <col min="2" max="2" width="66.7265625" style="2" customWidth="1"/>
    <col min="3" max="3" width="66.54296875" style="2" customWidth="1"/>
    <col min="4" max="4" width="1" style="2" customWidth="1"/>
    <col min="5" max="16384" width="9.1796875" style="2"/>
  </cols>
  <sheetData>
    <row r="1" spans="2:3" ht="5.15" customHeight="1" thickBot="1" x14ac:dyDescent="0.35"/>
    <row r="2" spans="2:3" ht="38.25" customHeight="1" thickBot="1" x14ac:dyDescent="0.35">
      <c r="B2" s="629" t="s">
        <v>502</v>
      </c>
      <c r="C2" s="629"/>
    </row>
    <row r="3" spans="2:3" x14ac:dyDescent="0.3">
      <c r="B3" s="459"/>
      <c r="C3" s="460"/>
    </row>
    <row r="4" spans="2:3" ht="15.5" x14ac:dyDescent="0.35">
      <c r="B4" s="20" t="s">
        <v>503</v>
      </c>
      <c r="C4" s="21" t="s">
        <v>504</v>
      </c>
    </row>
    <row r="5" spans="2:3" x14ac:dyDescent="0.3">
      <c r="B5" s="8" t="s">
        <v>505</v>
      </c>
      <c r="C5" s="19" t="s">
        <v>506</v>
      </c>
    </row>
    <row r="6" spans="2:3" x14ac:dyDescent="0.3">
      <c r="B6" s="8" t="s">
        <v>507</v>
      </c>
      <c r="C6" s="159" t="s">
        <v>508</v>
      </c>
    </row>
    <row r="7" spans="2:3" x14ac:dyDescent="0.3">
      <c r="B7" s="8" t="s">
        <v>509</v>
      </c>
      <c r="C7" s="19" t="s">
        <v>510</v>
      </c>
    </row>
    <row r="8" spans="2:3" x14ac:dyDescent="0.3">
      <c r="B8" s="8" t="s">
        <v>511</v>
      </c>
      <c r="C8" s="19" t="s">
        <v>512</v>
      </c>
    </row>
    <row r="9" spans="2:3" x14ac:dyDescent="0.3">
      <c r="B9" s="8" t="s">
        <v>513</v>
      </c>
      <c r="C9" s="19" t="s">
        <v>514</v>
      </c>
    </row>
    <row r="10" spans="2:3" x14ac:dyDescent="0.3">
      <c r="B10" s="8" t="s">
        <v>515</v>
      </c>
      <c r="C10" s="19" t="s">
        <v>516</v>
      </c>
    </row>
    <row r="11" spans="2:3" x14ac:dyDescent="0.3">
      <c r="B11" s="158" t="s">
        <v>517</v>
      </c>
      <c r="C11" s="19" t="s">
        <v>518</v>
      </c>
    </row>
    <row r="12" spans="2:3" x14ac:dyDescent="0.3">
      <c r="B12" s="8"/>
      <c r="C12" s="19" t="s">
        <v>519</v>
      </c>
    </row>
    <row r="13" spans="2:3" x14ac:dyDescent="0.3">
      <c r="B13" s="8"/>
      <c r="C13" s="19" t="s">
        <v>520</v>
      </c>
    </row>
    <row r="14" spans="2:3" ht="15.5" x14ac:dyDescent="0.35">
      <c r="B14" s="20" t="s">
        <v>521</v>
      </c>
      <c r="C14" s="19" t="s">
        <v>522</v>
      </c>
    </row>
    <row r="15" spans="2:3" x14ac:dyDescent="0.3">
      <c r="B15" s="8" t="s">
        <v>523</v>
      </c>
      <c r="C15" s="19" t="s">
        <v>524</v>
      </c>
    </row>
    <row r="16" spans="2:3" x14ac:dyDescent="0.3">
      <c r="B16" s="8" t="s">
        <v>525</v>
      </c>
      <c r="C16" s="160" t="s">
        <v>526</v>
      </c>
    </row>
    <row r="17" spans="2:3" x14ac:dyDescent="0.3">
      <c r="B17" s="8" t="s">
        <v>527</v>
      </c>
      <c r="C17" s="160" t="s">
        <v>528</v>
      </c>
    </row>
    <row r="18" spans="2:3" x14ac:dyDescent="0.3">
      <c r="B18" s="8" t="s">
        <v>529</v>
      </c>
      <c r="C18" s="4"/>
    </row>
    <row r="19" spans="2:3" ht="15.5" x14ac:dyDescent="0.35">
      <c r="B19" s="8" t="s">
        <v>530</v>
      </c>
      <c r="C19" s="21" t="s">
        <v>531</v>
      </c>
    </row>
    <row r="20" spans="2:3" x14ac:dyDescent="0.3">
      <c r="B20" s="8" t="s">
        <v>532</v>
      </c>
      <c r="C20" s="19" t="s">
        <v>533</v>
      </c>
    </row>
    <row r="21" spans="2:3" x14ac:dyDescent="0.3">
      <c r="B21" s="8" t="s">
        <v>534</v>
      </c>
      <c r="C21" s="159" t="s">
        <v>535</v>
      </c>
    </row>
    <row r="22" spans="2:3" x14ac:dyDescent="0.3">
      <c r="B22" s="8"/>
      <c r="C22" s="19" t="s">
        <v>536</v>
      </c>
    </row>
    <row r="23" spans="2:3" x14ac:dyDescent="0.3">
      <c r="B23" s="8"/>
      <c r="C23" s="19"/>
    </row>
    <row r="24" spans="2:3" x14ac:dyDescent="0.3">
      <c r="B24" s="3"/>
      <c r="C24" s="4"/>
    </row>
    <row r="25" spans="2:3" ht="15.5" x14ac:dyDescent="0.35">
      <c r="B25" s="20" t="s">
        <v>537</v>
      </c>
      <c r="C25" s="21" t="s">
        <v>333</v>
      </c>
    </row>
    <row r="26" spans="2:3" x14ac:dyDescent="0.3">
      <c r="B26" s="8" t="s">
        <v>538</v>
      </c>
      <c r="C26" s="19" t="s">
        <v>539</v>
      </c>
    </row>
    <row r="27" spans="2:3" x14ac:dyDescent="0.3">
      <c r="B27" s="8" t="s">
        <v>540</v>
      </c>
      <c r="C27" s="19" t="s">
        <v>541</v>
      </c>
    </row>
    <row r="28" spans="2:3" x14ac:dyDescent="0.3">
      <c r="B28" s="8" t="s">
        <v>542</v>
      </c>
      <c r="C28" s="19" t="s">
        <v>543</v>
      </c>
    </row>
    <row r="29" spans="2:3" x14ac:dyDescent="0.3">
      <c r="B29" s="3"/>
      <c r="C29" s="159" t="s">
        <v>544</v>
      </c>
    </row>
    <row r="30" spans="2:3" x14ac:dyDescent="0.3">
      <c r="B30" s="3"/>
      <c r="C30" s="4" t="s">
        <v>545</v>
      </c>
    </row>
    <row r="31" spans="2:3" x14ac:dyDescent="0.3">
      <c r="B31" s="5"/>
      <c r="C31" s="7"/>
    </row>
  </sheetData>
  <sheetProtection password="C925" sheet="1" objects="1" scenarios="1"/>
  <mergeCells count="1">
    <mergeCell ref="B2:C2"/>
  </mergeCells>
  <phoneticPr fontId="0" type="noConversion"/>
  <dataValidations count="6">
    <dataValidation allowBlank="1" showInputMessage="1" showErrorMessage="1" prompt="Costs to develop and plan Energy Efficiency Programs." sqref="B4" xr:uid="{00000000-0002-0000-1F00-000000000000}"/>
    <dataValidation allowBlank="1" showInputMessage="1" showErrorMessage="1" prompt="Costs to communicate the benefits an delivery resources of energy efficiency programs and services to customers and trade allies designed to seek participation in EE programs." sqref="C4" xr:uid="{00000000-0002-0000-1F00-000001000000}"/>
    <dataValidation allowBlank="1" showInputMessage="1" showErrorMessage="1" prompt="Amounts paid to program participants, contractors or other third parties for energy efficient equipment, products and/or services.  Incentive costs include rebates, direct install costs, and up stream payments." sqref="B14" xr:uid="{00000000-0002-0000-1F00-000002000000}"/>
    <dataValidation allowBlank="1" showInputMessage="1" showErrorMessage="1" prompt="Costs incurred to determine deemed savings or other program-specific savings and other effects from EE program EM&amp;V." sqref="C19" xr:uid="{00000000-0002-0000-1F00-000003000000}"/>
    <dataValidation allowBlank="1" showInputMessage="1" showErrorMessage="1" prompt="Incremental costs incurred to be compliant with EE rules set forth by the APSC; should not include LCFC or Utility Performance Incentives.  " sqref="C25" xr:uid="{00000000-0002-0000-1F00-000004000000}"/>
    <dataValidation allowBlank="1" showInputMessage="1" showErrorMessage="1" prompt="Costs incurred to manage and/or support EE programs.  " sqref="B25" xr:uid="{00000000-0002-0000-1F00-000005000000}"/>
  </dataValidations>
  <pageMargins left="0.25" right="0.25" top="0.5" bottom="0.5" header="0.3" footer="0.3"/>
  <pageSetup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J29"/>
  <sheetViews>
    <sheetView showGridLines="0" showRowColHeaders="0" workbookViewId="0">
      <selection activeCell="H11" sqref="H11"/>
    </sheetView>
  </sheetViews>
  <sheetFormatPr defaultColWidth="9.1796875" defaultRowHeight="13" x14ac:dyDescent="0.3"/>
  <cols>
    <col min="1" max="1" width="1" style="2" customWidth="1"/>
    <col min="2" max="2" width="21.81640625" style="2" customWidth="1"/>
    <col min="3" max="3" width="6.7265625" style="2" bestFit="1" customWidth="1"/>
    <col min="4" max="4" width="25.7265625" style="2" customWidth="1"/>
    <col min="5" max="5" width="29" style="2" bestFit="1" customWidth="1"/>
    <col min="6" max="6" width="2.1796875" style="2" customWidth="1"/>
    <col min="7" max="7" width="21.453125" style="2" customWidth="1"/>
    <col min="8" max="8" width="2.26953125" style="2" customWidth="1"/>
    <col min="9" max="9" width="19" style="2" customWidth="1"/>
    <col min="10" max="10" width="5.26953125" style="2" customWidth="1"/>
    <col min="11" max="11" width="1" style="2" customWidth="1"/>
    <col min="12" max="16384" width="9.1796875" style="2"/>
  </cols>
  <sheetData>
    <row r="1" spans="2:10" ht="5.15" customHeight="1" thickBot="1" x14ac:dyDescent="0.35"/>
    <row r="2" spans="2:10" ht="38.25" customHeight="1" thickBot="1" x14ac:dyDescent="0.35">
      <c r="B2" s="629" t="s">
        <v>546</v>
      </c>
      <c r="C2" s="629"/>
      <c r="D2" s="629"/>
      <c r="E2" s="629"/>
      <c r="F2" s="629"/>
      <c r="G2" s="629"/>
      <c r="H2" s="629"/>
      <c r="I2" s="629"/>
      <c r="J2" s="629"/>
    </row>
    <row r="3" spans="2:10" x14ac:dyDescent="0.3">
      <c r="B3" s="459"/>
      <c r="C3" s="351"/>
      <c r="D3" s="351"/>
      <c r="E3" s="351"/>
      <c r="F3" s="351"/>
      <c r="G3" s="351"/>
      <c r="H3" s="351"/>
      <c r="I3" s="351"/>
      <c r="J3" s="460"/>
    </row>
    <row r="4" spans="2:10" ht="15.5" x14ac:dyDescent="0.35">
      <c r="B4" s="20" t="s">
        <v>86</v>
      </c>
      <c r="C4" s="254" t="s">
        <v>547</v>
      </c>
      <c r="D4" s="9" t="s">
        <v>87</v>
      </c>
      <c r="E4" s="9" t="s">
        <v>88</v>
      </c>
      <c r="G4" s="9" t="s">
        <v>548</v>
      </c>
      <c r="H4" s="252"/>
      <c r="I4" s="252"/>
      <c r="J4" s="4"/>
    </row>
    <row r="5" spans="2:10" x14ac:dyDescent="0.3">
      <c r="B5" s="8" t="s">
        <v>106</v>
      </c>
      <c r="C5" s="255">
        <v>11</v>
      </c>
      <c r="D5" t="s">
        <v>405</v>
      </c>
      <c r="E5" t="s">
        <v>101</v>
      </c>
      <c r="G5" t="s">
        <v>426</v>
      </c>
      <c r="H5"/>
      <c r="I5"/>
      <c r="J5" s="4"/>
    </row>
    <row r="6" spans="2:10" x14ac:dyDescent="0.3">
      <c r="B6" s="8" t="s">
        <v>549</v>
      </c>
      <c r="C6" s="255"/>
      <c r="D6" t="s">
        <v>95</v>
      </c>
      <c r="E6" t="s">
        <v>550</v>
      </c>
      <c r="G6" t="s">
        <v>166</v>
      </c>
      <c r="H6"/>
      <c r="I6"/>
      <c r="J6" s="4"/>
    </row>
    <row r="7" spans="2:10" x14ac:dyDescent="0.3">
      <c r="B7" s="8" t="s">
        <v>98</v>
      </c>
      <c r="C7" s="255">
        <v>1</v>
      </c>
      <c r="D7" t="s">
        <v>408</v>
      </c>
      <c r="E7" t="s">
        <v>92</v>
      </c>
      <c r="G7" t="s">
        <v>165</v>
      </c>
      <c r="H7"/>
      <c r="I7"/>
      <c r="J7" s="4"/>
    </row>
    <row r="8" spans="2:10" x14ac:dyDescent="0.3">
      <c r="B8" s="8" t="s">
        <v>551</v>
      </c>
      <c r="C8" s="255">
        <v>2</v>
      </c>
      <c r="D8" t="s">
        <v>91</v>
      </c>
      <c r="E8" t="s">
        <v>552</v>
      </c>
      <c r="G8" t="s">
        <v>430</v>
      </c>
      <c r="H8"/>
      <c r="J8" s="4"/>
    </row>
    <row r="9" spans="2:10" x14ac:dyDescent="0.3">
      <c r="B9" s="8" t="s">
        <v>90</v>
      </c>
      <c r="C9" s="255">
        <v>4</v>
      </c>
      <c r="D9" t="s">
        <v>411</v>
      </c>
      <c r="E9" t="s">
        <v>553</v>
      </c>
      <c r="G9" t="s">
        <v>167</v>
      </c>
      <c r="H9"/>
      <c r="I9"/>
      <c r="J9" s="4"/>
    </row>
    <row r="10" spans="2:10" x14ac:dyDescent="0.3">
      <c r="B10" s="8" t="s">
        <v>554</v>
      </c>
      <c r="C10" s="255">
        <v>7</v>
      </c>
      <c r="D10" t="s">
        <v>413</v>
      </c>
      <c r="E10" t="s">
        <v>96</v>
      </c>
      <c r="G10" t="s">
        <v>433</v>
      </c>
      <c r="H10"/>
      <c r="I10"/>
      <c r="J10" s="4"/>
    </row>
    <row r="11" spans="2:10" x14ac:dyDescent="0.3">
      <c r="B11" s="8" t="s">
        <v>555</v>
      </c>
      <c r="C11" s="255">
        <v>8</v>
      </c>
      <c r="D11" t="s">
        <v>100</v>
      </c>
      <c r="E11" t="s">
        <v>556</v>
      </c>
      <c r="G11" t="s">
        <v>435</v>
      </c>
      <c r="H11"/>
      <c r="I11"/>
      <c r="J11" s="4"/>
    </row>
    <row r="12" spans="2:10" x14ac:dyDescent="0.3">
      <c r="B12" s="8" t="s">
        <v>99</v>
      </c>
      <c r="C12" s="255">
        <v>10</v>
      </c>
      <c r="D12" t="s">
        <v>416</v>
      </c>
      <c r="E12" t="s">
        <v>557</v>
      </c>
      <c r="G12"/>
      <c r="H12"/>
      <c r="I12"/>
      <c r="J12" s="4"/>
    </row>
    <row r="13" spans="2:10" x14ac:dyDescent="0.3">
      <c r="B13" s="8" t="s">
        <v>558</v>
      </c>
      <c r="C13" s="255"/>
      <c r="D13" t="s">
        <v>99</v>
      </c>
      <c r="E13" t="s">
        <v>559</v>
      </c>
      <c r="G13"/>
      <c r="H13"/>
      <c r="I13"/>
      <c r="J13" s="4"/>
    </row>
    <row r="14" spans="2:10" x14ac:dyDescent="0.3">
      <c r="B14" s="8" t="s">
        <v>560</v>
      </c>
      <c r="C14" s="255">
        <v>3</v>
      </c>
      <c r="D14" t="s">
        <v>419</v>
      </c>
      <c r="E14"/>
      <c r="G14"/>
      <c r="H14"/>
      <c r="I14"/>
      <c r="J14" s="4"/>
    </row>
    <row r="15" spans="2:10" x14ac:dyDescent="0.3">
      <c r="B15" s="8" t="s">
        <v>561</v>
      </c>
      <c r="C15" s="255">
        <v>5</v>
      </c>
      <c r="D15" t="s">
        <v>421</v>
      </c>
      <c r="E15"/>
      <c r="G15"/>
      <c r="H15"/>
      <c r="I15"/>
      <c r="J15" s="4"/>
    </row>
    <row r="16" spans="2:10" x14ac:dyDescent="0.3">
      <c r="B16" s="8" t="s">
        <v>562</v>
      </c>
      <c r="C16" s="255">
        <v>6</v>
      </c>
      <c r="D16" t="s">
        <v>423</v>
      </c>
      <c r="E16"/>
      <c r="G16"/>
      <c r="J16" s="4"/>
    </row>
    <row r="17" spans="2:10" x14ac:dyDescent="0.3">
      <c r="B17" s="8" t="s">
        <v>94</v>
      </c>
      <c r="C17" s="255">
        <v>9</v>
      </c>
      <c r="D17"/>
      <c r="E17"/>
      <c r="H17"/>
      <c r="I17" s="253"/>
      <c r="J17" s="4"/>
    </row>
    <row r="18" spans="2:10" x14ac:dyDescent="0.3">
      <c r="B18" s="8"/>
      <c r="C18"/>
      <c r="D18"/>
      <c r="E18"/>
      <c r="G18" s="253"/>
      <c r="H18"/>
      <c r="I18"/>
      <c r="J18" s="4"/>
    </row>
    <row r="19" spans="2:10" x14ac:dyDescent="0.3">
      <c r="B19" s="8"/>
      <c r="C19"/>
      <c r="D19"/>
      <c r="E19"/>
      <c r="G19"/>
      <c r="J19" s="4"/>
    </row>
    <row r="20" spans="2:10" x14ac:dyDescent="0.3">
      <c r="B20" s="8"/>
      <c r="C20"/>
      <c r="D20"/>
      <c r="E20"/>
      <c r="J20" s="4"/>
    </row>
    <row r="21" spans="2:10" x14ac:dyDescent="0.3">
      <c r="B21" s="8"/>
      <c r="C21"/>
      <c r="D21"/>
      <c r="E21"/>
      <c r="I21"/>
      <c r="J21" s="4"/>
    </row>
    <row r="22" spans="2:10" x14ac:dyDescent="0.3">
      <c r="B22" s="8"/>
      <c r="C22"/>
      <c r="D22"/>
      <c r="E22"/>
      <c r="I22" s="253"/>
      <c r="J22" s="4"/>
    </row>
    <row r="23" spans="2:10" x14ac:dyDescent="0.3">
      <c r="B23" s="8"/>
      <c r="C23"/>
      <c r="G23" s="253"/>
      <c r="I23"/>
      <c r="J23" s="4"/>
    </row>
    <row r="24" spans="2:10" x14ac:dyDescent="0.3">
      <c r="B24" s="8"/>
      <c r="C24"/>
      <c r="G24"/>
      <c r="J24" s="4"/>
    </row>
    <row r="25" spans="2:10" x14ac:dyDescent="0.3">
      <c r="B25" s="8"/>
      <c r="C25"/>
      <c r="J25" s="4"/>
    </row>
    <row r="26" spans="2:10" x14ac:dyDescent="0.3">
      <c r="B26" s="8"/>
      <c r="C26"/>
      <c r="J26" s="4"/>
    </row>
    <row r="27" spans="2:10" x14ac:dyDescent="0.3">
      <c r="B27" s="3"/>
      <c r="C27"/>
      <c r="J27" s="4"/>
    </row>
    <row r="28" spans="2:10" x14ac:dyDescent="0.3">
      <c r="B28" s="3"/>
      <c r="C28"/>
      <c r="J28" s="4"/>
    </row>
    <row r="29" spans="2:10" x14ac:dyDescent="0.3">
      <c r="B29" s="5"/>
      <c r="C29" s="6"/>
      <c r="D29" s="6"/>
      <c r="E29" s="6"/>
      <c r="F29" s="6"/>
      <c r="G29" s="6"/>
      <c r="H29" s="6"/>
      <c r="I29" s="6"/>
      <c r="J29" s="7"/>
    </row>
  </sheetData>
  <sheetProtection password="CAE5" sheet="1" objects="1" scenarios="1"/>
  <mergeCells count="1">
    <mergeCell ref="B2:J2"/>
  </mergeCells>
  <pageMargins left="0.25" right="0.25" top="0.5" bottom="0.5" header="0.3" footer="0.3"/>
  <pageSetup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T74"/>
  <sheetViews>
    <sheetView topLeftCell="A17" zoomScale="75" zoomScaleNormal="75" workbookViewId="0">
      <selection activeCell="K6" sqref="K6"/>
    </sheetView>
  </sheetViews>
  <sheetFormatPr defaultRowHeight="12.5" x14ac:dyDescent="0.25"/>
  <cols>
    <col min="1" max="1" width="1.7265625" customWidth="1"/>
    <col min="2" max="2" width="39" bestFit="1" customWidth="1"/>
    <col min="3" max="3" width="21" bestFit="1" customWidth="1"/>
    <col min="4" max="4" width="26.81640625" bestFit="1" customWidth="1"/>
    <col min="5" max="5" width="26.81640625" customWidth="1"/>
    <col min="6" max="6" width="12.26953125" bestFit="1" customWidth="1"/>
    <col min="7" max="7" width="13.453125" bestFit="1" customWidth="1"/>
    <col min="8" max="8" width="14.81640625" bestFit="1" customWidth="1"/>
    <col min="9" max="9" width="11.26953125" bestFit="1" customWidth="1"/>
    <col min="10" max="10" width="16.1796875" customWidth="1"/>
    <col min="11" max="11" width="13.26953125" customWidth="1"/>
    <col min="12" max="12" width="10.81640625" customWidth="1"/>
    <col min="13" max="13" width="12" customWidth="1"/>
    <col min="14" max="14" width="14.453125" customWidth="1"/>
    <col min="15" max="15" width="12.1796875" bestFit="1" customWidth="1"/>
    <col min="16" max="16" width="10.81640625" customWidth="1"/>
    <col min="17" max="17" width="9.54296875" customWidth="1"/>
    <col min="18" max="18" width="14.1796875" customWidth="1"/>
    <col min="19" max="19" width="9.7265625" bestFit="1" customWidth="1"/>
    <col min="20" max="21" width="11.26953125" bestFit="1" customWidth="1"/>
    <col min="23" max="23" width="11.1796875" bestFit="1" customWidth="1"/>
    <col min="25" max="25" width="11.1796875" bestFit="1" customWidth="1"/>
  </cols>
  <sheetData>
    <row r="2" spans="2:14" ht="13" x14ac:dyDescent="0.3">
      <c r="B2" s="92" t="s">
        <v>563</v>
      </c>
    </row>
    <row r="3" spans="2:14" ht="39" x14ac:dyDescent="0.3">
      <c r="B3" s="484" t="s">
        <v>85</v>
      </c>
      <c r="C3" s="484" t="s">
        <v>564</v>
      </c>
      <c r="D3" s="484" t="s">
        <v>565</v>
      </c>
      <c r="E3" s="484" t="s">
        <v>566</v>
      </c>
      <c r="F3" s="485" t="str">
        <f>Budgets!D4</f>
        <v>Planning / Design</v>
      </c>
      <c r="G3" s="485" t="str">
        <f>Budgets!E4</f>
        <v>Marketing &amp; Delivery</v>
      </c>
      <c r="H3" s="485" t="str">
        <f>Budgets!F4</f>
        <v>Incentives / Direct Install Costs</v>
      </c>
      <c r="I3" s="485" t="str">
        <f>Budgets!G4</f>
        <v>EM&amp;V</v>
      </c>
      <c r="J3" s="485" t="str">
        <f>Budgets!H4</f>
        <v>Administration</v>
      </c>
      <c r="K3" s="485" t="str">
        <f>Budgets!I4</f>
        <v>Total</v>
      </c>
      <c r="L3" s="485" t="str">
        <f>'Savings &amp; Participants'!D4</f>
        <v>Demand 
Savings</v>
      </c>
      <c r="M3" s="485" t="str">
        <f>'Savings &amp; Participants'!E4</f>
        <v>Energy 
Savings</v>
      </c>
      <c r="N3" s="485" t="str">
        <f>'Savings &amp; Participants'!G5</f>
        <v>Participants</v>
      </c>
    </row>
    <row r="4" spans="2:14" x14ac:dyDescent="0.25">
      <c r="B4" s="486" t="str">
        <f>'Program Descriptions'!C5</f>
        <v>Commercial &amp; Industrial Solutions Program</v>
      </c>
      <c r="C4" s="486" t="str">
        <f>IF(B4="Empty","",'Program Descriptions'!E5)</f>
        <v>Commercial &amp; Industrial</v>
      </c>
      <c r="D4" s="486" t="str">
        <f>IF(B4="Empty","",'Program Descriptions'!F5)</f>
        <v>Custom</v>
      </c>
      <c r="E4" s="486" t="str">
        <f>IF(B4="Empty","",'Program Descriptions'!G5)</f>
        <v>Implementing Contractor</v>
      </c>
      <c r="F4" s="487">
        <f>Budgets!D5</f>
        <v>33200</v>
      </c>
      <c r="G4" s="487">
        <f>Budgets!E5</f>
        <v>846789.42</v>
      </c>
      <c r="H4" s="487">
        <f>Budgets!F5</f>
        <v>431263.65</v>
      </c>
      <c r="I4" s="487">
        <f>Budgets!G5</f>
        <v>86403.92</v>
      </c>
      <c r="J4" s="487">
        <f>Budgets!H5</f>
        <v>27491</v>
      </c>
      <c r="K4" s="488">
        <f>SUM(F4:J4)</f>
        <v>1425147.99</v>
      </c>
      <c r="L4" s="489" t="str">
        <f>IF(Demand_1=NG_Demand,"n/a",'Savings &amp; Participants'!D6)</f>
        <v>n/a</v>
      </c>
      <c r="M4" s="489">
        <f>'Savings &amp; Participants'!E6</f>
        <v>620044</v>
      </c>
      <c r="N4" s="489">
        <f>'Savings &amp; Participants'!G6</f>
        <v>232</v>
      </c>
    </row>
    <row r="5" spans="2:14" x14ac:dyDescent="0.25">
      <c r="B5" s="486" t="str">
        <f>'Program Descriptions'!C6</f>
        <v>Energy Efficiency Arkansas</v>
      </c>
      <c r="C5" s="486" t="str">
        <f>IF(B5="Empty","",'Program Descriptions'!E6)</f>
        <v>All Classes</v>
      </c>
      <c r="D5" s="486" t="str">
        <f>IF(B5="Empty","",'Program Descriptions'!F6)</f>
        <v>Behavior/Education</v>
      </c>
      <c r="E5" s="486" t="str">
        <f>IF(B5="Empty","",'Program Descriptions'!G6)</f>
        <v>Statewide Administrator</v>
      </c>
      <c r="F5" s="487">
        <f>Budgets!D6</f>
        <v>0</v>
      </c>
      <c r="G5" s="487">
        <f>Budgets!E6</f>
        <v>0</v>
      </c>
      <c r="H5" s="487">
        <f>Budgets!F6</f>
        <v>0</v>
      </c>
      <c r="I5" s="487">
        <f>Budgets!G6</f>
        <v>0</v>
      </c>
      <c r="J5" s="487">
        <f>Budgets!H6</f>
        <v>0</v>
      </c>
      <c r="K5" s="488">
        <f t="shared" ref="K5:K23" si="0">SUM(F5:J5)</f>
        <v>0</v>
      </c>
      <c r="L5" s="489" t="str">
        <f>IF(Demand_1=NG_Demand,"n/a",'Savings &amp; Participants'!D7)</f>
        <v>n/a</v>
      </c>
      <c r="M5" s="489">
        <f>'Savings &amp; Participants'!E7</f>
        <v>0</v>
      </c>
      <c r="N5" s="489">
        <f>'Savings &amp; Participants'!G7</f>
        <v>0</v>
      </c>
    </row>
    <row r="6" spans="2:14" x14ac:dyDescent="0.25">
      <c r="B6" s="486" t="str">
        <f>'Program Descriptions'!C7</f>
        <v>Residential Solution Program</v>
      </c>
      <c r="C6" s="486" t="str">
        <f>IF(B6="Empty","",'Program Descriptions'!E7)</f>
        <v>Residential</v>
      </c>
      <c r="D6" s="486" t="str">
        <f>IF(B6="Empty","",'Program Descriptions'!F7)</f>
        <v>Other</v>
      </c>
      <c r="E6" s="486" t="str">
        <f>IF(B6="Empty","",'Program Descriptions'!G7)</f>
        <v>Implementing Contractor</v>
      </c>
      <c r="F6" s="487">
        <f>Budgets!D7</f>
        <v>0</v>
      </c>
      <c r="G6" s="487">
        <f>Budgets!E7</f>
        <v>790400.69</v>
      </c>
      <c r="H6" s="487">
        <f>Budgets!F7</f>
        <v>1587830</v>
      </c>
      <c r="I6" s="487">
        <f>Budgets!G7</f>
        <v>99664.06</v>
      </c>
      <c r="J6" s="487">
        <f>Budgets!H7</f>
        <v>26995</v>
      </c>
      <c r="K6" s="488">
        <f t="shared" si="0"/>
        <v>2504889.75</v>
      </c>
      <c r="L6" s="489" t="str">
        <f>IF(Demand_1=NG_Demand,"n/a",'Savings &amp; Participants'!D8)</f>
        <v>n/a</v>
      </c>
      <c r="M6" s="489">
        <f>'Savings &amp; Participants'!E8</f>
        <v>620027</v>
      </c>
      <c r="N6" s="489">
        <f>'Savings &amp; Participants'!G8</f>
        <v>2225</v>
      </c>
    </row>
    <row r="7" spans="2:14" x14ac:dyDescent="0.25">
      <c r="B7" s="486" t="str">
        <f>'Program Descriptions'!C8</f>
        <v>Income Qualified Program</v>
      </c>
      <c r="C7" s="486" t="str">
        <f>IF(B7="Empty","",'Program Descriptions'!E8)</f>
        <v>Residential</v>
      </c>
      <c r="D7" s="486" t="str">
        <f>IF(B7="Empty","",'Program Descriptions'!F8)</f>
        <v>Market Specific/Hard to Reach</v>
      </c>
      <c r="E7" s="486" t="str">
        <f>IF(B7="Empty","",'Program Descriptions'!G8)</f>
        <v>Coupon Redemption</v>
      </c>
      <c r="F7" s="487">
        <f>Budgets!D8</f>
        <v>2763.02</v>
      </c>
      <c r="G7" s="487">
        <f>Budgets!E8</f>
        <v>71397.279999999999</v>
      </c>
      <c r="H7" s="487">
        <f>Budgets!F8</f>
        <v>131693</v>
      </c>
      <c r="I7" s="487">
        <f>Budgets!G8</f>
        <v>3722.5</v>
      </c>
      <c r="J7" s="487">
        <f>Budgets!H8</f>
        <v>2319</v>
      </c>
      <c r="K7" s="488">
        <f t="shared" si="0"/>
        <v>211894.8</v>
      </c>
      <c r="L7" s="489" t="str">
        <f>IF(Demand_1=NG_Demand,"n/a",'Savings &amp; Participants'!D9)</f>
        <v>n/a</v>
      </c>
      <c r="M7" s="489">
        <f>'Savings &amp; Participants'!E9</f>
        <v>51718</v>
      </c>
      <c r="N7" s="489">
        <f>'Savings &amp; Participants'!G9</f>
        <v>68</v>
      </c>
    </row>
    <row r="8" spans="2:14" x14ac:dyDescent="0.25">
      <c r="B8" s="486" t="str">
        <f>'Program Descriptions'!C9</f>
        <v>Empty</v>
      </c>
      <c r="C8" s="486" t="str">
        <f>IF(B8="Empty","",'Program Descriptions'!E9)</f>
        <v/>
      </c>
      <c r="D8" s="486" t="str">
        <f>IF(B8="Empty","",'Program Descriptions'!F9)</f>
        <v/>
      </c>
      <c r="E8" s="486" t="str">
        <f>IF(B8="Empty","",'Program Descriptions'!G9)</f>
        <v/>
      </c>
      <c r="F8" s="487">
        <f>Budgets!D9</f>
        <v>0</v>
      </c>
      <c r="G8" s="487">
        <f>Budgets!E9</f>
        <v>0</v>
      </c>
      <c r="H8" s="487">
        <f>Budgets!F9</f>
        <v>0</v>
      </c>
      <c r="I8" s="487">
        <f>Budgets!G9</f>
        <v>0</v>
      </c>
      <c r="J8" s="487">
        <f>Budgets!H9</f>
        <v>0</v>
      </c>
      <c r="K8" s="488">
        <f t="shared" si="0"/>
        <v>0</v>
      </c>
      <c r="L8" s="489" t="str">
        <f>IF(Demand_1=NG_Demand,"n/a",'Savings &amp; Participants'!D10)</f>
        <v>n/a</v>
      </c>
      <c r="M8" s="489">
        <f>'Savings &amp; Participants'!E10</f>
        <v>0</v>
      </c>
      <c r="N8" s="489">
        <f>'Savings &amp; Participants'!G10</f>
        <v>0</v>
      </c>
    </row>
    <row r="9" spans="2:14" x14ac:dyDescent="0.25">
      <c r="B9" s="486" t="str">
        <f>'Program Descriptions'!C10</f>
        <v>Empty</v>
      </c>
      <c r="C9" s="486" t="str">
        <f>IF(B9="Empty","",'Program Descriptions'!E10)</f>
        <v/>
      </c>
      <c r="D9" s="486" t="str">
        <f>IF(B9="Empty","",'Program Descriptions'!F10)</f>
        <v/>
      </c>
      <c r="E9" s="486" t="str">
        <f>IF(B9="Empty","",'Program Descriptions'!G10)</f>
        <v/>
      </c>
      <c r="F9" s="487">
        <f>Budgets!D10</f>
        <v>0</v>
      </c>
      <c r="G9" s="487">
        <f>Budgets!E10</f>
        <v>0</v>
      </c>
      <c r="H9" s="487">
        <f>Budgets!F10</f>
        <v>0</v>
      </c>
      <c r="I9" s="487">
        <f>Budgets!G10</f>
        <v>0</v>
      </c>
      <c r="J9" s="487">
        <f>Budgets!H10</f>
        <v>0</v>
      </c>
      <c r="K9" s="488">
        <f t="shared" si="0"/>
        <v>0</v>
      </c>
      <c r="L9" s="489" t="str">
        <f>IF(Demand_1=NG_Demand,"n/a",'Savings &amp; Participants'!D11)</f>
        <v>n/a</v>
      </c>
      <c r="M9" s="489">
        <f>'Savings &amp; Participants'!E11</f>
        <v>0</v>
      </c>
      <c r="N9" s="489">
        <f>'Savings &amp; Participants'!G11</f>
        <v>0</v>
      </c>
    </row>
    <row r="10" spans="2:14" x14ac:dyDescent="0.25">
      <c r="B10" s="486" t="str">
        <f>'Program Descriptions'!C11</f>
        <v>Empty</v>
      </c>
      <c r="C10" s="486" t="str">
        <f>IF(B10="Empty","",'Program Descriptions'!E11)</f>
        <v/>
      </c>
      <c r="D10" s="486" t="str">
        <f>IF(B10="Empty","",'Program Descriptions'!F11)</f>
        <v/>
      </c>
      <c r="E10" s="486" t="str">
        <f>IF(B10="Empty","",'Program Descriptions'!G11)</f>
        <v/>
      </c>
      <c r="F10" s="487">
        <f>Budgets!D11</f>
        <v>0</v>
      </c>
      <c r="G10" s="487">
        <f>Budgets!E11</f>
        <v>0</v>
      </c>
      <c r="H10" s="487">
        <f>Budgets!F11</f>
        <v>0</v>
      </c>
      <c r="I10" s="487">
        <f>Budgets!G11</f>
        <v>0</v>
      </c>
      <c r="J10" s="487">
        <f>Budgets!H11</f>
        <v>0</v>
      </c>
      <c r="K10" s="488">
        <f t="shared" si="0"/>
        <v>0</v>
      </c>
      <c r="L10" s="489" t="str">
        <f>IF(Demand_1=NG_Demand,"n/a",'Savings &amp; Participants'!D12)</f>
        <v>n/a</v>
      </c>
      <c r="M10" s="489">
        <f>'Savings &amp; Participants'!E12</f>
        <v>0</v>
      </c>
      <c r="N10" s="489">
        <f>'Savings &amp; Participants'!G12</f>
        <v>0</v>
      </c>
    </row>
    <row r="11" spans="2:14" x14ac:dyDescent="0.25">
      <c r="B11" s="486" t="str">
        <f>'Program Descriptions'!C12</f>
        <v>Empty</v>
      </c>
      <c r="C11" s="486" t="str">
        <f>IF(B11="Empty","",'Program Descriptions'!E12)</f>
        <v/>
      </c>
      <c r="D11" s="486" t="str">
        <f>IF(B11="Empty","",'Program Descriptions'!F12)</f>
        <v/>
      </c>
      <c r="E11" s="486" t="str">
        <f>IF(B11="Empty","",'Program Descriptions'!G12)</f>
        <v/>
      </c>
      <c r="F11" s="487">
        <f>Budgets!D12</f>
        <v>0</v>
      </c>
      <c r="G11" s="487">
        <f>Budgets!E12</f>
        <v>0</v>
      </c>
      <c r="H11" s="487">
        <f>Budgets!F12</f>
        <v>0</v>
      </c>
      <c r="I11" s="487">
        <f>Budgets!G12</f>
        <v>0</v>
      </c>
      <c r="J11" s="487">
        <f>Budgets!H12</f>
        <v>0</v>
      </c>
      <c r="K11" s="488">
        <f t="shared" si="0"/>
        <v>0</v>
      </c>
      <c r="L11" s="489" t="str">
        <f>IF(Demand_1=NG_Demand,"n/a",'Savings &amp; Participants'!D13)</f>
        <v>n/a</v>
      </c>
      <c r="M11" s="489">
        <f>'Savings &amp; Participants'!E13</f>
        <v>0</v>
      </c>
      <c r="N11" s="489">
        <f>'Savings &amp; Participants'!G13</f>
        <v>0</v>
      </c>
    </row>
    <row r="12" spans="2:14" x14ac:dyDescent="0.25">
      <c r="B12" s="486" t="str">
        <f>'Program Descriptions'!C13</f>
        <v>Empty</v>
      </c>
      <c r="C12" s="486" t="str">
        <f>IF(B12="Empty","",'Program Descriptions'!E13)</f>
        <v/>
      </c>
      <c r="D12" s="486" t="str">
        <f>IF(B12="Empty","",'Program Descriptions'!F13)</f>
        <v/>
      </c>
      <c r="E12" s="486" t="str">
        <f>IF(B12="Empty","",'Program Descriptions'!G13)</f>
        <v/>
      </c>
      <c r="F12" s="487">
        <f>Budgets!D13</f>
        <v>0</v>
      </c>
      <c r="G12" s="487">
        <f>Budgets!E13</f>
        <v>0</v>
      </c>
      <c r="H12" s="487">
        <f>Budgets!F13</f>
        <v>0</v>
      </c>
      <c r="I12" s="487">
        <f>Budgets!G13</f>
        <v>0</v>
      </c>
      <c r="J12" s="487">
        <f>Budgets!H13</f>
        <v>0</v>
      </c>
      <c r="K12" s="488">
        <f t="shared" si="0"/>
        <v>0</v>
      </c>
      <c r="L12" s="489" t="str">
        <f>IF(Demand_1=NG_Demand,"n/a",'Savings &amp; Participants'!D14)</f>
        <v>n/a</v>
      </c>
      <c r="M12" s="489">
        <f>'Savings &amp; Participants'!E14</f>
        <v>0</v>
      </c>
      <c r="N12" s="489">
        <f>'Savings &amp; Participants'!G14</f>
        <v>0</v>
      </c>
    </row>
    <row r="13" spans="2:14" x14ac:dyDescent="0.25">
      <c r="B13" s="486" t="str">
        <f>'Program Descriptions'!C14</f>
        <v>Empty</v>
      </c>
      <c r="C13" s="486" t="str">
        <f>IF(B13="Empty","",'Program Descriptions'!E14)</f>
        <v/>
      </c>
      <c r="D13" s="486" t="str">
        <f>IF(B13="Empty","",'Program Descriptions'!F14)</f>
        <v/>
      </c>
      <c r="E13" s="486" t="str">
        <f>IF(B13="Empty","",'Program Descriptions'!G14)</f>
        <v/>
      </c>
      <c r="F13" s="487">
        <f>Budgets!D14</f>
        <v>0</v>
      </c>
      <c r="G13" s="487">
        <f>Budgets!E14</f>
        <v>0</v>
      </c>
      <c r="H13" s="487">
        <f>Budgets!F14</f>
        <v>0</v>
      </c>
      <c r="I13" s="487">
        <f>Budgets!G14</f>
        <v>0</v>
      </c>
      <c r="J13" s="487">
        <f>Budgets!H14</f>
        <v>0</v>
      </c>
      <c r="K13" s="488">
        <f t="shared" si="0"/>
        <v>0</v>
      </c>
      <c r="L13" s="489" t="str">
        <f>IF(Demand_1=NG_Demand,"n/a",'Savings &amp; Participants'!D15)</f>
        <v>n/a</v>
      </c>
      <c r="M13" s="489">
        <f>'Savings &amp; Participants'!E15</f>
        <v>0</v>
      </c>
      <c r="N13" s="489">
        <f>'Savings &amp; Participants'!G15</f>
        <v>0</v>
      </c>
    </row>
    <row r="14" spans="2:14" x14ac:dyDescent="0.25">
      <c r="B14" s="486" t="str">
        <f>'Program Descriptions'!C15</f>
        <v>Empty</v>
      </c>
      <c r="C14" s="486" t="str">
        <f>IF(B14="Empty","",'Program Descriptions'!E15)</f>
        <v/>
      </c>
      <c r="D14" s="486" t="str">
        <f>IF(B14="Empty","",'Program Descriptions'!F15)</f>
        <v/>
      </c>
      <c r="E14" s="486" t="str">
        <f>IF(B14="Empty","",'Program Descriptions'!G15)</f>
        <v/>
      </c>
      <c r="F14" s="487">
        <f>Budgets!D15</f>
        <v>0</v>
      </c>
      <c r="G14" s="487">
        <f>Budgets!E15</f>
        <v>0</v>
      </c>
      <c r="H14" s="487">
        <f>Budgets!F15</f>
        <v>0</v>
      </c>
      <c r="I14" s="487">
        <f>Budgets!G15</f>
        <v>0</v>
      </c>
      <c r="J14" s="487">
        <f>Budgets!H15</f>
        <v>0</v>
      </c>
      <c r="K14" s="488">
        <f t="shared" si="0"/>
        <v>0</v>
      </c>
      <c r="L14" s="489" t="str">
        <f>IF(Demand_1=NG_Demand,"n/a",'Savings &amp; Participants'!D16)</f>
        <v>n/a</v>
      </c>
      <c r="M14" s="489">
        <f>'Savings &amp; Participants'!E16</f>
        <v>0</v>
      </c>
      <c r="N14" s="489">
        <f>'Savings &amp; Participants'!G16</f>
        <v>0</v>
      </c>
    </row>
    <row r="15" spans="2:14" x14ac:dyDescent="0.25">
      <c r="B15" s="486" t="str">
        <f>'Program Descriptions'!C16</f>
        <v>Empty</v>
      </c>
      <c r="C15" s="486" t="str">
        <f>IF(B15="Empty","",'Program Descriptions'!E16)</f>
        <v/>
      </c>
      <c r="D15" s="486" t="str">
        <f>IF(B15="Empty","",'Program Descriptions'!F16)</f>
        <v/>
      </c>
      <c r="E15" s="486" t="str">
        <f>IF(B15="Empty","",'Program Descriptions'!G16)</f>
        <v/>
      </c>
      <c r="F15" s="487">
        <f>Budgets!D16</f>
        <v>0</v>
      </c>
      <c r="G15" s="487">
        <f>Budgets!E16</f>
        <v>0</v>
      </c>
      <c r="H15" s="487">
        <f>Budgets!F16</f>
        <v>0</v>
      </c>
      <c r="I15" s="487">
        <f>Budgets!G16</f>
        <v>0</v>
      </c>
      <c r="J15" s="487">
        <f>Budgets!H16</f>
        <v>0</v>
      </c>
      <c r="K15" s="488">
        <f t="shared" si="0"/>
        <v>0</v>
      </c>
      <c r="L15" s="489" t="str">
        <f>IF(Demand_1=NG_Demand,"n/a",'Savings &amp; Participants'!D17)</f>
        <v>n/a</v>
      </c>
      <c r="M15" s="489">
        <f>'Savings &amp; Participants'!E17</f>
        <v>0</v>
      </c>
      <c r="N15" s="489">
        <f>'Savings &amp; Participants'!G17</f>
        <v>0</v>
      </c>
    </row>
    <row r="16" spans="2:14" x14ac:dyDescent="0.25">
      <c r="B16" s="486" t="str">
        <f>'Program Descriptions'!C17</f>
        <v>Empty</v>
      </c>
      <c r="C16" s="486" t="str">
        <f>IF(B16="Empty","",'Program Descriptions'!E17)</f>
        <v/>
      </c>
      <c r="D16" s="486" t="str">
        <f>IF(B16="Empty","",'Program Descriptions'!F17)</f>
        <v/>
      </c>
      <c r="E16" s="486" t="str">
        <f>IF(B16="Empty","",'Program Descriptions'!G17)</f>
        <v/>
      </c>
      <c r="F16" s="487">
        <f>Budgets!D17</f>
        <v>0</v>
      </c>
      <c r="G16" s="487">
        <f>Budgets!E17</f>
        <v>0</v>
      </c>
      <c r="H16" s="487">
        <f>Budgets!F17</f>
        <v>0</v>
      </c>
      <c r="I16" s="487">
        <f>Budgets!G17</f>
        <v>0</v>
      </c>
      <c r="J16" s="487">
        <f>Budgets!H17</f>
        <v>0</v>
      </c>
      <c r="K16" s="488">
        <f t="shared" si="0"/>
        <v>0</v>
      </c>
      <c r="L16" s="489" t="str">
        <f>IF(Demand_1=NG_Demand,"n/a",'Savings &amp; Participants'!D18)</f>
        <v>n/a</v>
      </c>
      <c r="M16" s="489">
        <f>'Savings &amp; Participants'!E18</f>
        <v>0</v>
      </c>
      <c r="N16" s="489">
        <f>'Savings &amp; Participants'!G18</f>
        <v>0</v>
      </c>
    </row>
    <row r="17" spans="2:20" x14ac:dyDescent="0.25">
      <c r="B17" s="486" t="str">
        <f>'Program Descriptions'!C18</f>
        <v>Empty</v>
      </c>
      <c r="C17" s="486" t="str">
        <f>IF(B17="Empty","",'Program Descriptions'!E18)</f>
        <v/>
      </c>
      <c r="D17" s="486" t="str">
        <f>IF(B17="Empty","",'Program Descriptions'!F18)</f>
        <v/>
      </c>
      <c r="E17" s="486" t="str">
        <f>IF(B17="Empty","",'Program Descriptions'!G18)</f>
        <v/>
      </c>
      <c r="F17" s="487">
        <f>Budgets!D18</f>
        <v>0</v>
      </c>
      <c r="G17" s="487">
        <f>Budgets!E18</f>
        <v>0</v>
      </c>
      <c r="H17" s="487">
        <f>Budgets!F18</f>
        <v>0</v>
      </c>
      <c r="I17" s="487">
        <f>Budgets!G18</f>
        <v>0</v>
      </c>
      <c r="J17" s="487">
        <f>Budgets!H18</f>
        <v>0</v>
      </c>
      <c r="K17" s="488">
        <f t="shared" si="0"/>
        <v>0</v>
      </c>
      <c r="L17" s="489" t="str">
        <f>IF(Demand_1=NG_Demand,"n/a",'Savings &amp; Participants'!D19)</f>
        <v>n/a</v>
      </c>
      <c r="M17" s="489">
        <f>'Savings &amp; Participants'!E19</f>
        <v>0</v>
      </c>
      <c r="N17" s="489">
        <f>'Savings &amp; Participants'!G19</f>
        <v>0</v>
      </c>
    </row>
    <row r="18" spans="2:20" x14ac:dyDescent="0.25">
      <c r="B18" s="486" t="str">
        <f>'Program Descriptions'!C19</f>
        <v>Empty</v>
      </c>
      <c r="C18" s="486" t="str">
        <f>IF(B18="Empty","",'Program Descriptions'!E19)</f>
        <v/>
      </c>
      <c r="D18" s="486" t="str">
        <f>IF(B18="Empty","",'Program Descriptions'!F19)</f>
        <v/>
      </c>
      <c r="E18" s="486" t="str">
        <f>IF(B18="Empty","",'Program Descriptions'!G19)</f>
        <v/>
      </c>
      <c r="F18" s="487">
        <f>Budgets!D19</f>
        <v>0</v>
      </c>
      <c r="G18" s="487">
        <f>Budgets!E19</f>
        <v>0</v>
      </c>
      <c r="H18" s="487">
        <f>Budgets!F19</f>
        <v>0</v>
      </c>
      <c r="I18" s="487">
        <f>Budgets!G19</f>
        <v>0</v>
      </c>
      <c r="J18" s="487">
        <f>Budgets!H19</f>
        <v>0</v>
      </c>
      <c r="K18" s="488">
        <f t="shared" si="0"/>
        <v>0</v>
      </c>
      <c r="L18" s="489" t="str">
        <f>IF(Demand_1=NG_Demand,"n/a",'Savings &amp; Participants'!D20)</f>
        <v>n/a</v>
      </c>
      <c r="M18" s="489">
        <f>'Savings &amp; Participants'!E20</f>
        <v>0</v>
      </c>
      <c r="N18" s="489">
        <f>'Savings &amp; Participants'!G20</f>
        <v>0</v>
      </c>
    </row>
    <row r="19" spans="2:20" x14ac:dyDescent="0.25">
      <c r="B19" s="486" t="str">
        <f>'Program Descriptions'!C20</f>
        <v>Empty</v>
      </c>
      <c r="C19" s="486" t="str">
        <f>IF(B19="Empty","",'Program Descriptions'!E20)</f>
        <v/>
      </c>
      <c r="D19" s="486" t="str">
        <f>IF(B19="Empty","",'Program Descriptions'!F20)</f>
        <v/>
      </c>
      <c r="E19" s="486" t="str">
        <f>IF(B19="Empty","",'Program Descriptions'!G20)</f>
        <v/>
      </c>
      <c r="F19" s="487">
        <f>Budgets!D20</f>
        <v>0</v>
      </c>
      <c r="G19" s="487">
        <f>Budgets!E20</f>
        <v>0</v>
      </c>
      <c r="H19" s="487">
        <f>Budgets!F20</f>
        <v>0</v>
      </c>
      <c r="I19" s="487">
        <f>Budgets!G20</f>
        <v>0</v>
      </c>
      <c r="J19" s="487">
        <f>Budgets!H20</f>
        <v>0</v>
      </c>
      <c r="K19" s="488">
        <f t="shared" si="0"/>
        <v>0</v>
      </c>
      <c r="L19" s="489" t="str">
        <f>IF(Demand_1=NG_Demand,"n/a",'Savings &amp; Participants'!D21)</f>
        <v>n/a</v>
      </c>
      <c r="M19" s="489">
        <f>'Savings &amp; Participants'!E21</f>
        <v>0</v>
      </c>
      <c r="N19" s="489">
        <f>'Savings &amp; Participants'!G21</f>
        <v>0</v>
      </c>
    </row>
    <row r="20" spans="2:20" x14ac:dyDescent="0.25">
      <c r="B20" s="486" t="str">
        <f>'Program Descriptions'!C21</f>
        <v>Empty</v>
      </c>
      <c r="C20" s="486" t="str">
        <f>IF(B20="Empty","",'Program Descriptions'!E21)</f>
        <v/>
      </c>
      <c r="D20" s="486" t="str">
        <f>IF(B20="Empty","",'Program Descriptions'!F21)</f>
        <v/>
      </c>
      <c r="E20" s="486" t="str">
        <f>IF(B20="Empty","",'Program Descriptions'!G21)</f>
        <v/>
      </c>
      <c r="F20" s="487">
        <f>Budgets!D21</f>
        <v>0</v>
      </c>
      <c r="G20" s="487">
        <f>Budgets!E21</f>
        <v>0</v>
      </c>
      <c r="H20" s="487">
        <f>Budgets!F21</f>
        <v>0</v>
      </c>
      <c r="I20" s="487">
        <f>Budgets!G21</f>
        <v>0</v>
      </c>
      <c r="J20" s="487">
        <f>Budgets!H21</f>
        <v>0</v>
      </c>
      <c r="K20" s="488">
        <f t="shared" si="0"/>
        <v>0</v>
      </c>
      <c r="L20" s="489" t="str">
        <f>IF(Demand_1=NG_Demand,"n/a",'Savings &amp; Participants'!D22)</f>
        <v>n/a</v>
      </c>
      <c r="M20" s="489">
        <f>'Savings &amp; Participants'!E22</f>
        <v>0</v>
      </c>
      <c r="N20" s="489">
        <f>'Savings &amp; Participants'!G22</f>
        <v>0</v>
      </c>
    </row>
    <row r="21" spans="2:20" x14ac:dyDescent="0.25">
      <c r="B21" s="486" t="str">
        <f>'Program Descriptions'!C22</f>
        <v>Empty</v>
      </c>
      <c r="C21" s="486" t="str">
        <f>IF(B21="Empty","",'Program Descriptions'!E22)</f>
        <v/>
      </c>
      <c r="D21" s="486" t="str">
        <f>IF(B21="Empty","",'Program Descriptions'!F22)</f>
        <v/>
      </c>
      <c r="E21" s="486" t="str">
        <f>IF(B21="Empty","",'Program Descriptions'!G22)</f>
        <v/>
      </c>
      <c r="F21" s="487">
        <f>Budgets!D22</f>
        <v>0</v>
      </c>
      <c r="G21" s="487">
        <f>Budgets!E22</f>
        <v>0</v>
      </c>
      <c r="H21" s="487">
        <f>Budgets!F22</f>
        <v>0</v>
      </c>
      <c r="I21" s="487">
        <f>Budgets!G22</f>
        <v>0</v>
      </c>
      <c r="J21" s="487">
        <f>Budgets!H22</f>
        <v>0</v>
      </c>
      <c r="K21" s="488">
        <f t="shared" si="0"/>
        <v>0</v>
      </c>
      <c r="L21" s="489" t="str">
        <f>IF(Demand_1=NG_Demand,"n/a",'Savings &amp; Participants'!D23)</f>
        <v>n/a</v>
      </c>
      <c r="M21" s="489">
        <f>'Savings &amp; Participants'!E23</f>
        <v>0</v>
      </c>
      <c r="N21" s="489">
        <f>'Savings &amp; Participants'!G23</f>
        <v>0</v>
      </c>
    </row>
    <row r="22" spans="2:20" x14ac:dyDescent="0.25">
      <c r="B22" s="486" t="str">
        <f>'Program Descriptions'!C23</f>
        <v>Empty</v>
      </c>
      <c r="C22" s="486" t="str">
        <f>IF(B22="Empty","",'Program Descriptions'!E23)</f>
        <v/>
      </c>
      <c r="D22" s="486" t="str">
        <f>IF(B22="Empty","",'Program Descriptions'!F23)</f>
        <v/>
      </c>
      <c r="E22" s="486" t="str">
        <f>IF(B22="Empty","",'Program Descriptions'!G23)</f>
        <v/>
      </c>
      <c r="F22" s="487">
        <f>Budgets!D23</f>
        <v>0</v>
      </c>
      <c r="G22" s="487">
        <f>Budgets!E23</f>
        <v>0</v>
      </c>
      <c r="H22" s="487">
        <f>Budgets!F23</f>
        <v>0</v>
      </c>
      <c r="I22" s="487">
        <f>Budgets!G23</f>
        <v>0</v>
      </c>
      <c r="J22" s="487">
        <f>Budgets!H23</f>
        <v>0</v>
      </c>
      <c r="K22" s="488">
        <f t="shared" si="0"/>
        <v>0</v>
      </c>
      <c r="L22" s="489" t="str">
        <f>IF(Demand_1=NG_Demand,"n/a",'Savings &amp; Participants'!D24)</f>
        <v>n/a</v>
      </c>
      <c r="M22" s="489">
        <f>'Savings &amp; Participants'!E24</f>
        <v>0</v>
      </c>
      <c r="N22" s="489">
        <f>'Savings &amp; Participants'!G24</f>
        <v>0</v>
      </c>
    </row>
    <row r="23" spans="2:20" x14ac:dyDescent="0.25">
      <c r="B23" s="486" t="str">
        <f>'Program Descriptions'!C24</f>
        <v>Empty</v>
      </c>
      <c r="C23" s="486" t="str">
        <f>IF(B23="Empty","",'Program Descriptions'!E24)</f>
        <v/>
      </c>
      <c r="D23" s="486" t="str">
        <f>IF(B23="Empty","",'Program Descriptions'!F24)</f>
        <v/>
      </c>
      <c r="E23" s="486" t="str">
        <f>IF(B23="Empty","",'Program Descriptions'!G24)</f>
        <v/>
      </c>
      <c r="F23" s="487">
        <f>Budgets!D24</f>
        <v>0</v>
      </c>
      <c r="G23" s="487">
        <f>Budgets!E24</f>
        <v>0</v>
      </c>
      <c r="H23" s="487">
        <f>Budgets!F24</f>
        <v>0</v>
      </c>
      <c r="I23" s="487">
        <f>Budgets!G24</f>
        <v>0</v>
      </c>
      <c r="J23" s="487">
        <f>Budgets!H24</f>
        <v>0</v>
      </c>
      <c r="K23" s="488">
        <f t="shared" si="0"/>
        <v>0</v>
      </c>
      <c r="L23" s="489" t="str">
        <f>IF(Demand_1=NG_Demand,"n/a",'Savings &amp; Participants'!D25)</f>
        <v>n/a</v>
      </c>
      <c r="M23" s="489">
        <f>'Savings &amp; Participants'!E25</f>
        <v>0</v>
      </c>
      <c r="N23" s="489">
        <f>'Savings &amp; Participants'!G25</f>
        <v>0</v>
      </c>
    </row>
    <row r="24" spans="2:20" x14ac:dyDescent="0.25">
      <c r="B24" s="271" t="str">
        <f>Budgets!H26</f>
        <v>Regulatory</v>
      </c>
      <c r="C24" s="541" t="s">
        <v>567</v>
      </c>
      <c r="D24" s="541" t="s">
        <v>567</v>
      </c>
      <c r="E24" s="541" t="s">
        <v>567</v>
      </c>
      <c r="F24" s="487"/>
      <c r="G24" s="487"/>
      <c r="H24" s="487"/>
      <c r="I24" s="487"/>
      <c r="J24" s="487"/>
      <c r="K24" s="488">
        <f>Budgets!I26</f>
        <v>27917</v>
      </c>
      <c r="L24" s="489"/>
      <c r="M24" s="489"/>
      <c r="N24" s="489"/>
    </row>
    <row r="25" spans="2:20" x14ac:dyDescent="0.25">
      <c r="F25" s="487">
        <f t="shared" ref="F25:N25" si="1">SUM(F4:F23)</f>
        <v>35963.019999999997</v>
      </c>
      <c r="G25" s="487">
        <f t="shared" si="1"/>
        <v>1708587.39</v>
      </c>
      <c r="H25" s="487">
        <f t="shared" si="1"/>
        <v>2150786.65</v>
      </c>
      <c r="I25" s="487">
        <f t="shared" si="1"/>
        <v>189790.47999999998</v>
      </c>
      <c r="J25" s="487">
        <f t="shared" si="1"/>
        <v>56805</v>
      </c>
      <c r="K25" s="488">
        <f>SUM(K4:K24)</f>
        <v>4169849.54</v>
      </c>
      <c r="L25" s="489">
        <f t="shared" si="1"/>
        <v>0</v>
      </c>
      <c r="M25" s="489">
        <f t="shared" si="1"/>
        <v>1291789</v>
      </c>
      <c r="N25" s="489">
        <f t="shared" si="1"/>
        <v>2525</v>
      </c>
    </row>
    <row r="27" spans="2:20" ht="13" x14ac:dyDescent="0.3">
      <c r="B27" s="92" t="s">
        <v>568</v>
      </c>
    </row>
    <row r="28" spans="2:20" ht="39" x14ac:dyDescent="0.3">
      <c r="B28" s="484" t="str">
        <f t="shared" ref="B28:B49" si="2">B3</f>
        <v>Program Name</v>
      </c>
      <c r="C28" s="484" t="str">
        <f t="shared" ref="C28:N28" si="3">C3</f>
        <v>Sector</v>
      </c>
      <c r="D28" s="484" t="str">
        <f t="shared" si="3"/>
        <v>Type</v>
      </c>
      <c r="E28" s="484" t="str">
        <f t="shared" si="3"/>
        <v>Channel</v>
      </c>
      <c r="F28" s="485" t="str">
        <f t="shared" si="3"/>
        <v>Planning / Design</v>
      </c>
      <c r="G28" s="485" t="str">
        <f t="shared" si="3"/>
        <v>Marketing &amp; Delivery</v>
      </c>
      <c r="H28" s="485" t="str">
        <f t="shared" si="3"/>
        <v>Incentives / Direct Install Costs</v>
      </c>
      <c r="I28" s="485" t="str">
        <f t="shared" si="3"/>
        <v>EM&amp;V</v>
      </c>
      <c r="J28" s="485" t="str">
        <f t="shared" si="3"/>
        <v>Administration</v>
      </c>
      <c r="K28" s="485" t="str">
        <f t="shared" si="3"/>
        <v>Total</v>
      </c>
      <c r="L28" s="485" t="str">
        <f t="shared" si="3"/>
        <v>Demand 
Savings</v>
      </c>
      <c r="M28" s="485" t="str">
        <f t="shared" si="3"/>
        <v>Energy 
Savings</v>
      </c>
      <c r="N28" s="485" t="str">
        <f t="shared" si="3"/>
        <v>Participants</v>
      </c>
      <c r="O28" s="485" t="s">
        <v>569</v>
      </c>
      <c r="P28" s="485" t="s">
        <v>570</v>
      </c>
      <c r="Q28" s="485" t="s">
        <v>571</v>
      </c>
      <c r="R28" s="485" t="s">
        <v>572</v>
      </c>
      <c r="S28" s="485" t="s">
        <v>573</v>
      </c>
      <c r="T28" s="485" t="s">
        <v>222</v>
      </c>
    </row>
    <row r="29" spans="2:20" x14ac:dyDescent="0.25">
      <c r="B29" s="486" t="str">
        <f t="shared" si="2"/>
        <v>Commercial &amp; Industrial Solutions Program</v>
      </c>
      <c r="C29" s="486" t="str">
        <f t="shared" ref="C29:E48" si="4">C4</f>
        <v>Commercial &amp; Industrial</v>
      </c>
      <c r="D29" s="486" t="str">
        <f t="shared" si="4"/>
        <v>Custom</v>
      </c>
      <c r="E29" s="486" t="str">
        <f t="shared" si="4"/>
        <v>Implementing Contractor</v>
      </c>
      <c r="F29" s="487">
        <f>'Actual Expenses'!D5</f>
        <v>0</v>
      </c>
      <c r="G29" s="487">
        <f>'Actual Expenses'!E5</f>
        <v>846789.42</v>
      </c>
      <c r="H29" s="487">
        <f>'Actual Expenses'!F5</f>
        <v>431263.65</v>
      </c>
      <c r="I29" s="487">
        <f>'Actual Expenses'!G5</f>
        <v>86403.92</v>
      </c>
      <c r="J29" s="487">
        <f>'Actual Expenses'!H5</f>
        <v>27491</v>
      </c>
      <c r="K29" s="488">
        <f>SUM(F29:J29)</f>
        <v>1391947.99</v>
      </c>
      <c r="L29" s="489" t="str">
        <f>IF(Demand_1=NG_Demand,"n/a",'Evaluated Savings'!D6)</f>
        <v>n/a</v>
      </c>
      <c r="M29" s="489">
        <f>'Evaluated Savings'!E6</f>
        <v>647132</v>
      </c>
      <c r="N29" s="489">
        <f>'Evaluated Savings'!G6</f>
        <v>232</v>
      </c>
      <c r="O29" s="489">
        <f>'Cost-Benefits'!F7</f>
        <v>6279634.2029731134</v>
      </c>
      <c r="P29" s="487">
        <f>'Cost-Benefits'!G7</f>
        <v>1859.4380756108976</v>
      </c>
      <c r="Q29" s="487">
        <f>'Cost-Benefits'!H7</f>
        <v>2333.2739773345202</v>
      </c>
      <c r="R29" s="487">
        <f>'Cost-Benefits'!I7</f>
        <v>473.83590172362256</v>
      </c>
      <c r="S29" s="490">
        <f>'Cost-Benefits'!J7</f>
        <v>1.2548274706959246</v>
      </c>
      <c r="T29" s="491">
        <f>'Cost-Benefits'!L7</f>
        <v>0.39219872945361184</v>
      </c>
    </row>
    <row r="30" spans="2:20" x14ac:dyDescent="0.25">
      <c r="B30" s="486" t="str">
        <f t="shared" si="2"/>
        <v>Energy Efficiency Arkansas</v>
      </c>
      <c r="C30" s="486" t="str">
        <f t="shared" si="4"/>
        <v>All Classes</v>
      </c>
      <c r="D30" s="486" t="str">
        <f t="shared" si="4"/>
        <v>Behavior/Education</v>
      </c>
      <c r="E30" s="486" t="str">
        <f t="shared" si="4"/>
        <v>Statewide Administrator</v>
      </c>
      <c r="F30" s="487">
        <f>'Actual Expenses'!D9</f>
        <v>0</v>
      </c>
      <c r="G30" s="487">
        <f>'Actual Expenses'!E9</f>
        <v>0</v>
      </c>
      <c r="H30" s="487">
        <f>'Actual Expenses'!F9</f>
        <v>0</v>
      </c>
      <c r="I30" s="487">
        <f>'Actual Expenses'!G9</f>
        <v>0</v>
      </c>
      <c r="J30" s="487">
        <f>'Actual Expenses'!H9</f>
        <v>0</v>
      </c>
      <c r="K30" s="488">
        <f t="shared" ref="K30:K48" si="5">SUM(F30:J30)</f>
        <v>0</v>
      </c>
      <c r="L30" s="489" t="str">
        <f>IF(Demand_1=NG_Demand,"n/a",'Evaluated Savings'!D7)</f>
        <v>n/a</v>
      </c>
      <c r="M30" s="489">
        <f>'Evaluated Savings'!E7</f>
        <v>0</v>
      </c>
      <c r="N30" s="489">
        <f>'Evaluated Savings'!G7</f>
        <v>0</v>
      </c>
      <c r="O30" s="489">
        <f>'Cost-Benefits'!F8</f>
        <v>0</v>
      </c>
      <c r="P30" s="487">
        <f>'Cost-Benefits'!G8</f>
        <v>0</v>
      </c>
      <c r="Q30" s="487">
        <f>'Cost-Benefits'!H8</f>
        <v>0</v>
      </c>
      <c r="R30" s="487">
        <f>'Cost-Benefits'!I8</f>
        <v>0</v>
      </c>
      <c r="S30" s="490" t="str">
        <f>'Cost-Benefits'!J8</f>
        <v>n/a</v>
      </c>
      <c r="T30" s="491" t="str">
        <f>'Cost-Benefits'!L8</f>
        <v>n/a</v>
      </c>
    </row>
    <row r="31" spans="2:20" x14ac:dyDescent="0.25">
      <c r="B31" s="486" t="str">
        <f t="shared" si="2"/>
        <v>Residential Solution Program</v>
      </c>
      <c r="C31" s="486" t="str">
        <f t="shared" si="4"/>
        <v>Residential</v>
      </c>
      <c r="D31" s="486" t="str">
        <f t="shared" si="4"/>
        <v>Other</v>
      </c>
      <c r="E31" s="486" t="str">
        <f t="shared" si="4"/>
        <v>Implementing Contractor</v>
      </c>
      <c r="F31" s="487">
        <f>'Actual Expenses'!D13</f>
        <v>0</v>
      </c>
      <c r="G31" s="487">
        <f>'Actual Expenses'!E13</f>
        <v>790400.69</v>
      </c>
      <c r="H31" s="487">
        <f>'Actual Expenses'!F13</f>
        <v>1474236.44</v>
      </c>
      <c r="I31" s="487">
        <f>'Actual Expenses'!G13</f>
        <v>99664.06</v>
      </c>
      <c r="J31" s="487">
        <f>'Actual Expenses'!H13</f>
        <v>26995.95</v>
      </c>
      <c r="K31" s="488">
        <f t="shared" si="5"/>
        <v>2391297.14</v>
      </c>
      <c r="L31" s="489" t="str">
        <f>IF(Demand_1=NG_Demand,"n/a",'Evaluated Savings'!D8)</f>
        <v>n/a</v>
      </c>
      <c r="M31" s="489">
        <f>'Evaluated Savings'!E8</f>
        <v>651784</v>
      </c>
      <c r="N31" s="489">
        <f>'Evaluated Savings'!G8</f>
        <v>2225</v>
      </c>
      <c r="O31" s="489">
        <f>'Cost-Benefits'!F9</f>
        <v>12231280.675202576</v>
      </c>
      <c r="P31" s="487">
        <f>'Cost-Benefits'!G9</f>
        <v>2894.9541341324025</v>
      </c>
      <c r="Q31" s="487">
        <f>'Cost-Benefits'!H9</f>
        <v>6120.2281418678131</v>
      </c>
      <c r="R31" s="487">
        <f>'Cost-Benefits'!I9</f>
        <v>3225.2740077354106</v>
      </c>
      <c r="S31" s="490">
        <f>'Cost-Benefits'!J9</f>
        <v>2.1141019367831895</v>
      </c>
      <c r="T31" s="491">
        <f>'Cost-Benefits'!L9</f>
        <v>0.3890616006236251</v>
      </c>
    </row>
    <row r="32" spans="2:20" x14ac:dyDescent="0.25">
      <c r="B32" s="486" t="str">
        <f t="shared" si="2"/>
        <v>Income Qualified Program</v>
      </c>
      <c r="C32" s="486" t="str">
        <f t="shared" si="4"/>
        <v>Residential</v>
      </c>
      <c r="D32" s="486" t="str">
        <f t="shared" si="4"/>
        <v>Market Specific/Hard to Reach</v>
      </c>
      <c r="E32" s="486" t="str">
        <f t="shared" si="4"/>
        <v>Coupon Redemption</v>
      </c>
      <c r="F32" s="487">
        <f>'Actual Expenses'!D17</f>
        <v>0</v>
      </c>
      <c r="G32" s="487">
        <f>'Actual Expenses'!E17</f>
        <v>71397.279999999999</v>
      </c>
      <c r="H32" s="487">
        <f>'Actual Expenses'!F17</f>
        <v>91189</v>
      </c>
      <c r="I32" s="487">
        <f>'Actual Expenses'!G17</f>
        <v>3722.5</v>
      </c>
      <c r="J32" s="487">
        <f>'Actual Expenses'!H17</f>
        <v>2319.59</v>
      </c>
      <c r="K32" s="488">
        <f t="shared" si="5"/>
        <v>168628.37</v>
      </c>
      <c r="L32" s="489" t="str">
        <f>IF(Demand_1=NG_Demand,"n/a",'Evaluated Savings'!D9)</f>
        <v>n/a</v>
      </c>
      <c r="M32" s="489">
        <f>'Evaluated Savings'!E9</f>
        <v>51497</v>
      </c>
      <c r="N32" s="489">
        <f>'Evaluated Savings'!G9</f>
        <v>68</v>
      </c>
      <c r="O32" s="489">
        <f>'Cost-Benefits'!F10</f>
        <v>411742.19854689221</v>
      </c>
      <c r="P32" s="487">
        <f>'Cost-Benefits'!G10</f>
        <v>88.789760000000015</v>
      </c>
      <c r="Q32" s="487">
        <f>'Cost-Benefits'!H10</f>
        <v>155.59836623576319</v>
      </c>
      <c r="R32" s="487">
        <f>'Cost-Benefits'!I10</f>
        <v>66.808606235763179</v>
      </c>
      <c r="S32" s="490">
        <f>'Cost-Benefits'!J10</f>
        <v>1.7524359367089535</v>
      </c>
      <c r="T32" s="491">
        <f>'Cost-Benefits'!L10</f>
        <v>0.27361663496558081</v>
      </c>
    </row>
    <row r="33" spans="2:20" x14ac:dyDescent="0.25">
      <c r="B33" s="486" t="str">
        <f t="shared" si="2"/>
        <v>Empty</v>
      </c>
      <c r="C33" s="486" t="str">
        <f t="shared" si="4"/>
        <v/>
      </c>
      <c r="D33" s="486" t="str">
        <f t="shared" si="4"/>
        <v/>
      </c>
      <c r="E33" s="486" t="str">
        <f t="shared" si="4"/>
        <v/>
      </c>
      <c r="F33" s="487">
        <f>'Actual Expenses'!D21</f>
        <v>0</v>
      </c>
      <c r="G33" s="487">
        <f>'Actual Expenses'!E21</f>
        <v>0</v>
      </c>
      <c r="H33" s="487">
        <f>'Actual Expenses'!F21</f>
        <v>0</v>
      </c>
      <c r="I33" s="487">
        <f>'Actual Expenses'!G21</f>
        <v>0</v>
      </c>
      <c r="J33" s="487">
        <f>'Actual Expenses'!H21</f>
        <v>0</v>
      </c>
      <c r="K33" s="488">
        <f t="shared" si="5"/>
        <v>0</v>
      </c>
      <c r="L33" s="489" t="str">
        <f>IF(Demand_1=NG_Demand,"n/a",'Evaluated Savings'!D10)</f>
        <v>n/a</v>
      </c>
      <c r="M33" s="489">
        <f>'Evaluated Savings'!E10</f>
        <v>0</v>
      </c>
      <c r="N33" s="489">
        <f>'Evaluated Savings'!G10</f>
        <v>0</v>
      </c>
      <c r="O33" s="489">
        <f>'Cost-Benefits'!F11</f>
        <v>0</v>
      </c>
      <c r="P33" s="487">
        <f>'Cost-Benefits'!G11</f>
        <v>0</v>
      </c>
      <c r="Q33" s="487">
        <f>'Cost-Benefits'!H11</f>
        <v>0</v>
      </c>
      <c r="R33" s="487">
        <f>'Cost-Benefits'!I11</f>
        <v>0</v>
      </c>
      <c r="S33" s="490" t="str">
        <f>'Cost-Benefits'!J11</f>
        <v>n/a</v>
      </c>
      <c r="T33" s="491" t="str">
        <f>'Cost-Benefits'!L11</f>
        <v>n/a</v>
      </c>
    </row>
    <row r="34" spans="2:20" x14ac:dyDescent="0.25">
      <c r="B34" s="486" t="str">
        <f t="shared" si="2"/>
        <v>Empty</v>
      </c>
      <c r="C34" s="486" t="str">
        <f t="shared" si="4"/>
        <v/>
      </c>
      <c r="D34" s="486" t="str">
        <f t="shared" si="4"/>
        <v/>
      </c>
      <c r="E34" s="486" t="str">
        <f t="shared" si="4"/>
        <v/>
      </c>
      <c r="F34" s="487">
        <f>'Actual Expenses'!D25</f>
        <v>0</v>
      </c>
      <c r="G34" s="487">
        <f>'Actual Expenses'!E25</f>
        <v>0</v>
      </c>
      <c r="H34" s="487">
        <f>'Actual Expenses'!F25</f>
        <v>0</v>
      </c>
      <c r="I34" s="487">
        <f>'Actual Expenses'!G25</f>
        <v>0</v>
      </c>
      <c r="J34" s="487">
        <f>'Actual Expenses'!H25</f>
        <v>0</v>
      </c>
      <c r="K34" s="488">
        <f t="shared" si="5"/>
        <v>0</v>
      </c>
      <c r="L34" s="489" t="str">
        <f>IF(Demand_1=NG_Demand,"n/a",'Evaluated Savings'!D11)</f>
        <v>n/a</v>
      </c>
      <c r="M34" s="489">
        <f>'Evaluated Savings'!E11</f>
        <v>0</v>
      </c>
      <c r="N34" s="489">
        <f>'Evaluated Savings'!G11</f>
        <v>0</v>
      </c>
      <c r="O34" s="489">
        <f>'Cost-Benefits'!F12</f>
        <v>0</v>
      </c>
      <c r="P34" s="487">
        <f>'Cost-Benefits'!G12</f>
        <v>0</v>
      </c>
      <c r="Q34" s="487">
        <f>'Cost-Benefits'!H12</f>
        <v>0</v>
      </c>
      <c r="R34" s="487">
        <f>'Cost-Benefits'!I12</f>
        <v>0</v>
      </c>
      <c r="S34" s="490" t="str">
        <f>'Cost-Benefits'!J12</f>
        <v>n/a</v>
      </c>
      <c r="T34" s="491" t="str">
        <f>'Cost-Benefits'!L12</f>
        <v>n/a</v>
      </c>
    </row>
    <row r="35" spans="2:20" x14ac:dyDescent="0.25">
      <c r="B35" s="486" t="str">
        <f t="shared" si="2"/>
        <v>Empty</v>
      </c>
      <c r="C35" s="486" t="str">
        <f t="shared" si="4"/>
        <v/>
      </c>
      <c r="D35" s="486" t="str">
        <f t="shared" si="4"/>
        <v/>
      </c>
      <c r="E35" s="486" t="str">
        <f t="shared" si="4"/>
        <v/>
      </c>
      <c r="F35" s="487">
        <f>'Actual Expenses'!D29</f>
        <v>0</v>
      </c>
      <c r="G35" s="487">
        <f>'Actual Expenses'!E29</f>
        <v>0</v>
      </c>
      <c r="H35" s="487">
        <f>'Actual Expenses'!F29</f>
        <v>0</v>
      </c>
      <c r="I35" s="487">
        <f>'Actual Expenses'!G29</f>
        <v>0</v>
      </c>
      <c r="J35" s="487">
        <f>'Actual Expenses'!H29</f>
        <v>0</v>
      </c>
      <c r="K35" s="488">
        <f t="shared" si="5"/>
        <v>0</v>
      </c>
      <c r="L35" s="489" t="str">
        <f>IF(Demand_1=NG_Demand,"n/a",'Evaluated Savings'!D12)</f>
        <v>n/a</v>
      </c>
      <c r="M35" s="489">
        <f>'Evaluated Savings'!E12</f>
        <v>0</v>
      </c>
      <c r="N35" s="489">
        <f>'Evaluated Savings'!G12</f>
        <v>0</v>
      </c>
      <c r="O35" s="489">
        <f>'Cost-Benefits'!F13</f>
        <v>0</v>
      </c>
      <c r="P35" s="487">
        <f>'Cost-Benefits'!G13</f>
        <v>0</v>
      </c>
      <c r="Q35" s="487">
        <f>'Cost-Benefits'!H13</f>
        <v>0</v>
      </c>
      <c r="R35" s="487">
        <f>'Cost-Benefits'!I13</f>
        <v>0</v>
      </c>
      <c r="S35" s="490" t="str">
        <f>'Cost-Benefits'!J13</f>
        <v>n/a</v>
      </c>
      <c r="T35" s="491" t="str">
        <f>'Cost-Benefits'!L13</f>
        <v>n/a</v>
      </c>
    </row>
    <row r="36" spans="2:20" x14ac:dyDescent="0.25">
      <c r="B36" s="486" t="str">
        <f t="shared" si="2"/>
        <v>Empty</v>
      </c>
      <c r="C36" s="486" t="str">
        <f t="shared" si="4"/>
        <v/>
      </c>
      <c r="D36" s="486" t="str">
        <f t="shared" si="4"/>
        <v/>
      </c>
      <c r="E36" s="486" t="str">
        <f t="shared" si="4"/>
        <v/>
      </c>
      <c r="F36" s="487">
        <f>'Actual Expenses'!D33</f>
        <v>0</v>
      </c>
      <c r="G36" s="487">
        <f>'Actual Expenses'!E33</f>
        <v>0</v>
      </c>
      <c r="H36" s="487">
        <f>'Actual Expenses'!F33</f>
        <v>0</v>
      </c>
      <c r="I36" s="487">
        <f>'Actual Expenses'!G33</f>
        <v>0</v>
      </c>
      <c r="J36" s="487">
        <f>'Actual Expenses'!H33</f>
        <v>0</v>
      </c>
      <c r="K36" s="488">
        <f t="shared" si="5"/>
        <v>0</v>
      </c>
      <c r="L36" s="489" t="str">
        <f>IF(Demand_1=NG_Demand,"n/a",'Evaluated Savings'!D13)</f>
        <v>n/a</v>
      </c>
      <c r="M36" s="489">
        <f>'Evaluated Savings'!E13</f>
        <v>0</v>
      </c>
      <c r="N36" s="489">
        <f>'Evaluated Savings'!G13</f>
        <v>0</v>
      </c>
      <c r="O36" s="489">
        <f>'Cost-Benefits'!F14</f>
        <v>0</v>
      </c>
      <c r="P36" s="487">
        <f>'Cost-Benefits'!G14</f>
        <v>0</v>
      </c>
      <c r="Q36" s="487">
        <f>'Cost-Benefits'!H14</f>
        <v>0</v>
      </c>
      <c r="R36" s="487">
        <f>'Cost-Benefits'!I14</f>
        <v>0</v>
      </c>
      <c r="S36" s="490" t="str">
        <f>'Cost-Benefits'!J14</f>
        <v>n/a</v>
      </c>
      <c r="T36" s="491" t="str">
        <f>'Cost-Benefits'!L14</f>
        <v>n/a</v>
      </c>
    </row>
    <row r="37" spans="2:20" x14ac:dyDescent="0.25">
      <c r="B37" s="486" t="str">
        <f t="shared" si="2"/>
        <v>Empty</v>
      </c>
      <c r="C37" s="486" t="str">
        <f t="shared" si="4"/>
        <v/>
      </c>
      <c r="D37" s="486" t="str">
        <f t="shared" si="4"/>
        <v/>
      </c>
      <c r="E37" s="486" t="str">
        <f t="shared" si="4"/>
        <v/>
      </c>
      <c r="F37" s="487">
        <f>'Actual Expenses'!D37</f>
        <v>0</v>
      </c>
      <c r="G37" s="487">
        <f>'Actual Expenses'!E37</f>
        <v>0</v>
      </c>
      <c r="H37" s="487">
        <f>'Actual Expenses'!F37</f>
        <v>0</v>
      </c>
      <c r="I37" s="487">
        <f>'Actual Expenses'!G37</f>
        <v>0</v>
      </c>
      <c r="J37" s="487">
        <f>'Actual Expenses'!H37</f>
        <v>0</v>
      </c>
      <c r="K37" s="488">
        <f t="shared" si="5"/>
        <v>0</v>
      </c>
      <c r="L37" s="489" t="str">
        <f>IF(Demand_1=NG_Demand,"n/a",'Evaluated Savings'!D14)</f>
        <v>n/a</v>
      </c>
      <c r="M37" s="489">
        <f>'Evaluated Savings'!E14</f>
        <v>0</v>
      </c>
      <c r="N37" s="489">
        <f>'Evaluated Savings'!G14</f>
        <v>0</v>
      </c>
      <c r="O37" s="489">
        <f>'Cost-Benefits'!F15</f>
        <v>0</v>
      </c>
      <c r="P37" s="487">
        <f>'Cost-Benefits'!G15</f>
        <v>0</v>
      </c>
      <c r="Q37" s="487">
        <f>'Cost-Benefits'!H15</f>
        <v>0</v>
      </c>
      <c r="R37" s="487">
        <f>'Cost-Benefits'!I15</f>
        <v>0</v>
      </c>
      <c r="S37" s="490" t="str">
        <f>'Cost-Benefits'!J15</f>
        <v>n/a</v>
      </c>
      <c r="T37" s="491" t="str">
        <f>'Cost-Benefits'!L15</f>
        <v>n/a</v>
      </c>
    </row>
    <row r="38" spans="2:20" x14ac:dyDescent="0.25">
      <c r="B38" s="486" t="str">
        <f t="shared" si="2"/>
        <v>Empty</v>
      </c>
      <c r="C38" s="486" t="str">
        <f t="shared" si="4"/>
        <v/>
      </c>
      <c r="D38" s="486" t="str">
        <f t="shared" si="4"/>
        <v/>
      </c>
      <c r="E38" s="486" t="str">
        <f t="shared" si="4"/>
        <v/>
      </c>
      <c r="F38" s="487">
        <f>'Actual Expenses'!D41</f>
        <v>0</v>
      </c>
      <c r="G38" s="487">
        <f>'Actual Expenses'!E41</f>
        <v>0</v>
      </c>
      <c r="H38" s="487">
        <f>'Actual Expenses'!F41</f>
        <v>0</v>
      </c>
      <c r="I38" s="487">
        <f>'Actual Expenses'!G41</f>
        <v>0</v>
      </c>
      <c r="J38" s="487">
        <f>'Actual Expenses'!H41</f>
        <v>0</v>
      </c>
      <c r="K38" s="488">
        <f t="shared" si="5"/>
        <v>0</v>
      </c>
      <c r="L38" s="489" t="str">
        <f>IF(Demand_1=NG_Demand,"n/a",'Evaluated Savings'!D15)</f>
        <v>n/a</v>
      </c>
      <c r="M38" s="489">
        <f>'Evaluated Savings'!E15</f>
        <v>0</v>
      </c>
      <c r="N38" s="489">
        <f>'Evaluated Savings'!G15</f>
        <v>0</v>
      </c>
      <c r="O38" s="489">
        <f>'Cost-Benefits'!F16</f>
        <v>0</v>
      </c>
      <c r="P38" s="487">
        <f>'Cost-Benefits'!G16</f>
        <v>0</v>
      </c>
      <c r="Q38" s="487">
        <f>'Cost-Benefits'!H16</f>
        <v>0</v>
      </c>
      <c r="R38" s="487">
        <f>'Cost-Benefits'!I16</f>
        <v>0</v>
      </c>
      <c r="S38" s="490" t="str">
        <f>'Cost-Benefits'!J16</f>
        <v>n/a</v>
      </c>
      <c r="T38" s="491" t="str">
        <f>'Cost-Benefits'!L16</f>
        <v>n/a</v>
      </c>
    </row>
    <row r="39" spans="2:20" x14ac:dyDescent="0.25">
      <c r="B39" s="486" t="str">
        <f t="shared" si="2"/>
        <v>Empty</v>
      </c>
      <c r="C39" s="486" t="str">
        <f t="shared" si="4"/>
        <v/>
      </c>
      <c r="D39" s="486" t="str">
        <f t="shared" si="4"/>
        <v/>
      </c>
      <c r="E39" s="486" t="str">
        <f t="shared" si="4"/>
        <v/>
      </c>
      <c r="F39" s="487">
        <f>'Actual Expenses'!D45</f>
        <v>0</v>
      </c>
      <c r="G39" s="487">
        <f>'Actual Expenses'!E45</f>
        <v>0</v>
      </c>
      <c r="H39" s="487">
        <f>'Actual Expenses'!F45</f>
        <v>0</v>
      </c>
      <c r="I39" s="487">
        <f>'Actual Expenses'!G45</f>
        <v>0</v>
      </c>
      <c r="J39" s="487">
        <f>'Actual Expenses'!H45</f>
        <v>0</v>
      </c>
      <c r="K39" s="488">
        <f t="shared" si="5"/>
        <v>0</v>
      </c>
      <c r="L39" s="489" t="str">
        <f>IF(Demand_1=NG_Demand,"n/a",'Evaluated Savings'!D16)</f>
        <v>n/a</v>
      </c>
      <c r="M39" s="489">
        <f>'Evaluated Savings'!E16</f>
        <v>0</v>
      </c>
      <c r="N39" s="489">
        <f>'Evaluated Savings'!G16</f>
        <v>0</v>
      </c>
      <c r="O39" s="489">
        <f>'Cost-Benefits'!F17</f>
        <v>0</v>
      </c>
      <c r="P39" s="487">
        <f>'Cost-Benefits'!G17</f>
        <v>0</v>
      </c>
      <c r="Q39" s="487">
        <f>'Cost-Benefits'!H17</f>
        <v>0</v>
      </c>
      <c r="R39" s="487">
        <f>'Cost-Benefits'!I17</f>
        <v>0</v>
      </c>
      <c r="S39" s="490" t="str">
        <f>'Cost-Benefits'!J17</f>
        <v>n/a</v>
      </c>
      <c r="T39" s="491" t="str">
        <f>'Cost-Benefits'!L17</f>
        <v>n/a</v>
      </c>
    </row>
    <row r="40" spans="2:20" x14ac:dyDescent="0.25">
      <c r="B40" s="486" t="str">
        <f t="shared" si="2"/>
        <v>Empty</v>
      </c>
      <c r="C40" s="486" t="str">
        <f t="shared" si="4"/>
        <v/>
      </c>
      <c r="D40" s="486" t="str">
        <f t="shared" si="4"/>
        <v/>
      </c>
      <c r="E40" s="486" t="str">
        <f t="shared" si="4"/>
        <v/>
      </c>
      <c r="F40" s="487">
        <f>'Actual Expenses'!D49</f>
        <v>0</v>
      </c>
      <c r="G40" s="487">
        <f>'Actual Expenses'!E49</f>
        <v>0</v>
      </c>
      <c r="H40" s="487">
        <f>'Actual Expenses'!F49</f>
        <v>0</v>
      </c>
      <c r="I40" s="487">
        <f>'Actual Expenses'!G49</f>
        <v>0</v>
      </c>
      <c r="J40" s="487">
        <f>'Actual Expenses'!H49</f>
        <v>0</v>
      </c>
      <c r="K40" s="488">
        <f t="shared" si="5"/>
        <v>0</v>
      </c>
      <c r="L40" s="489" t="str">
        <f>IF(Demand_1=NG_Demand,"n/a",'Evaluated Savings'!D17)</f>
        <v>n/a</v>
      </c>
      <c r="M40" s="489">
        <f>'Evaluated Savings'!E17</f>
        <v>0</v>
      </c>
      <c r="N40" s="489">
        <f>'Evaluated Savings'!G17</f>
        <v>0</v>
      </c>
      <c r="O40" s="489">
        <f>'Cost-Benefits'!F18</f>
        <v>0</v>
      </c>
      <c r="P40" s="487">
        <f>'Cost-Benefits'!G18</f>
        <v>0</v>
      </c>
      <c r="Q40" s="487">
        <f>'Cost-Benefits'!H18</f>
        <v>0</v>
      </c>
      <c r="R40" s="487">
        <f>'Cost-Benefits'!I18</f>
        <v>0</v>
      </c>
      <c r="S40" s="490" t="str">
        <f>'Cost-Benefits'!J18</f>
        <v>n/a</v>
      </c>
      <c r="T40" s="491" t="str">
        <f>'Cost-Benefits'!L18</f>
        <v>n/a</v>
      </c>
    </row>
    <row r="41" spans="2:20" x14ac:dyDescent="0.25">
      <c r="B41" s="486" t="str">
        <f t="shared" si="2"/>
        <v>Empty</v>
      </c>
      <c r="C41" s="486" t="str">
        <f t="shared" si="4"/>
        <v/>
      </c>
      <c r="D41" s="486" t="str">
        <f t="shared" si="4"/>
        <v/>
      </c>
      <c r="E41" s="486" t="str">
        <f t="shared" si="4"/>
        <v/>
      </c>
      <c r="F41" s="487">
        <f>'Actual Expenses'!D53</f>
        <v>0</v>
      </c>
      <c r="G41" s="487">
        <f>'Actual Expenses'!E53</f>
        <v>0</v>
      </c>
      <c r="H41" s="487">
        <f>'Actual Expenses'!F53</f>
        <v>0</v>
      </c>
      <c r="I41" s="487">
        <f>'Actual Expenses'!G53</f>
        <v>0</v>
      </c>
      <c r="J41" s="487">
        <f>'Actual Expenses'!H53</f>
        <v>0</v>
      </c>
      <c r="K41" s="488">
        <f t="shared" si="5"/>
        <v>0</v>
      </c>
      <c r="L41" s="489" t="str">
        <f>IF(Demand_1=NG_Demand,"n/a",'Evaluated Savings'!D18)</f>
        <v>n/a</v>
      </c>
      <c r="M41" s="489">
        <f>'Evaluated Savings'!E18</f>
        <v>0</v>
      </c>
      <c r="N41" s="489">
        <f>'Evaluated Savings'!G18</f>
        <v>0</v>
      </c>
      <c r="O41" s="489">
        <f>'Cost-Benefits'!F19</f>
        <v>0</v>
      </c>
      <c r="P41" s="487">
        <f>'Cost-Benefits'!G19</f>
        <v>0</v>
      </c>
      <c r="Q41" s="487">
        <f>'Cost-Benefits'!H19</f>
        <v>0</v>
      </c>
      <c r="R41" s="487">
        <f>'Cost-Benefits'!I19</f>
        <v>0</v>
      </c>
      <c r="S41" s="490" t="str">
        <f>'Cost-Benefits'!J19</f>
        <v>n/a</v>
      </c>
      <c r="T41" s="491" t="str">
        <f>'Cost-Benefits'!L19</f>
        <v>n/a</v>
      </c>
    </row>
    <row r="42" spans="2:20" x14ac:dyDescent="0.25">
      <c r="B42" s="486" t="str">
        <f t="shared" si="2"/>
        <v>Empty</v>
      </c>
      <c r="C42" s="486" t="str">
        <f t="shared" si="4"/>
        <v/>
      </c>
      <c r="D42" s="486" t="str">
        <f t="shared" si="4"/>
        <v/>
      </c>
      <c r="E42" s="486" t="str">
        <f t="shared" si="4"/>
        <v/>
      </c>
      <c r="F42" s="487">
        <f>'Actual Expenses'!D57</f>
        <v>0</v>
      </c>
      <c r="G42" s="487">
        <f>'Actual Expenses'!E57</f>
        <v>0</v>
      </c>
      <c r="H42" s="487">
        <f>'Actual Expenses'!F57</f>
        <v>0</v>
      </c>
      <c r="I42" s="487">
        <f>'Actual Expenses'!G57</f>
        <v>0</v>
      </c>
      <c r="J42" s="487">
        <f>'Actual Expenses'!H57</f>
        <v>0</v>
      </c>
      <c r="K42" s="488">
        <f t="shared" si="5"/>
        <v>0</v>
      </c>
      <c r="L42" s="489" t="str">
        <f>IF(Demand_1=NG_Demand,"n/a",'Evaluated Savings'!D19)</f>
        <v>n/a</v>
      </c>
      <c r="M42" s="489">
        <f>'Evaluated Savings'!E19</f>
        <v>0</v>
      </c>
      <c r="N42" s="489">
        <f>'Evaluated Savings'!G19</f>
        <v>0</v>
      </c>
      <c r="O42" s="489">
        <f>'Cost-Benefits'!F20</f>
        <v>0</v>
      </c>
      <c r="P42" s="487">
        <f>'Cost-Benefits'!G20</f>
        <v>0</v>
      </c>
      <c r="Q42" s="487">
        <f>'Cost-Benefits'!H20</f>
        <v>0</v>
      </c>
      <c r="R42" s="487">
        <f>'Cost-Benefits'!I20</f>
        <v>0</v>
      </c>
      <c r="S42" s="490" t="str">
        <f>'Cost-Benefits'!J20</f>
        <v>n/a</v>
      </c>
      <c r="T42" s="491" t="str">
        <f>'Cost-Benefits'!L20</f>
        <v>n/a</v>
      </c>
    </row>
    <row r="43" spans="2:20" x14ac:dyDescent="0.25">
      <c r="B43" s="486" t="str">
        <f t="shared" si="2"/>
        <v>Empty</v>
      </c>
      <c r="C43" s="486" t="str">
        <f t="shared" si="4"/>
        <v/>
      </c>
      <c r="D43" s="486" t="str">
        <f t="shared" si="4"/>
        <v/>
      </c>
      <c r="E43" s="486" t="str">
        <f t="shared" si="4"/>
        <v/>
      </c>
      <c r="F43" s="487">
        <f>'Actual Expenses'!D61</f>
        <v>0</v>
      </c>
      <c r="G43" s="487">
        <f>'Actual Expenses'!E61</f>
        <v>0</v>
      </c>
      <c r="H43" s="487">
        <f>'Actual Expenses'!F61</f>
        <v>0</v>
      </c>
      <c r="I43" s="487">
        <f>'Actual Expenses'!G61</f>
        <v>0</v>
      </c>
      <c r="J43" s="487">
        <f>'Actual Expenses'!H61</f>
        <v>0</v>
      </c>
      <c r="K43" s="488">
        <f t="shared" si="5"/>
        <v>0</v>
      </c>
      <c r="L43" s="489" t="str">
        <f>IF(Demand_1=NG_Demand,"n/a",'Evaluated Savings'!D20)</f>
        <v>n/a</v>
      </c>
      <c r="M43" s="489">
        <f>'Evaluated Savings'!E20</f>
        <v>0</v>
      </c>
      <c r="N43" s="489">
        <f>'Evaluated Savings'!G20</f>
        <v>0</v>
      </c>
      <c r="O43" s="489">
        <f>'Cost-Benefits'!F21</f>
        <v>0</v>
      </c>
      <c r="P43" s="487">
        <f>'Cost-Benefits'!G21</f>
        <v>0</v>
      </c>
      <c r="Q43" s="487">
        <f>'Cost-Benefits'!H21</f>
        <v>0</v>
      </c>
      <c r="R43" s="487">
        <f>'Cost-Benefits'!I21</f>
        <v>0</v>
      </c>
      <c r="S43" s="490" t="str">
        <f>'Cost-Benefits'!J21</f>
        <v>n/a</v>
      </c>
      <c r="T43" s="491" t="str">
        <f>'Cost-Benefits'!L21</f>
        <v>n/a</v>
      </c>
    </row>
    <row r="44" spans="2:20" x14ac:dyDescent="0.25">
      <c r="B44" s="486" t="str">
        <f t="shared" si="2"/>
        <v>Empty</v>
      </c>
      <c r="C44" s="486" t="str">
        <f t="shared" si="4"/>
        <v/>
      </c>
      <c r="D44" s="486" t="str">
        <f t="shared" si="4"/>
        <v/>
      </c>
      <c r="E44" s="486" t="str">
        <f t="shared" si="4"/>
        <v/>
      </c>
      <c r="F44" s="487">
        <f>'Actual Expenses'!D65</f>
        <v>0</v>
      </c>
      <c r="G44" s="487">
        <f>'Actual Expenses'!E65</f>
        <v>0</v>
      </c>
      <c r="H44" s="487">
        <f>'Actual Expenses'!F65</f>
        <v>0</v>
      </c>
      <c r="I44" s="487">
        <f>'Actual Expenses'!G65</f>
        <v>0</v>
      </c>
      <c r="J44" s="487">
        <f>'Actual Expenses'!H65</f>
        <v>0</v>
      </c>
      <c r="K44" s="488">
        <f t="shared" si="5"/>
        <v>0</v>
      </c>
      <c r="L44" s="489" t="str">
        <f>IF(Demand_1=NG_Demand,"n/a",'Evaluated Savings'!D21)</f>
        <v>n/a</v>
      </c>
      <c r="M44" s="489">
        <f>'Evaluated Savings'!E21</f>
        <v>0</v>
      </c>
      <c r="N44" s="489">
        <f>'Evaluated Savings'!G21</f>
        <v>0</v>
      </c>
      <c r="O44" s="489">
        <f>'Cost-Benefits'!F22</f>
        <v>0</v>
      </c>
      <c r="P44" s="487">
        <f>'Cost-Benefits'!G22</f>
        <v>0</v>
      </c>
      <c r="Q44" s="487">
        <f>'Cost-Benefits'!H22</f>
        <v>0</v>
      </c>
      <c r="R44" s="487">
        <f>'Cost-Benefits'!I22</f>
        <v>0</v>
      </c>
      <c r="S44" s="490" t="str">
        <f>'Cost-Benefits'!J22</f>
        <v>n/a</v>
      </c>
      <c r="T44" s="491" t="str">
        <f>'Cost-Benefits'!L22</f>
        <v>n/a</v>
      </c>
    </row>
    <row r="45" spans="2:20" x14ac:dyDescent="0.25">
      <c r="B45" s="486" t="str">
        <f t="shared" si="2"/>
        <v>Empty</v>
      </c>
      <c r="C45" s="486" t="str">
        <f t="shared" si="4"/>
        <v/>
      </c>
      <c r="D45" s="486" t="str">
        <f t="shared" si="4"/>
        <v/>
      </c>
      <c r="E45" s="486" t="str">
        <f t="shared" si="4"/>
        <v/>
      </c>
      <c r="F45" s="487">
        <f>'Actual Expenses'!D69</f>
        <v>0</v>
      </c>
      <c r="G45" s="487">
        <f>'Actual Expenses'!E69</f>
        <v>0</v>
      </c>
      <c r="H45" s="487">
        <f>'Actual Expenses'!F69</f>
        <v>0</v>
      </c>
      <c r="I45" s="487">
        <f>'Actual Expenses'!G69</f>
        <v>0</v>
      </c>
      <c r="J45" s="487">
        <f>'Actual Expenses'!H69</f>
        <v>0</v>
      </c>
      <c r="K45" s="488">
        <f t="shared" si="5"/>
        <v>0</v>
      </c>
      <c r="L45" s="489" t="str">
        <f>IF(Demand_1=NG_Demand,"n/a",'Evaluated Savings'!D22)</f>
        <v>n/a</v>
      </c>
      <c r="M45" s="489">
        <f>'Evaluated Savings'!E22</f>
        <v>0</v>
      </c>
      <c r="N45" s="489">
        <f>'Evaluated Savings'!G22</f>
        <v>0</v>
      </c>
      <c r="O45" s="489">
        <f>'Cost-Benefits'!F23</f>
        <v>0</v>
      </c>
      <c r="P45" s="487">
        <f>'Cost-Benefits'!G23</f>
        <v>0</v>
      </c>
      <c r="Q45" s="487">
        <f>'Cost-Benefits'!H23</f>
        <v>0</v>
      </c>
      <c r="R45" s="487">
        <f>'Cost-Benefits'!I23</f>
        <v>0</v>
      </c>
      <c r="S45" s="490" t="str">
        <f>'Cost-Benefits'!J23</f>
        <v>n/a</v>
      </c>
      <c r="T45" s="491" t="str">
        <f>'Cost-Benefits'!L23</f>
        <v>n/a</v>
      </c>
    </row>
    <row r="46" spans="2:20" ht="12.75" customHeight="1" x14ac:dyDescent="0.25">
      <c r="B46" s="486" t="str">
        <f t="shared" si="2"/>
        <v>Empty</v>
      </c>
      <c r="C46" s="486" t="str">
        <f t="shared" si="4"/>
        <v/>
      </c>
      <c r="D46" s="486" t="str">
        <f t="shared" si="4"/>
        <v/>
      </c>
      <c r="E46" s="486" t="str">
        <f t="shared" si="4"/>
        <v/>
      </c>
      <c r="F46" s="487">
        <f>'Actual Expenses'!D73</f>
        <v>0</v>
      </c>
      <c r="G46" s="487">
        <f>'Actual Expenses'!E73</f>
        <v>0</v>
      </c>
      <c r="H46" s="487">
        <f>'Actual Expenses'!F73</f>
        <v>0</v>
      </c>
      <c r="I46" s="487">
        <f>'Actual Expenses'!G73</f>
        <v>0</v>
      </c>
      <c r="J46" s="487">
        <f>'Actual Expenses'!H73</f>
        <v>0</v>
      </c>
      <c r="K46" s="488">
        <f t="shared" si="5"/>
        <v>0</v>
      </c>
      <c r="L46" s="489" t="str">
        <f>IF(Demand_1=NG_Demand,"n/a",'Evaluated Savings'!D23)</f>
        <v>n/a</v>
      </c>
      <c r="M46" s="489">
        <f>'Evaluated Savings'!E23</f>
        <v>0</v>
      </c>
      <c r="N46" s="489">
        <f>'Evaluated Savings'!G23</f>
        <v>0</v>
      </c>
      <c r="O46" s="489">
        <f>'Cost-Benefits'!F24</f>
        <v>0</v>
      </c>
      <c r="P46" s="487">
        <f>'Cost-Benefits'!G24</f>
        <v>0</v>
      </c>
      <c r="Q46" s="487">
        <f>'Cost-Benefits'!H24</f>
        <v>0</v>
      </c>
      <c r="R46" s="487">
        <f>'Cost-Benefits'!I24</f>
        <v>0</v>
      </c>
      <c r="S46" s="490" t="str">
        <f>'Cost-Benefits'!J24</f>
        <v>n/a</v>
      </c>
      <c r="T46" s="491" t="str">
        <f>'Cost-Benefits'!L24</f>
        <v>n/a</v>
      </c>
    </row>
    <row r="47" spans="2:20" ht="12.75" customHeight="1" x14ac:dyDescent="0.25">
      <c r="B47" s="486" t="str">
        <f t="shared" si="2"/>
        <v>Empty</v>
      </c>
      <c r="C47" s="486" t="str">
        <f t="shared" si="4"/>
        <v/>
      </c>
      <c r="D47" s="486" t="str">
        <f t="shared" si="4"/>
        <v/>
      </c>
      <c r="E47" s="486" t="str">
        <f t="shared" si="4"/>
        <v/>
      </c>
      <c r="F47" s="487">
        <f>'Actual Expenses'!D77</f>
        <v>0</v>
      </c>
      <c r="G47" s="487">
        <f>'Actual Expenses'!E77</f>
        <v>0</v>
      </c>
      <c r="H47" s="487">
        <f>'Actual Expenses'!F77</f>
        <v>0</v>
      </c>
      <c r="I47" s="487">
        <f>'Actual Expenses'!G77</f>
        <v>0</v>
      </c>
      <c r="J47" s="487">
        <f>'Actual Expenses'!H77</f>
        <v>0</v>
      </c>
      <c r="K47" s="488">
        <f t="shared" si="5"/>
        <v>0</v>
      </c>
      <c r="L47" s="489" t="str">
        <f>IF(Demand_1=NG_Demand,"n/a",'Evaluated Savings'!D24)</f>
        <v>n/a</v>
      </c>
      <c r="M47" s="489">
        <f>'Evaluated Savings'!E24</f>
        <v>0</v>
      </c>
      <c r="N47" s="489">
        <f>'Evaluated Savings'!G24</f>
        <v>0</v>
      </c>
      <c r="O47" s="489">
        <f>'Cost-Benefits'!F25</f>
        <v>0</v>
      </c>
      <c r="P47" s="487">
        <f>'Cost-Benefits'!G25</f>
        <v>0</v>
      </c>
      <c r="Q47" s="487">
        <f>'Cost-Benefits'!H25</f>
        <v>0</v>
      </c>
      <c r="R47" s="487">
        <f>'Cost-Benefits'!I25</f>
        <v>0</v>
      </c>
      <c r="S47" s="490" t="str">
        <f>'Cost-Benefits'!J25</f>
        <v>n/a</v>
      </c>
      <c r="T47" s="491" t="str">
        <f>'Cost-Benefits'!L25</f>
        <v>n/a</v>
      </c>
    </row>
    <row r="48" spans="2:20" x14ac:dyDescent="0.25">
      <c r="B48" s="486" t="str">
        <f t="shared" si="2"/>
        <v>Empty</v>
      </c>
      <c r="C48" s="486" t="str">
        <f t="shared" si="4"/>
        <v/>
      </c>
      <c r="D48" s="486" t="str">
        <f t="shared" si="4"/>
        <v/>
      </c>
      <c r="E48" s="486" t="str">
        <f t="shared" si="4"/>
        <v/>
      </c>
      <c r="F48" s="487">
        <f>'Actual Expenses'!D81</f>
        <v>0</v>
      </c>
      <c r="G48" s="487">
        <f>'Actual Expenses'!E81</f>
        <v>0</v>
      </c>
      <c r="H48" s="487">
        <f>'Actual Expenses'!F81</f>
        <v>0</v>
      </c>
      <c r="I48" s="487">
        <f>'Actual Expenses'!G81</f>
        <v>0</v>
      </c>
      <c r="J48" s="487">
        <f>'Actual Expenses'!H81</f>
        <v>0</v>
      </c>
      <c r="K48" s="488">
        <f t="shared" si="5"/>
        <v>0</v>
      </c>
      <c r="L48" s="489" t="str">
        <f>IF(Demand_1=NG_Demand,"n/a",'Evaluated Savings'!D25)</f>
        <v>n/a</v>
      </c>
      <c r="M48" s="489">
        <f>'Evaluated Savings'!E25</f>
        <v>0</v>
      </c>
      <c r="N48" s="489">
        <f>'Evaluated Savings'!G25</f>
        <v>0</v>
      </c>
      <c r="O48" s="489">
        <f>'Cost-Benefits'!F26</f>
        <v>0</v>
      </c>
      <c r="P48" s="487">
        <f>'Cost-Benefits'!G26</f>
        <v>0</v>
      </c>
      <c r="Q48" s="487">
        <f>'Cost-Benefits'!H26</f>
        <v>0</v>
      </c>
      <c r="R48" s="487">
        <f>'Cost-Benefits'!I26</f>
        <v>0</v>
      </c>
      <c r="S48" s="490" t="str">
        <f>'Cost-Benefits'!J26</f>
        <v>n/a</v>
      </c>
      <c r="T48" s="491" t="str">
        <f>'Cost-Benefits'!L26</f>
        <v>n/a</v>
      </c>
    </row>
    <row r="49" spans="2:20" x14ac:dyDescent="0.25">
      <c r="B49" s="271" t="str">
        <f t="shared" si="2"/>
        <v>Regulatory</v>
      </c>
      <c r="C49" s="541" t="str">
        <f>C24</f>
        <v>-</v>
      </c>
      <c r="D49" s="541" t="str">
        <f t="shared" ref="D49:E49" si="6">D24</f>
        <v>-</v>
      </c>
      <c r="E49" s="541" t="str">
        <f t="shared" si="6"/>
        <v>-</v>
      </c>
      <c r="F49" s="487"/>
      <c r="G49" s="487"/>
      <c r="H49" s="487"/>
      <c r="I49" s="487"/>
      <c r="J49" s="487"/>
      <c r="K49" s="488">
        <f>'Actual Expenses'!I91</f>
        <v>9751.39</v>
      </c>
      <c r="L49" s="489"/>
      <c r="M49" s="489"/>
      <c r="N49" s="489"/>
      <c r="O49" s="489"/>
      <c r="P49" s="487"/>
      <c r="Q49" s="487"/>
      <c r="R49" s="487"/>
      <c r="S49" s="490"/>
      <c r="T49" s="491"/>
    </row>
    <row r="50" spans="2:20" x14ac:dyDescent="0.25">
      <c r="F50" s="487">
        <f>SUM(F29:F48)</f>
        <v>0</v>
      </c>
      <c r="G50" s="487">
        <f t="shared" ref="G50:T50" si="7">SUM(G29:G48)</f>
        <v>1708587.39</v>
      </c>
      <c r="H50" s="487">
        <f t="shared" si="7"/>
        <v>1996689.0899999999</v>
      </c>
      <c r="I50" s="487">
        <f t="shared" si="7"/>
        <v>189790.47999999998</v>
      </c>
      <c r="J50" s="487">
        <f t="shared" si="7"/>
        <v>56806.539999999994</v>
      </c>
      <c r="K50" s="488">
        <f>SUM(K29:K49)</f>
        <v>3961624.89</v>
      </c>
      <c r="L50" s="489">
        <f t="shared" si="7"/>
        <v>0</v>
      </c>
      <c r="M50" s="489">
        <f t="shared" si="7"/>
        <v>1350413</v>
      </c>
      <c r="N50" s="489">
        <f t="shared" si="7"/>
        <v>2525</v>
      </c>
      <c r="O50" s="489">
        <f t="shared" si="7"/>
        <v>18922657.076722585</v>
      </c>
      <c r="P50" s="487">
        <f t="shared" si="7"/>
        <v>4843.1819697433002</v>
      </c>
      <c r="Q50" s="487">
        <f t="shared" si="7"/>
        <v>8609.1004854380972</v>
      </c>
      <c r="R50" s="487">
        <f t="shared" si="7"/>
        <v>3765.9185156947965</v>
      </c>
      <c r="S50" s="490">
        <f t="shared" si="7"/>
        <v>5.1213653441880673</v>
      </c>
      <c r="T50" s="491">
        <f t="shared" si="7"/>
        <v>1.0548769650428178</v>
      </c>
    </row>
    <row r="53" spans="2:20" ht="13" x14ac:dyDescent="0.3">
      <c r="B53" s="92" t="s">
        <v>574</v>
      </c>
      <c r="C53" s="694" t="s">
        <v>39</v>
      </c>
      <c r="D53" s="695"/>
      <c r="E53" s="695"/>
      <c r="F53" s="696"/>
      <c r="G53" s="694" t="s">
        <v>575</v>
      </c>
      <c r="H53" s="695"/>
      <c r="I53" s="695"/>
      <c r="J53" s="696"/>
      <c r="K53" s="694" t="s">
        <v>576</v>
      </c>
      <c r="L53" s="695"/>
      <c r="M53" s="695"/>
      <c r="N53" s="696"/>
      <c r="O53" s="694" t="s">
        <v>163</v>
      </c>
      <c r="P53" s="695"/>
      <c r="Q53" s="695"/>
      <c r="R53" s="696"/>
    </row>
    <row r="54" spans="2:20" ht="13" x14ac:dyDescent="0.3">
      <c r="B54" s="484" t="str">
        <f t="shared" ref="B54:B74" si="8">B3</f>
        <v>Program Name</v>
      </c>
      <c r="C54" s="485" t="s">
        <v>329</v>
      </c>
      <c r="D54" s="485" t="s">
        <v>330</v>
      </c>
      <c r="E54" s="485" t="s">
        <v>577</v>
      </c>
      <c r="F54" s="485" t="s">
        <v>330</v>
      </c>
      <c r="G54" s="485" t="s">
        <v>331</v>
      </c>
      <c r="H54" s="485" t="s">
        <v>332</v>
      </c>
      <c r="I54" s="485" t="s">
        <v>331</v>
      </c>
      <c r="J54" s="485" t="s">
        <v>332</v>
      </c>
      <c r="K54" s="485" t="s">
        <v>331</v>
      </c>
      <c r="L54" s="485" t="s">
        <v>332</v>
      </c>
      <c r="M54" s="485" t="s">
        <v>331</v>
      </c>
      <c r="N54" s="485" t="s">
        <v>332</v>
      </c>
      <c r="O54" s="485" t="s">
        <v>331</v>
      </c>
      <c r="P54" s="485" t="s">
        <v>332</v>
      </c>
      <c r="Q54" s="485" t="s">
        <v>331</v>
      </c>
      <c r="R54" s="485" t="s">
        <v>332</v>
      </c>
    </row>
    <row r="55" spans="2:20" x14ac:dyDescent="0.25">
      <c r="B55" s="486" t="str">
        <f t="shared" si="8"/>
        <v>Commercial &amp; Industrial Solutions Program</v>
      </c>
      <c r="C55" s="487">
        <f>'Prior Year Progam'!F9</f>
        <v>1634488</v>
      </c>
      <c r="D55" s="487">
        <f>'Prior Year Progam'!G9</f>
        <v>1634488.2599999998</v>
      </c>
      <c r="E55" s="487">
        <f>'Prior Year Progam'!H9</f>
        <v>1552279</v>
      </c>
      <c r="F55" s="487">
        <f>'Prior Year Progam'!I9</f>
        <v>1674089.2699999998</v>
      </c>
      <c r="G55" s="489">
        <f>'Prior Year Progam'!K9</f>
        <v>629741</v>
      </c>
      <c r="H55" s="489">
        <f>'Prior Year Progam'!L9</f>
        <v>723540.33585622755</v>
      </c>
      <c r="I55" s="489">
        <f>'Prior Year Progam'!M9</f>
        <v>723540</v>
      </c>
      <c r="J55" s="489">
        <f>'Prior Year Progam'!N9</f>
        <v>792445</v>
      </c>
      <c r="K55" s="489" t="str">
        <f>IF(Demand_1=NG_Demand,"n/a",'Prior Year Progam'!P9)</f>
        <v>n/a</v>
      </c>
      <c r="L55" s="489" t="str">
        <f>IF(Demand_1=NG_Demand,"n/a",'Prior Year Progam'!Q9)</f>
        <v>n/a</v>
      </c>
      <c r="M55" s="489" t="str">
        <f>IF(Demand_1=NG_Demand,"n/a",'Prior Year Progam'!R9)</f>
        <v>n/a</v>
      </c>
      <c r="N55" s="489" t="str">
        <f>IF(Demand_1=NG_Demand,"n/a",'Prior Year Progam'!S9)</f>
        <v>n/a</v>
      </c>
      <c r="O55" s="489">
        <f>'Prior Year Progam'!U9</f>
        <v>1569</v>
      </c>
      <c r="P55" s="489">
        <f>'Prior Year Progam'!V9</f>
        <v>58</v>
      </c>
      <c r="Q55" s="489">
        <f>'Prior Year Progam'!W9</f>
        <v>1569</v>
      </c>
      <c r="R55" s="489">
        <f>'Prior Year Progam'!X9</f>
        <v>1569</v>
      </c>
    </row>
    <row r="56" spans="2:20" x14ac:dyDescent="0.25">
      <c r="B56" s="486" t="str">
        <f t="shared" si="8"/>
        <v>Energy Efficiency Arkansas</v>
      </c>
      <c r="C56" s="487">
        <f>'Prior Year Progam'!F10</f>
        <v>56317</v>
      </c>
      <c r="D56" s="487">
        <f>'Prior Year Progam'!G10</f>
        <v>55879.33</v>
      </c>
      <c r="E56" s="487">
        <f>'Prior Year Progam'!H10</f>
        <v>56317</v>
      </c>
      <c r="F56" s="487">
        <f>'Prior Year Progam'!I10</f>
        <v>600</v>
      </c>
      <c r="G56" s="489">
        <f>'Prior Year Progam'!K10</f>
        <v>0</v>
      </c>
      <c r="H56" s="489">
        <f>'Prior Year Progam'!L10</f>
        <v>0</v>
      </c>
      <c r="I56" s="489">
        <f>'Prior Year Progam'!M10</f>
        <v>0</v>
      </c>
      <c r="J56" s="489">
        <f>'Prior Year Progam'!N10</f>
        <v>0</v>
      </c>
      <c r="K56" s="489" t="str">
        <f>IF(Demand_1=NG_Demand,"n/a",'Prior Year Progam'!P10)</f>
        <v>n/a</v>
      </c>
      <c r="L56" s="489" t="str">
        <f>IF(Demand_1=NG_Demand,"n/a",'Prior Year Progam'!Q10)</f>
        <v>n/a</v>
      </c>
      <c r="M56" s="489" t="str">
        <f>IF(Demand_1=NG_Demand,"n/a",'Prior Year Progam'!R10)</f>
        <v>n/a</v>
      </c>
      <c r="N56" s="489" t="str">
        <f>IF(Demand_1=NG_Demand,"n/a",'Prior Year Progam'!S10)</f>
        <v>n/a</v>
      </c>
      <c r="O56" s="489">
        <f>'Prior Year Progam'!U10</f>
        <v>0</v>
      </c>
      <c r="P56" s="489">
        <f>'Prior Year Progam'!V10</f>
        <v>0</v>
      </c>
      <c r="Q56" s="489">
        <f>'Prior Year Progam'!W10</f>
        <v>0</v>
      </c>
      <c r="R56" s="489">
        <f>'Prior Year Progam'!X10</f>
        <v>0</v>
      </c>
    </row>
    <row r="57" spans="2:20" x14ac:dyDescent="0.25">
      <c r="B57" s="486" t="str">
        <f t="shared" si="8"/>
        <v>Residential Solution Program</v>
      </c>
      <c r="C57" s="487">
        <f>'Prior Year Progam'!F11</f>
        <v>2728081</v>
      </c>
      <c r="D57" s="487">
        <f>'Prior Year Progam'!G11</f>
        <v>2715499.1999999997</v>
      </c>
      <c r="E57" s="487">
        <f>'Prior Year Progam'!H11</f>
        <v>2699719</v>
      </c>
      <c r="F57" s="487">
        <f>'Prior Year Progam'!I11</f>
        <v>2688538.1900000004</v>
      </c>
      <c r="G57" s="489">
        <f>'Prior Year Progam'!K11</f>
        <v>681204</v>
      </c>
      <c r="H57" s="489">
        <f>'Prior Year Progam'!L11</f>
        <v>755138.53330341901</v>
      </c>
      <c r="I57" s="489">
        <f>'Prior Year Progam'!M11</f>
        <v>755139</v>
      </c>
      <c r="J57" s="489">
        <f>'Prior Year Progam'!N11</f>
        <v>726434</v>
      </c>
      <c r="K57" s="489" t="str">
        <f>IF(Demand_1=NG_Demand,"n/a",'Prior Year Progam'!P11)</f>
        <v>n/a</v>
      </c>
      <c r="L57" s="489" t="str">
        <f>IF(Demand_1=NG_Demand,"n/a",'Prior Year Progam'!Q11)</f>
        <v>n/a</v>
      </c>
      <c r="M57" s="489" t="str">
        <f>IF(Demand_1=NG_Demand,"n/a",'Prior Year Progam'!R11)</f>
        <v>n/a</v>
      </c>
      <c r="N57" s="489" t="str">
        <f>IF(Demand_1=NG_Demand,"n/a",'Prior Year Progam'!S11)</f>
        <v>n/a</v>
      </c>
      <c r="O57" s="489">
        <f>'Prior Year Progam'!U11</f>
        <v>4834</v>
      </c>
      <c r="P57" s="489">
        <f>'Prior Year Progam'!V11</f>
        <v>4909</v>
      </c>
      <c r="Q57" s="489">
        <f>'Prior Year Progam'!W11</f>
        <v>4834</v>
      </c>
      <c r="R57" s="489">
        <f>'Prior Year Progam'!X11</f>
        <v>4834</v>
      </c>
    </row>
    <row r="58" spans="2:20" x14ac:dyDescent="0.25">
      <c r="B58" s="486" t="str">
        <f t="shared" si="8"/>
        <v>Income Qualified Program</v>
      </c>
      <c r="C58" s="487">
        <f>'Prior Year Progam'!F12</f>
        <v>102239</v>
      </c>
      <c r="D58" s="487">
        <f>'Prior Year Progam'!G12</f>
        <v>101081.69999999998</v>
      </c>
      <c r="E58" s="487">
        <f>'Prior Year Progam'!H12</f>
        <v>87959</v>
      </c>
      <c r="F58" s="487">
        <f>'Prior Year Progam'!I12</f>
        <v>86236.41</v>
      </c>
      <c r="G58" s="489">
        <f>'Prior Year Progam'!K12</f>
        <v>19596</v>
      </c>
      <c r="H58" s="489">
        <f>'Prior Year Progam'!L12</f>
        <v>31697.880112947692</v>
      </c>
      <c r="I58" s="489">
        <f>'Prior Year Progam'!M12</f>
        <v>31698</v>
      </c>
      <c r="J58" s="489">
        <f>'Prior Year Progam'!N12</f>
        <v>24150</v>
      </c>
      <c r="K58" s="489" t="str">
        <f>IF(Demand_1=NG_Demand,"n/a",'Prior Year Progam'!P12)</f>
        <v>n/a</v>
      </c>
      <c r="L58" s="489" t="str">
        <f>IF(Demand_1=NG_Demand,"n/a",'Prior Year Progam'!Q12)</f>
        <v>n/a</v>
      </c>
      <c r="M58" s="489" t="str">
        <f>IF(Demand_1=NG_Demand,"n/a",'Prior Year Progam'!R12)</f>
        <v>n/a</v>
      </c>
      <c r="N58" s="489" t="str">
        <f>IF(Demand_1=NG_Demand,"n/a",'Prior Year Progam'!S12)</f>
        <v>n/a</v>
      </c>
      <c r="O58" s="489">
        <f>'Prior Year Progam'!U12</f>
        <v>123</v>
      </c>
      <c r="P58" s="489">
        <f>'Prior Year Progam'!V12</f>
        <v>399</v>
      </c>
      <c r="Q58" s="489">
        <f>'Prior Year Progam'!W12</f>
        <v>123</v>
      </c>
      <c r="R58" s="489">
        <f>'Prior Year Progam'!X12</f>
        <v>123</v>
      </c>
    </row>
    <row r="59" spans="2:20" x14ac:dyDescent="0.25">
      <c r="B59" s="486" t="str">
        <f t="shared" si="8"/>
        <v>Empty</v>
      </c>
      <c r="C59" s="487">
        <f>'Prior Year Progam'!F13</f>
        <v>0</v>
      </c>
      <c r="D59" s="487">
        <f>'Prior Year Progam'!G13</f>
        <v>0</v>
      </c>
      <c r="E59" s="487">
        <f>'Prior Year Progam'!H13</f>
        <v>0</v>
      </c>
      <c r="F59" s="487">
        <f>'Prior Year Progam'!I13</f>
        <v>0</v>
      </c>
      <c r="G59" s="489">
        <f>'Prior Year Progam'!K13</f>
        <v>0</v>
      </c>
      <c r="H59" s="489">
        <f>'Prior Year Progam'!L13</f>
        <v>0</v>
      </c>
      <c r="I59" s="489">
        <f>'Prior Year Progam'!M13</f>
        <v>0</v>
      </c>
      <c r="J59" s="489">
        <f>'Prior Year Progam'!N13</f>
        <v>0</v>
      </c>
      <c r="K59" s="489" t="str">
        <f>IF(Demand_1=NG_Demand,"n/a",'Prior Year Progam'!P13)</f>
        <v>n/a</v>
      </c>
      <c r="L59" s="489" t="str">
        <f>IF(Demand_1=NG_Demand,"n/a",'Prior Year Progam'!Q13)</f>
        <v>n/a</v>
      </c>
      <c r="M59" s="489" t="str">
        <f>IF(Demand_1=NG_Demand,"n/a",'Prior Year Progam'!R13)</f>
        <v>n/a</v>
      </c>
      <c r="N59" s="489" t="str">
        <f>IF(Demand_1=NG_Demand,"n/a",'Prior Year Progam'!S13)</f>
        <v>n/a</v>
      </c>
      <c r="O59" s="489">
        <f>'Prior Year Progam'!U13</f>
        <v>0</v>
      </c>
      <c r="P59" s="489">
        <f>'Prior Year Progam'!V13</f>
        <v>0</v>
      </c>
      <c r="Q59" s="489">
        <f>'Prior Year Progam'!W13</f>
        <v>0</v>
      </c>
      <c r="R59" s="489">
        <f>'Prior Year Progam'!X13</f>
        <v>0</v>
      </c>
    </row>
    <row r="60" spans="2:20" x14ac:dyDescent="0.25">
      <c r="B60" s="486" t="str">
        <f t="shared" si="8"/>
        <v>Empty</v>
      </c>
      <c r="C60" s="487">
        <f>'Prior Year Progam'!F14</f>
        <v>0</v>
      </c>
      <c r="D60" s="487">
        <f>'Prior Year Progam'!G14</f>
        <v>0</v>
      </c>
      <c r="E60" s="487">
        <f>'Prior Year Progam'!H14</f>
        <v>0</v>
      </c>
      <c r="F60" s="487">
        <f>'Prior Year Progam'!I14</f>
        <v>0</v>
      </c>
      <c r="G60" s="489">
        <f>'Prior Year Progam'!K14</f>
        <v>0</v>
      </c>
      <c r="H60" s="489">
        <f>'Prior Year Progam'!L14</f>
        <v>0</v>
      </c>
      <c r="I60" s="489">
        <f>'Prior Year Progam'!M14</f>
        <v>0</v>
      </c>
      <c r="J60" s="489">
        <f>'Prior Year Progam'!N14</f>
        <v>0</v>
      </c>
      <c r="K60" s="489" t="str">
        <f>IF(Demand_1=NG_Demand,"n/a",'Prior Year Progam'!P14)</f>
        <v>n/a</v>
      </c>
      <c r="L60" s="489" t="str">
        <f>IF(Demand_1=NG_Demand,"n/a",'Prior Year Progam'!Q14)</f>
        <v>n/a</v>
      </c>
      <c r="M60" s="489" t="str">
        <f>IF(Demand_1=NG_Demand,"n/a",'Prior Year Progam'!R14)</f>
        <v>n/a</v>
      </c>
      <c r="N60" s="489" t="str">
        <f>IF(Demand_1=NG_Demand,"n/a",'Prior Year Progam'!S14)</f>
        <v>n/a</v>
      </c>
      <c r="O60" s="489">
        <f>'Prior Year Progam'!U14</f>
        <v>0</v>
      </c>
      <c r="P60" s="489">
        <f>'Prior Year Progam'!V14</f>
        <v>0</v>
      </c>
      <c r="Q60" s="489">
        <f>'Prior Year Progam'!W14</f>
        <v>0</v>
      </c>
      <c r="R60" s="489">
        <f>'Prior Year Progam'!X14</f>
        <v>0</v>
      </c>
    </row>
    <row r="61" spans="2:20" x14ac:dyDescent="0.25">
      <c r="B61" s="486" t="str">
        <f t="shared" si="8"/>
        <v>Empty</v>
      </c>
      <c r="C61" s="487">
        <f>'Prior Year Progam'!F15</f>
        <v>0</v>
      </c>
      <c r="D61" s="487">
        <f>'Prior Year Progam'!G15</f>
        <v>0</v>
      </c>
      <c r="E61" s="487">
        <f>'Prior Year Progam'!H15</f>
        <v>0</v>
      </c>
      <c r="F61" s="487">
        <f>'Prior Year Progam'!I15</f>
        <v>0</v>
      </c>
      <c r="G61" s="489">
        <f>'Prior Year Progam'!K15</f>
        <v>0</v>
      </c>
      <c r="H61" s="489">
        <f>'Prior Year Progam'!L15</f>
        <v>0</v>
      </c>
      <c r="I61" s="489">
        <f>'Prior Year Progam'!M15</f>
        <v>0</v>
      </c>
      <c r="J61" s="489">
        <f>'Prior Year Progam'!N15</f>
        <v>0</v>
      </c>
      <c r="K61" s="489" t="str">
        <f>IF(Demand_1=NG_Demand,"n/a",'Prior Year Progam'!P15)</f>
        <v>n/a</v>
      </c>
      <c r="L61" s="489" t="str">
        <f>IF(Demand_1=NG_Demand,"n/a",'Prior Year Progam'!Q15)</f>
        <v>n/a</v>
      </c>
      <c r="M61" s="489" t="str">
        <f>IF(Demand_1=NG_Demand,"n/a",'Prior Year Progam'!R15)</f>
        <v>n/a</v>
      </c>
      <c r="N61" s="489" t="str">
        <f>IF(Demand_1=NG_Demand,"n/a",'Prior Year Progam'!S15)</f>
        <v>n/a</v>
      </c>
      <c r="O61" s="489">
        <f>'Prior Year Progam'!U15</f>
        <v>0</v>
      </c>
      <c r="P61" s="489">
        <f>'Prior Year Progam'!V15</f>
        <v>0</v>
      </c>
      <c r="Q61" s="489">
        <f>'Prior Year Progam'!W15</f>
        <v>0</v>
      </c>
      <c r="R61" s="489">
        <f>'Prior Year Progam'!X15</f>
        <v>0</v>
      </c>
    </row>
    <row r="62" spans="2:20" x14ac:dyDescent="0.25">
      <c r="B62" s="486" t="str">
        <f t="shared" si="8"/>
        <v>Empty</v>
      </c>
      <c r="C62" s="487">
        <f>'Prior Year Progam'!F16</f>
        <v>0</v>
      </c>
      <c r="D62" s="487">
        <f>'Prior Year Progam'!G16</f>
        <v>0</v>
      </c>
      <c r="E62" s="487">
        <f>'Prior Year Progam'!H16</f>
        <v>0</v>
      </c>
      <c r="F62" s="487">
        <f>'Prior Year Progam'!I16</f>
        <v>0</v>
      </c>
      <c r="G62" s="489">
        <f>'Prior Year Progam'!K16</f>
        <v>0</v>
      </c>
      <c r="H62" s="489">
        <f>'Prior Year Progam'!L16</f>
        <v>0</v>
      </c>
      <c r="I62" s="489">
        <f>'Prior Year Progam'!M16</f>
        <v>0</v>
      </c>
      <c r="J62" s="489">
        <f>'Prior Year Progam'!N16</f>
        <v>0</v>
      </c>
      <c r="K62" s="489" t="str">
        <f>IF(Demand_1=NG_Demand,"n/a",'Prior Year Progam'!P16)</f>
        <v>n/a</v>
      </c>
      <c r="L62" s="489" t="str">
        <f>IF(Demand_1=NG_Demand,"n/a",'Prior Year Progam'!Q16)</f>
        <v>n/a</v>
      </c>
      <c r="M62" s="489" t="str">
        <f>IF(Demand_1=NG_Demand,"n/a",'Prior Year Progam'!R16)</f>
        <v>n/a</v>
      </c>
      <c r="N62" s="489" t="str">
        <f>IF(Demand_1=NG_Demand,"n/a",'Prior Year Progam'!S16)</f>
        <v>n/a</v>
      </c>
      <c r="O62" s="489">
        <f>'Prior Year Progam'!U16</f>
        <v>0</v>
      </c>
      <c r="P62" s="489">
        <f>'Prior Year Progam'!V16</f>
        <v>0</v>
      </c>
      <c r="Q62" s="489">
        <f>'Prior Year Progam'!W16</f>
        <v>0</v>
      </c>
      <c r="R62" s="489">
        <f>'Prior Year Progam'!X16</f>
        <v>0</v>
      </c>
    </row>
    <row r="63" spans="2:20" x14ac:dyDescent="0.25">
      <c r="B63" s="486" t="str">
        <f t="shared" si="8"/>
        <v>Empty</v>
      </c>
      <c r="C63" s="487">
        <f>'Prior Year Progam'!F17</f>
        <v>0</v>
      </c>
      <c r="D63" s="487">
        <f>'Prior Year Progam'!G17</f>
        <v>0</v>
      </c>
      <c r="E63" s="487">
        <f>'Prior Year Progam'!H17</f>
        <v>0</v>
      </c>
      <c r="F63" s="487">
        <f>'Prior Year Progam'!I17</f>
        <v>0</v>
      </c>
      <c r="G63" s="489">
        <f>'Prior Year Progam'!K17</f>
        <v>0</v>
      </c>
      <c r="H63" s="489">
        <f>'Prior Year Progam'!L17</f>
        <v>0</v>
      </c>
      <c r="I63" s="489">
        <f>'Prior Year Progam'!M17</f>
        <v>0</v>
      </c>
      <c r="J63" s="489">
        <f>'Prior Year Progam'!N17</f>
        <v>0</v>
      </c>
      <c r="K63" s="489" t="str">
        <f>IF(Demand_1=NG_Demand,"n/a",'Prior Year Progam'!P17)</f>
        <v>n/a</v>
      </c>
      <c r="L63" s="489" t="str">
        <f>IF(Demand_1=NG_Demand,"n/a",'Prior Year Progam'!Q17)</f>
        <v>n/a</v>
      </c>
      <c r="M63" s="489" t="str">
        <f>IF(Demand_1=NG_Demand,"n/a",'Prior Year Progam'!R17)</f>
        <v>n/a</v>
      </c>
      <c r="N63" s="489" t="str">
        <f>IF(Demand_1=NG_Demand,"n/a",'Prior Year Progam'!S17)</f>
        <v>n/a</v>
      </c>
      <c r="O63" s="489">
        <f>'Prior Year Progam'!U17</f>
        <v>0</v>
      </c>
      <c r="P63" s="489">
        <f>'Prior Year Progam'!V17</f>
        <v>0</v>
      </c>
      <c r="Q63" s="489">
        <f>'Prior Year Progam'!W17</f>
        <v>0</v>
      </c>
      <c r="R63" s="489">
        <f>'Prior Year Progam'!X17</f>
        <v>0</v>
      </c>
    </row>
    <row r="64" spans="2:20" x14ac:dyDescent="0.25">
      <c r="B64" s="486" t="str">
        <f t="shared" si="8"/>
        <v>Empty</v>
      </c>
      <c r="C64" s="487">
        <f>'Prior Year Progam'!F18</f>
        <v>0</v>
      </c>
      <c r="D64" s="487">
        <f>'Prior Year Progam'!G18</f>
        <v>0</v>
      </c>
      <c r="E64" s="487">
        <f>'Prior Year Progam'!H18</f>
        <v>0</v>
      </c>
      <c r="F64" s="487">
        <f>'Prior Year Progam'!I18</f>
        <v>0</v>
      </c>
      <c r="G64" s="489">
        <f>'Prior Year Progam'!K18</f>
        <v>0</v>
      </c>
      <c r="H64" s="489">
        <f>'Prior Year Progam'!L18</f>
        <v>0</v>
      </c>
      <c r="I64" s="489">
        <f>'Prior Year Progam'!M18</f>
        <v>0</v>
      </c>
      <c r="J64" s="489">
        <f>'Prior Year Progam'!N18</f>
        <v>0</v>
      </c>
      <c r="K64" s="489" t="str">
        <f>IF(Demand_1=NG_Demand,"n/a",'Prior Year Progam'!P18)</f>
        <v>n/a</v>
      </c>
      <c r="L64" s="489" t="str">
        <f>IF(Demand_1=NG_Demand,"n/a",'Prior Year Progam'!Q18)</f>
        <v>n/a</v>
      </c>
      <c r="M64" s="489" t="str">
        <f>IF(Demand_1=NG_Demand,"n/a",'Prior Year Progam'!R18)</f>
        <v>n/a</v>
      </c>
      <c r="N64" s="489" t="str">
        <f>IF(Demand_1=NG_Demand,"n/a",'Prior Year Progam'!S18)</f>
        <v>n/a</v>
      </c>
      <c r="O64" s="489">
        <f>'Prior Year Progam'!U18</f>
        <v>0</v>
      </c>
      <c r="P64" s="489">
        <f>'Prior Year Progam'!V18</f>
        <v>0</v>
      </c>
      <c r="Q64" s="489">
        <f>'Prior Year Progam'!W18</f>
        <v>0</v>
      </c>
      <c r="R64" s="489">
        <f>'Prior Year Progam'!X18</f>
        <v>0</v>
      </c>
    </row>
    <row r="65" spans="2:18" x14ac:dyDescent="0.25">
      <c r="B65" s="486" t="str">
        <f t="shared" si="8"/>
        <v>Empty</v>
      </c>
      <c r="C65" s="487">
        <f>'Prior Year Progam'!F19</f>
        <v>0</v>
      </c>
      <c r="D65" s="487">
        <f>'Prior Year Progam'!G19</f>
        <v>0</v>
      </c>
      <c r="E65" s="487">
        <f>'Prior Year Progam'!H19</f>
        <v>0</v>
      </c>
      <c r="F65" s="487">
        <f>'Prior Year Progam'!I19</f>
        <v>0</v>
      </c>
      <c r="G65" s="489">
        <f>'Prior Year Progam'!K19</f>
        <v>0</v>
      </c>
      <c r="H65" s="489">
        <f>'Prior Year Progam'!L19</f>
        <v>0</v>
      </c>
      <c r="I65" s="489">
        <f>'Prior Year Progam'!M19</f>
        <v>0</v>
      </c>
      <c r="J65" s="489">
        <f>'Prior Year Progam'!N19</f>
        <v>0</v>
      </c>
      <c r="K65" s="489" t="str">
        <f>IF(Demand_1=NG_Demand,"n/a",'Prior Year Progam'!P19)</f>
        <v>n/a</v>
      </c>
      <c r="L65" s="489" t="str">
        <f>IF(Demand_1=NG_Demand,"n/a",'Prior Year Progam'!Q19)</f>
        <v>n/a</v>
      </c>
      <c r="M65" s="489" t="str">
        <f>IF(Demand_1=NG_Demand,"n/a",'Prior Year Progam'!R19)</f>
        <v>n/a</v>
      </c>
      <c r="N65" s="489" t="str">
        <f>IF(Demand_1=NG_Demand,"n/a",'Prior Year Progam'!S19)</f>
        <v>n/a</v>
      </c>
      <c r="O65" s="489">
        <f>'Prior Year Progam'!U19</f>
        <v>0</v>
      </c>
      <c r="P65" s="489">
        <f>'Prior Year Progam'!V19</f>
        <v>0</v>
      </c>
      <c r="Q65" s="489">
        <f>'Prior Year Progam'!W19</f>
        <v>0</v>
      </c>
      <c r="R65" s="489">
        <f>'Prior Year Progam'!X19</f>
        <v>0</v>
      </c>
    </row>
    <row r="66" spans="2:18" x14ac:dyDescent="0.25">
      <c r="B66" s="486" t="str">
        <f t="shared" si="8"/>
        <v>Empty</v>
      </c>
      <c r="C66" s="487">
        <f>'Prior Year Progam'!F20</f>
        <v>0</v>
      </c>
      <c r="D66" s="487">
        <f>'Prior Year Progam'!G20</f>
        <v>0</v>
      </c>
      <c r="E66" s="487">
        <f>'Prior Year Progam'!H20</f>
        <v>0</v>
      </c>
      <c r="F66" s="487">
        <f>'Prior Year Progam'!I20</f>
        <v>0</v>
      </c>
      <c r="G66" s="489">
        <f>'Prior Year Progam'!K20</f>
        <v>0</v>
      </c>
      <c r="H66" s="489">
        <f>'Prior Year Progam'!L20</f>
        <v>0</v>
      </c>
      <c r="I66" s="489">
        <f>'Prior Year Progam'!M20</f>
        <v>0</v>
      </c>
      <c r="J66" s="489">
        <f>'Prior Year Progam'!N20</f>
        <v>0</v>
      </c>
      <c r="K66" s="489" t="str">
        <f>IF(Demand_1=NG_Demand,"n/a",'Prior Year Progam'!P20)</f>
        <v>n/a</v>
      </c>
      <c r="L66" s="489" t="str">
        <f>IF(Demand_1=NG_Demand,"n/a",'Prior Year Progam'!Q20)</f>
        <v>n/a</v>
      </c>
      <c r="M66" s="489" t="str">
        <f>IF(Demand_1=NG_Demand,"n/a",'Prior Year Progam'!R20)</f>
        <v>n/a</v>
      </c>
      <c r="N66" s="489" t="str">
        <f>IF(Demand_1=NG_Demand,"n/a",'Prior Year Progam'!S20)</f>
        <v>n/a</v>
      </c>
      <c r="O66" s="489">
        <f>'Prior Year Progam'!U20</f>
        <v>0</v>
      </c>
      <c r="P66" s="489">
        <f>'Prior Year Progam'!V20</f>
        <v>0</v>
      </c>
      <c r="Q66" s="489">
        <f>'Prior Year Progam'!W20</f>
        <v>0</v>
      </c>
      <c r="R66" s="489">
        <f>'Prior Year Progam'!X20</f>
        <v>0</v>
      </c>
    </row>
    <row r="67" spans="2:18" x14ac:dyDescent="0.25">
      <c r="B67" s="486" t="str">
        <f t="shared" si="8"/>
        <v>Empty</v>
      </c>
      <c r="C67" s="487">
        <f>'Prior Year Progam'!F21</f>
        <v>0</v>
      </c>
      <c r="D67" s="487">
        <f>'Prior Year Progam'!G21</f>
        <v>0</v>
      </c>
      <c r="E67" s="487">
        <f>'Prior Year Progam'!H21</f>
        <v>0</v>
      </c>
      <c r="F67" s="487">
        <f>'Prior Year Progam'!I21</f>
        <v>0</v>
      </c>
      <c r="G67" s="489">
        <f>'Prior Year Progam'!K21</f>
        <v>0</v>
      </c>
      <c r="H67" s="489">
        <f>'Prior Year Progam'!L21</f>
        <v>0</v>
      </c>
      <c r="I67" s="489">
        <f>'Prior Year Progam'!M21</f>
        <v>0</v>
      </c>
      <c r="J67" s="489">
        <f>'Prior Year Progam'!N21</f>
        <v>0</v>
      </c>
      <c r="K67" s="489" t="str">
        <f>IF(Demand_1=NG_Demand,"n/a",'Prior Year Progam'!P21)</f>
        <v>n/a</v>
      </c>
      <c r="L67" s="489" t="str">
        <f>IF(Demand_1=NG_Demand,"n/a",'Prior Year Progam'!Q21)</f>
        <v>n/a</v>
      </c>
      <c r="M67" s="489" t="str">
        <f>IF(Demand_1=NG_Demand,"n/a",'Prior Year Progam'!R21)</f>
        <v>n/a</v>
      </c>
      <c r="N67" s="489" t="str">
        <f>IF(Demand_1=NG_Demand,"n/a",'Prior Year Progam'!S21)</f>
        <v>n/a</v>
      </c>
      <c r="O67" s="489">
        <f>'Prior Year Progam'!U21</f>
        <v>0</v>
      </c>
      <c r="P67" s="489">
        <f>'Prior Year Progam'!V21</f>
        <v>0</v>
      </c>
      <c r="Q67" s="489">
        <f>'Prior Year Progam'!W21</f>
        <v>0</v>
      </c>
      <c r="R67" s="489">
        <f>'Prior Year Progam'!X21</f>
        <v>0</v>
      </c>
    </row>
    <row r="68" spans="2:18" x14ac:dyDescent="0.25">
      <c r="B68" s="486" t="str">
        <f t="shared" si="8"/>
        <v>Empty</v>
      </c>
      <c r="C68" s="487">
        <f>'Prior Year Progam'!F22</f>
        <v>0</v>
      </c>
      <c r="D68" s="487">
        <f>'Prior Year Progam'!G22</f>
        <v>0</v>
      </c>
      <c r="E68" s="487">
        <f>'Prior Year Progam'!H22</f>
        <v>0</v>
      </c>
      <c r="F68" s="487">
        <f>'Prior Year Progam'!I22</f>
        <v>0</v>
      </c>
      <c r="G68" s="489">
        <f>'Prior Year Progam'!K22</f>
        <v>0</v>
      </c>
      <c r="H68" s="489">
        <f>'Prior Year Progam'!L22</f>
        <v>0</v>
      </c>
      <c r="I68" s="489">
        <f>'Prior Year Progam'!M22</f>
        <v>0</v>
      </c>
      <c r="J68" s="489">
        <f>'Prior Year Progam'!N22</f>
        <v>0</v>
      </c>
      <c r="K68" s="489" t="str">
        <f>IF(Demand_1=NG_Demand,"n/a",'Prior Year Progam'!P22)</f>
        <v>n/a</v>
      </c>
      <c r="L68" s="489" t="str">
        <f>IF(Demand_1=NG_Demand,"n/a",'Prior Year Progam'!Q22)</f>
        <v>n/a</v>
      </c>
      <c r="M68" s="489" t="str">
        <f>IF(Demand_1=NG_Demand,"n/a",'Prior Year Progam'!R22)</f>
        <v>n/a</v>
      </c>
      <c r="N68" s="489" t="str">
        <f>IF(Demand_1=NG_Demand,"n/a",'Prior Year Progam'!S22)</f>
        <v>n/a</v>
      </c>
      <c r="O68" s="489">
        <f>'Prior Year Progam'!U22</f>
        <v>0</v>
      </c>
      <c r="P68" s="489">
        <f>'Prior Year Progam'!V22</f>
        <v>0</v>
      </c>
      <c r="Q68" s="489">
        <f>'Prior Year Progam'!W22</f>
        <v>0</v>
      </c>
      <c r="R68" s="489">
        <f>'Prior Year Progam'!X22</f>
        <v>0</v>
      </c>
    </row>
    <row r="69" spans="2:18" x14ac:dyDescent="0.25">
      <c r="B69" s="486" t="str">
        <f t="shared" si="8"/>
        <v>Empty</v>
      </c>
      <c r="C69" s="487">
        <f>'Prior Year Progam'!F23</f>
        <v>0</v>
      </c>
      <c r="D69" s="487">
        <f>'Prior Year Progam'!G23</f>
        <v>0</v>
      </c>
      <c r="E69" s="487">
        <f>'Prior Year Progam'!H23</f>
        <v>0</v>
      </c>
      <c r="F69" s="487">
        <f>'Prior Year Progam'!I23</f>
        <v>0</v>
      </c>
      <c r="G69" s="489">
        <f>'Prior Year Progam'!K23</f>
        <v>0</v>
      </c>
      <c r="H69" s="489">
        <f>'Prior Year Progam'!L23</f>
        <v>0</v>
      </c>
      <c r="I69" s="489">
        <f>'Prior Year Progam'!M23</f>
        <v>0</v>
      </c>
      <c r="J69" s="489">
        <f>'Prior Year Progam'!N23</f>
        <v>0</v>
      </c>
      <c r="K69" s="489" t="str">
        <f>IF(Demand_1=NG_Demand,"n/a",'Prior Year Progam'!P23)</f>
        <v>n/a</v>
      </c>
      <c r="L69" s="489" t="str">
        <f>IF(Demand_1=NG_Demand,"n/a",'Prior Year Progam'!Q23)</f>
        <v>n/a</v>
      </c>
      <c r="M69" s="489" t="str">
        <f>IF(Demand_1=NG_Demand,"n/a",'Prior Year Progam'!R23)</f>
        <v>n/a</v>
      </c>
      <c r="N69" s="489" t="str">
        <f>IF(Demand_1=NG_Demand,"n/a",'Prior Year Progam'!S23)</f>
        <v>n/a</v>
      </c>
      <c r="O69" s="489">
        <f>'Prior Year Progam'!U23</f>
        <v>0</v>
      </c>
      <c r="P69" s="489">
        <f>'Prior Year Progam'!V23</f>
        <v>0</v>
      </c>
      <c r="Q69" s="489">
        <f>'Prior Year Progam'!W23</f>
        <v>0</v>
      </c>
      <c r="R69" s="489">
        <f>'Prior Year Progam'!X23</f>
        <v>0</v>
      </c>
    </row>
    <row r="70" spans="2:18" x14ac:dyDescent="0.25">
      <c r="B70" s="486" t="str">
        <f t="shared" si="8"/>
        <v>Empty</v>
      </c>
      <c r="C70" s="487">
        <f>'Prior Year Progam'!F24</f>
        <v>0</v>
      </c>
      <c r="D70" s="487">
        <f>'Prior Year Progam'!G24</f>
        <v>0</v>
      </c>
      <c r="E70" s="487">
        <f>'Prior Year Progam'!H24</f>
        <v>0</v>
      </c>
      <c r="F70" s="487">
        <f>'Prior Year Progam'!I24</f>
        <v>0</v>
      </c>
      <c r="G70" s="489">
        <f>'Prior Year Progam'!K24</f>
        <v>0</v>
      </c>
      <c r="H70" s="489">
        <f>'Prior Year Progam'!L24</f>
        <v>0</v>
      </c>
      <c r="I70" s="489">
        <f>'Prior Year Progam'!M24</f>
        <v>0</v>
      </c>
      <c r="J70" s="489">
        <f>'Prior Year Progam'!N24</f>
        <v>0</v>
      </c>
      <c r="K70" s="489" t="str">
        <f>IF(Demand_1=NG_Demand,"n/a",'Prior Year Progam'!P24)</f>
        <v>n/a</v>
      </c>
      <c r="L70" s="489" t="str">
        <f>IF(Demand_1=NG_Demand,"n/a",'Prior Year Progam'!Q24)</f>
        <v>n/a</v>
      </c>
      <c r="M70" s="489" t="str">
        <f>IF(Demand_1=NG_Demand,"n/a",'Prior Year Progam'!R24)</f>
        <v>n/a</v>
      </c>
      <c r="N70" s="489" t="str">
        <f>IF(Demand_1=NG_Demand,"n/a",'Prior Year Progam'!S24)</f>
        <v>n/a</v>
      </c>
      <c r="O70" s="489">
        <f>'Prior Year Progam'!U24</f>
        <v>0</v>
      </c>
      <c r="P70" s="489">
        <f>'Prior Year Progam'!V24</f>
        <v>0</v>
      </c>
      <c r="Q70" s="489">
        <f>'Prior Year Progam'!W24</f>
        <v>0</v>
      </c>
      <c r="R70" s="489">
        <f>'Prior Year Progam'!X24</f>
        <v>0</v>
      </c>
    </row>
    <row r="71" spans="2:18" x14ac:dyDescent="0.25">
      <c r="B71" s="486" t="str">
        <f t="shared" si="8"/>
        <v>Empty</v>
      </c>
      <c r="C71" s="487">
        <f>'Prior Year Progam'!F25</f>
        <v>0</v>
      </c>
      <c r="D71" s="487">
        <f>'Prior Year Progam'!G25</f>
        <v>0</v>
      </c>
      <c r="E71" s="487">
        <f>'Prior Year Progam'!H25</f>
        <v>0</v>
      </c>
      <c r="F71" s="487">
        <f>'Prior Year Progam'!I25</f>
        <v>0</v>
      </c>
      <c r="G71" s="489">
        <f>'Prior Year Progam'!K25</f>
        <v>0</v>
      </c>
      <c r="H71" s="489">
        <f>'Prior Year Progam'!L25</f>
        <v>0</v>
      </c>
      <c r="I71" s="489">
        <f>'Prior Year Progam'!M25</f>
        <v>0</v>
      </c>
      <c r="J71" s="489">
        <f>'Prior Year Progam'!N25</f>
        <v>0</v>
      </c>
      <c r="K71" s="489" t="str">
        <f>IF(Demand_1=NG_Demand,"n/a",'Prior Year Progam'!P25)</f>
        <v>n/a</v>
      </c>
      <c r="L71" s="489" t="str">
        <f>IF(Demand_1=NG_Demand,"n/a",'Prior Year Progam'!Q25)</f>
        <v>n/a</v>
      </c>
      <c r="M71" s="489" t="str">
        <f>IF(Demand_1=NG_Demand,"n/a",'Prior Year Progam'!R25)</f>
        <v>n/a</v>
      </c>
      <c r="N71" s="489" t="str">
        <f>IF(Demand_1=NG_Demand,"n/a",'Prior Year Progam'!S25)</f>
        <v>n/a</v>
      </c>
      <c r="O71" s="489">
        <f>'Prior Year Progam'!U25</f>
        <v>0</v>
      </c>
      <c r="P71" s="489">
        <f>'Prior Year Progam'!V25</f>
        <v>0</v>
      </c>
      <c r="Q71" s="489">
        <f>'Prior Year Progam'!W25</f>
        <v>0</v>
      </c>
      <c r="R71" s="489">
        <f>'Prior Year Progam'!X25</f>
        <v>0</v>
      </c>
    </row>
    <row r="72" spans="2:18" x14ac:dyDescent="0.25">
      <c r="B72" s="486" t="str">
        <f t="shared" si="8"/>
        <v>Empty</v>
      </c>
      <c r="C72" s="487">
        <f>'Prior Year Progam'!F26</f>
        <v>0</v>
      </c>
      <c r="D72" s="487">
        <f>'Prior Year Progam'!G26</f>
        <v>0</v>
      </c>
      <c r="E72" s="487">
        <f>'Prior Year Progam'!H26</f>
        <v>0</v>
      </c>
      <c r="F72" s="487">
        <f>'Prior Year Progam'!I26</f>
        <v>0</v>
      </c>
      <c r="G72" s="489">
        <f>'Prior Year Progam'!K26</f>
        <v>0</v>
      </c>
      <c r="H72" s="489">
        <f>'Prior Year Progam'!L26</f>
        <v>0</v>
      </c>
      <c r="I72" s="489">
        <f>'Prior Year Progam'!M26</f>
        <v>0</v>
      </c>
      <c r="J72" s="489">
        <f>'Prior Year Progam'!N26</f>
        <v>0</v>
      </c>
      <c r="K72" s="489" t="str">
        <f>IF(Demand_1=NG_Demand,"n/a",'Prior Year Progam'!P26)</f>
        <v>n/a</v>
      </c>
      <c r="L72" s="489" t="str">
        <f>IF(Demand_1=NG_Demand,"n/a",'Prior Year Progam'!Q26)</f>
        <v>n/a</v>
      </c>
      <c r="M72" s="489" t="str">
        <f>IF(Demand_1=NG_Demand,"n/a",'Prior Year Progam'!R26)</f>
        <v>n/a</v>
      </c>
      <c r="N72" s="489" t="str">
        <f>IF(Demand_1=NG_Demand,"n/a",'Prior Year Progam'!S26)</f>
        <v>n/a</v>
      </c>
      <c r="O72" s="489">
        <f>'Prior Year Progam'!U26</f>
        <v>0</v>
      </c>
      <c r="P72" s="489">
        <f>'Prior Year Progam'!V26</f>
        <v>0</v>
      </c>
      <c r="Q72" s="489">
        <f>'Prior Year Progam'!W26</f>
        <v>0</v>
      </c>
      <c r="R72" s="489">
        <f>'Prior Year Progam'!X26</f>
        <v>0</v>
      </c>
    </row>
    <row r="73" spans="2:18" x14ac:dyDescent="0.25">
      <c r="B73" s="486" t="str">
        <f t="shared" si="8"/>
        <v>Empty</v>
      </c>
      <c r="C73" s="487">
        <f>'Prior Year Progam'!F27</f>
        <v>0</v>
      </c>
      <c r="D73" s="487">
        <f>'Prior Year Progam'!G27</f>
        <v>0</v>
      </c>
      <c r="E73" s="487">
        <f>'Prior Year Progam'!H27</f>
        <v>0</v>
      </c>
      <c r="F73" s="487">
        <f>'Prior Year Progam'!I27</f>
        <v>0</v>
      </c>
      <c r="G73" s="489">
        <f>'Prior Year Progam'!K27</f>
        <v>0</v>
      </c>
      <c r="H73" s="489">
        <f>'Prior Year Progam'!L27</f>
        <v>0</v>
      </c>
      <c r="I73" s="489">
        <f>'Prior Year Progam'!M27</f>
        <v>0</v>
      </c>
      <c r="J73" s="489">
        <f>'Prior Year Progam'!N27</f>
        <v>0</v>
      </c>
      <c r="K73" s="489" t="str">
        <f>IF(Demand_1=NG_Demand,"n/a",'Prior Year Progam'!P27)</f>
        <v>n/a</v>
      </c>
      <c r="L73" s="489" t="str">
        <f>IF(Demand_1=NG_Demand,"n/a",'Prior Year Progam'!Q27)</f>
        <v>n/a</v>
      </c>
      <c r="M73" s="489" t="str">
        <f>IF(Demand_1=NG_Demand,"n/a",'Prior Year Progam'!R27)</f>
        <v>n/a</v>
      </c>
      <c r="N73" s="489" t="str">
        <f>IF(Demand_1=NG_Demand,"n/a",'Prior Year Progam'!S27)</f>
        <v>n/a</v>
      </c>
      <c r="O73" s="489">
        <f>'Prior Year Progam'!U27</f>
        <v>0</v>
      </c>
      <c r="P73" s="489">
        <f>'Prior Year Progam'!V27</f>
        <v>0</v>
      </c>
      <c r="Q73" s="489">
        <f>'Prior Year Progam'!W27</f>
        <v>0</v>
      </c>
      <c r="R73" s="489">
        <f>'Prior Year Progam'!X27</f>
        <v>0</v>
      </c>
    </row>
    <row r="74" spans="2:18" x14ac:dyDescent="0.25">
      <c r="B74" s="486" t="str">
        <f t="shared" si="8"/>
        <v>Empty</v>
      </c>
      <c r="C74" s="487">
        <f>'Prior Year Progam'!F28</f>
        <v>0</v>
      </c>
      <c r="D74" s="487">
        <f>'Prior Year Progam'!G28</f>
        <v>0</v>
      </c>
      <c r="E74" s="487">
        <f>'Prior Year Progam'!H28</f>
        <v>0</v>
      </c>
      <c r="F74" s="487">
        <f>'Prior Year Progam'!I28</f>
        <v>0</v>
      </c>
      <c r="G74" s="489">
        <f>'Prior Year Progam'!K28</f>
        <v>0</v>
      </c>
      <c r="H74" s="489">
        <f>'Prior Year Progam'!L28</f>
        <v>0</v>
      </c>
      <c r="I74" s="489">
        <f>'Prior Year Progam'!M28</f>
        <v>0</v>
      </c>
      <c r="J74" s="489">
        <f>'Prior Year Progam'!N28</f>
        <v>0</v>
      </c>
      <c r="K74" s="489" t="str">
        <f>IF(Demand_1=NG_Demand,"n/a",'Prior Year Progam'!P28)</f>
        <v>n/a</v>
      </c>
      <c r="L74" s="489" t="str">
        <f>IF(Demand_1=NG_Demand,"n/a",'Prior Year Progam'!Q28)</f>
        <v>n/a</v>
      </c>
      <c r="M74" s="489" t="str">
        <f>IF(Demand_1=NG_Demand,"n/a",'Prior Year Progam'!R28)</f>
        <v>n/a</v>
      </c>
      <c r="N74" s="489" t="str">
        <f>IF(Demand_1=NG_Demand,"n/a",'Prior Year Progam'!S28)</f>
        <v>n/a</v>
      </c>
      <c r="O74" s="489">
        <f>'Prior Year Progam'!U28</f>
        <v>0</v>
      </c>
      <c r="P74" s="489">
        <f>'Prior Year Progam'!V28</f>
        <v>0</v>
      </c>
      <c r="Q74" s="489">
        <f>'Prior Year Progam'!W28</f>
        <v>0</v>
      </c>
      <c r="R74" s="489">
        <f>'Prior Year Progam'!X28</f>
        <v>0</v>
      </c>
    </row>
  </sheetData>
  <mergeCells count="4">
    <mergeCell ref="C53:F53"/>
    <mergeCell ref="G53:J53"/>
    <mergeCell ref="K53:N53"/>
    <mergeCell ref="O53:R5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J22"/>
  <sheetViews>
    <sheetView topLeftCell="B1" zoomScale="75" zoomScaleNormal="75" workbookViewId="0">
      <selection activeCell="B4" sqref="B4"/>
    </sheetView>
  </sheetViews>
  <sheetFormatPr defaultRowHeight="12.5" x14ac:dyDescent="0.25"/>
  <cols>
    <col min="2" max="2" width="36.7265625" bestFit="1" customWidth="1"/>
    <col min="3" max="3" width="39" bestFit="1" customWidth="1"/>
    <col min="4" max="4" width="21.81640625" bestFit="1" customWidth="1"/>
    <col min="5" max="5" width="23" bestFit="1" customWidth="1"/>
    <col min="6" max="6" width="8.1796875" bestFit="1" customWidth="1"/>
    <col min="7" max="7" width="1.453125" customWidth="1"/>
    <col min="9" max="9" width="1.54296875" customWidth="1"/>
    <col min="10" max="10" width="45.1796875" customWidth="1"/>
  </cols>
  <sheetData>
    <row r="2" spans="1:10" ht="13" x14ac:dyDescent="0.3">
      <c r="A2" s="484" t="s">
        <v>547</v>
      </c>
      <c r="B2" s="484" t="s">
        <v>85</v>
      </c>
      <c r="C2" s="484" t="str">
        <f>Data!B3</f>
        <v>Program Name</v>
      </c>
      <c r="D2" s="484" t="str">
        <f>Data!C3</f>
        <v>Sector</v>
      </c>
      <c r="E2" s="484" t="str">
        <f>Data!E3</f>
        <v>Channel</v>
      </c>
      <c r="F2" s="492" t="s">
        <v>578</v>
      </c>
      <c r="G2" s="122"/>
      <c r="H2" s="492" t="s">
        <v>579</v>
      </c>
      <c r="I2" s="122"/>
      <c r="J2" s="484" t="s">
        <v>85</v>
      </c>
    </row>
    <row r="3" spans="1:10" x14ac:dyDescent="0.25">
      <c r="A3" s="486">
        <f>COUNTIF($B$3:$B$22,"&lt;="&amp;B3)</f>
        <v>17</v>
      </c>
      <c r="B3" s="486" t="str">
        <f>IF(Data!B4="Empty","*Hide*",Data!B4)</f>
        <v>Commercial &amp; Industrial Solutions Program</v>
      </c>
      <c r="C3" s="486" t="str">
        <f>VLOOKUP(SMALL($A$3:$A$22,ROW()-2),$A$3:$B$22,2,FALSE)</f>
        <v>*Hide*</v>
      </c>
      <c r="D3" s="486" t="e">
        <f>VLOOKUP($C3,Data!$B$4:$E$23,MATCH(D$2,Data!$B$3:$E$3,0),FALSE)</f>
        <v>#N/A</v>
      </c>
      <c r="E3" s="486" t="e">
        <f>VLOOKUP($C3,Data!$B$4:$E$23,MATCH(E$2,Data!$B$3:$E$3,0),FALSE)</f>
        <v>#N/A</v>
      </c>
      <c r="F3" s="493">
        <f>IF(ISERROR(D3),MAX(List!$C$5:$C$17)+2,IF(E3=List!$E$10,MAX(List!$C$5:$C$17)+1,VLOOKUP(D3,List!$B$5:$C$17,2,FALSE)))</f>
        <v>13</v>
      </c>
      <c r="G3" s="122"/>
      <c r="H3" s="493">
        <f>RANK(F3,$F$3:$F$22,-1)+COUNTIF($F$3:F3,F3)-1</f>
        <v>5</v>
      </c>
      <c r="I3" s="122"/>
      <c r="J3" s="486" t="str">
        <f ca="1">OFFSET(C$3,MATCH(SMALL(H$3:H$22,ROW()-ROW(H$3)+1),H$3:H$22,0)-1,0)</f>
        <v>Income Qualified Program</v>
      </c>
    </row>
    <row r="4" spans="1:10" x14ac:dyDescent="0.25">
      <c r="A4" s="486">
        <f t="shared" ref="A4:A22" si="0">COUNTIF($B$3:$B$22,"&lt;="&amp;B4)</f>
        <v>18</v>
      </c>
      <c r="B4" s="486" t="str">
        <f>IF(Data!B5="Empty","*Hide*",Data!B5)</f>
        <v>Energy Efficiency Arkansas</v>
      </c>
      <c r="C4" s="486" t="str">
        <f t="shared" ref="C4:C22" si="1">VLOOKUP(SMALL($A$3:$A$22,ROW()-2),$A$3:$B$22,2,FALSE)</f>
        <v>*Hide*</v>
      </c>
      <c r="D4" s="486" t="e">
        <f>VLOOKUP($C4,Data!$B$4:$E$23,MATCH(D$2,Data!$B$3:$E$3,0),FALSE)</f>
        <v>#N/A</v>
      </c>
      <c r="E4" s="486" t="e">
        <f>VLOOKUP($C4,Data!$B$4:$E$23,MATCH(E$2,Data!$B$3:$E$3,0),FALSE)</f>
        <v>#N/A</v>
      </c>
      <c r="F4" s="493">
        <f>IF(ISERROR(D4),MAX(List!$C$5:$C$17)+2,IF(E4=List!$E$10,MAX(List!$C$5:$C$17)+1,VLOOKUP(D4,List!$B$5:$C$17,2,FALSE)))</f>
        <v>13</v>
      </c>
      <c r="G4" s="122"/>
      <c r="H4" s="493">
        <f>RANK(F4,$F$3:$F$22,-1)+COUNTIF($F$3:F4,F4)-1</f>
        <v>6</v>
      </c>
      <c r="I4" s="122"/>
      <c r="J4" s="486" t="str">
        <f t="shared" ref="J4:J22" ca="1" si="2">OFFSET(C$3,MATCH(SMALL(H$3:H$22,ROW()-ROW(H$3)+1),H$3:H$22,0)-1,0)</f>
        <v>Residential Solution Program</v>
      </c>
    </row>
    <row r="5" spans="1:10" x14ac:dyDescent="0.25">
      <c r="A5" s="486">
        <f t="shared" si="0"/>
        <v>20</v>
      </c>
      <c r="B5" s="486" t="str">
        <f>IF(Data!B6="Empty","*Hide*",Data!B6)</f>
        <v>Residential Solution Program</v>
      </c>
      <c r="C5" s="486" t="str">
        <f t="shared" si="1"/>
        <v>*Hide*</v>
      </c>
      <c r="D5" s="486" t="e">
        <f>VLOOKUP($C5,Data!$B$4:$E$23,MATCH(D$2,Data!$B$3:$E$3,0),FALSE)</f>
        <v>#N/A</v>
      </c>
      <c r="E5" s="486" t="e">
        <f>VLOOKUP($C5,Data!$B$4:$E$23,MATCH(E$2,Data!$B$3:$E$3,0),FALSE)</f>
        <v>#N/A</v>
      </c>
      <c r="F5" s="493">
        <f>IF(ISERROR(D5),MAX(List!$C$5:$C$17)+2,IF(E5=List!$E$10,MAX(List!$C$5:$C$17)+1,VLOOKUP(D5,List!$B$5:$C$17,2,FALSE)))</f>
        <v>13</v>
      </c>
      <c r="G5" s="122"/>
      <c r="H5" s="493">
        <f>RANK(F5,$F$3:$F$22,-1)+COUNTIF($F$3:F5,F5)-1</f>
        <v>7</v>
      </c>
      <c r="I5" s="122"/>
      <c r="J5" s="486" t="str">
        <f t="shared" ca="1" si="2"/>
        <v>Commercial &amp; Industrial Solutions Program</v>
      </c>
    </row>
    <row r="6" spans="1:10" x14ac:dyDescent="0.25">
      <c r="A6" s="486">
        <f t="shared" si="0"/>
        <v>19</v>
      </c>
      <c r="B6" s="486" t="str">
        <f>IF(Data!B7="Empty","*Hide*",Data!B7)</f>
        <v>Income Qualified Program</v>
      </c>
      <c r="C6" s="486" t="str">
        <f t="shared" si="1"/>
        <v>*Hide*</v>
      </c>
      <c r="D6" s="486" t="e">
        <f>VLOOKUP($C6,Data!$B$4:$E$23,MATCH(D$2,Data!$B$3:$E$3,0),FALSE)</f>
        <v>#N/A</v>
      </c>
      <c r="E6" s="486" t="e">
        <f>VLOOKUP($C6,Data!$B$4:$E$23,MATCH(E$2,Data!$B$3:$E$3,0),FALSE)</f>
        <v>#N/A</v>
      </c>
      <c r="F6" s="493">
        <f>IF(ISERROR(D6),MAX(List!$C$5:$C$17)+2,IF(E6=List!$E$10,MAX(List!$C$5:$C$17)+1,VLOOKUP(D6,List!$B$5:$C$17,2,FALSE)))</f>
        <v>13</v>
      </c>
      <c r="G6" s="122"/>
      <c r="H6" s="493">
        <f>RANK(F6,$F$3:$F$22,-1)+COUNTIF($F$3:F6,F6)-1</f>
        <v>8</v>
      </c>
      <c r="I6" s="122"/>
      <c r="J6" s="486" t="str">
        <f t="shared" ca="1" si="2"/>
        <v>Energy Efficiency Arkansas</v>
      </c>
    </row>
    <row r="7" spans="1:10" x14ac:dyDescent="0.25">
      <c r="A7" s="486">
        <f t="shared" si="0"/>
        <v>16</v>
      </c>
      <c r="B7" s="486" t="str">
        <f>IF(Data!B8="Empty","*Hide*",Data!B8)</f>
        <v>*Hide*</v>
      </c>
      <c r="C7" s="486" t="str">
        <f t="shared" si="1"/>
        <v>*Hide*</v>
      </c>
      <c r="D7" s="486" t="e">
        <f>VLOOKUP($C7,Data!$B$4:$E$23,MATCH(D$2,Data!$B$3:$E$3,0),FALSE)</f>
        <v>#N/A</v>
      </c>
      <c r="E7" s="486" t="e">
        <f>VLOOKUP($C7,Data!$B$4:$E$23,MATCH(E$2,Data!$B$3:$E$3,0),FALSE)</f>
        <v>#N/A</v>
      </c>
      <c r="F7" s="493">
        <f>IF(ISERROR(D7),MAX(List!$C$5:$C$17)+2,IF(E7=List!$E$10,MAX(List!$C$5:$C$17)+1,VLOOKUP(D7,List!$B$5:$C$17,2,FALSE)))</f>
        <v>13</v>
      </c>
      <c r="G7" s="122"/>
      <c r="H7" s="493">
        <f>RANK(F7,$F$3:$F$22,-1)+COUNTIF($F$3:F7,F7)-1</f>
        <v>9</v>
      </c>
      <c r="I7" s="122"/>
      <c r="J7" s="486" t="str">
        <f t="shared" ca="1" si="2"/>
        <v>*Hide*</v>
      </c>
    </row>
    <row r="8" spans="1:10" x14ac:dyDescent="0.25">
      <c r="A8" s="486">
        <f t="shared" si="0"/>
        <v>16</v>
      </c>
      <c r="B8" s="486" t="str">
        <f>IF(Data!B9="Empty","*Hide*",Data!B9)</f>
        <v>*Hide*</v>
      </c>
      <c r="C8" s="486" t="str">
        <f t="shared" si="1"/>
        <v>*Hide*</v>
      </c>
      <c r="D8" s="486" t="e">
        <f>VLOOKUP($C8,Data!$B$4:$E$23,MATCH(D$2,Data!$B$3:$E$3,0),FALSE)</f>
        <v>#N/A</v>
      </c>
      <c r="E8" s="486" t="e">
        <f>VLOOKUP($C8,Data!$B$4:$E$23,MATCH(E$2,Data!$B$3:$E$3,0),FALSE)</f>
        <v>#N/A</v>
      </c>
      <c r="F8" s="493">
        <f>IF(ISERROR(D8),MAX(List!$C$5:$C$17)+2,IF(E8=List!$E$10,MAX(List!$C$5:$C$17)+1,VLOOKUP(D8,List!$B$5:$C$17,2,FALSE)))</f>
        <v>13</v>
      </c>
      <c r="G8" s="122"/>
      <c r="H8" s="493">
        <f>RANK(F8,$F$3:$F$22,-1)+COUNTIF($F$3:F8,F8)-1</f>
        <v>10</v>
      </c>
      <c r="I8" s="122"/>
      <c r="J8" s="486" t="str">
        <f t="shared" ca="1" si="2"/>
        <v>*Hide*</v>
      </c>
    </row>
    <row r="9" spans="1:10" x14ac:dyDescent="0.25">
      <c r="A9" s="486">
        <f t="shared" si="0"/>
        <v>16</v>
      </c>
      <c r="B9" s="486" t="str">
        <f>IF(Data!B10="Empty","*Hide*",Data!B10)</f>
        <v>*Hide*</v>
      </c>
      <c r="C9" s="486" t="str">
        <f t="shared" si="1"/>
        <v>*Hide*</v>
      </c>
      <c r="D9" s="486" t="e">
        <f>VLOOKUP($C9,Data!$B$4:$E$23,MATCH(D$2,Data!$B$3:$E$3,0),FALSE)</f>
        <v>#N/A</v>
      </c>
      <c r="E9" s="486" t="e">
        <f>VLOOKUP($C9,Data!$B$4:$E$23,MATCH(E$2,Data!$B$3:$E$3,0),FALSE)</f>
        <v>#N/A</v>
      </c>
      <c r="F9" s="493">
        <f>IF(ISERROR(D9),MAX(List!$C$5:$C$17)+2,IF(E9=List!$E$10,MAX(List!$C$5:$C$17)+1,VLOOKUP(D9,List!$B$5:$C$17,2,FALSE)))</f>
        <v>13</v>
      </c>
      <c r="G9" s="122"/>
      <c r="H9" s="493">
        <f>RANK(F9,$F$3:$F$22,-1)+COUNTIF($F$3:F9,F9)-1</f>
        <v>11</v>
      </c>
      <c r="I9" s="122"/>
      <c r="J9" s="486" t="str">
        <f t="shared" ca="1" si="2"/>
        <v>*Hide*</v>
      </c>
    </row>
    <row r="10" spans="1:10" x14ac:dyDescent="0.25">
      <c r="A10" s="486">
        <f t="shared" si="0"/>
        <v>16</v>
      </c>
      <c r="B10" s="486" t="str">
        <f>IF(Data!B11="Empty","*Hide*",Data!B11)</f>
        <v>*Hide*</v>
      </c>
      <c r="C10" s="486" t="str">
        <f t="shared" si="1"/>
        <v>*Hide*</v>
      </c>
      <c r="D10" s="486" t="e">
        <f>VLOOKUP($C10,Data!$B$4:$E$23,MATCH(D$2,Data!$B$3:$E$3,0),FALSE)</f>
        <v>#N/A</v>
      </c>
      <c r="E10" s="486" t="e">
        <f>VLOOKUP($C10,Data!$B$4:$E$23,MATCH(E$2,Data!$B$3:$E$3,0),FALSE)</f>
        <v>#N/A</v>
      </c>
      <c r="F10" s="493">
        <f>IF(ISERROR(D10),MAX(List!$C$5:$C$17)+2,IF(E10=List!$E$10,MAX(List!$C$5:$C$17)+1,VLOOKUP(D10,List!$B$5:$C$17,2,FALSE)))</f>
        <v>13</v>
      </c>
      <c r="G10" s="122"/>
      <c r="H10" s="493">
        <f>RANK(F10,$F$3:$F$22,-1)+COUNTIF($F$3:F10,F10)-1</f>
        <v>12</v>
      </c>
      <c r="I10" s="122"/>
      <c r="J10" s="486" t="str">
        <f t="shared" ca="1" si="2"/>
        <v>*Hide*</v>
      </c>
    </row>
    <row r="11" spans="1:10" x14ac:dyDescent="0.25">
      <c r="A11" s="486">
        <f t="shared" si="0"/>
        <v>16</v>
      </c>
      <c r="B11" s="486" t="str">
        <f>IF(Data!B12="Empty","*Hide*",Data!B12)</f>
        <v>*Hide*</v>
      </c>
      <c r="C11" s="486" t="str">
        <f t="shared" si="1"/>
        <v>*Hide*</v>
      </c>
      <c r="D11" s="486" t="e">
        <f>VLOOKUP($C11,Data!$B$4:$E$23,MATCH(D$2,Data!$B$3:$E$3,0),FALSE)</f>
        <v>#N/A</v>
      </c>
      <c r="E11" s="486" t="e">
        <f>VLOOKUP($C11,Data!$B$4:$E$23,MATCH(E$2,Data!$B$3:$E$3,0),FALSE)</f>
        <v>#N/A</v>
      </c>
      <c r="F11" s="493">
        <f>IF(ISERROR(D11),MAX(List!$C$5:$C$17)+2,IF(E11=List!$E$10,MAX(List!$C$5:$C$17)+1,VLOOKUP(D11,List!$B$5:$C$17,2,FALSE)))</f>
        <v>13</v>
      </c>
      <c r="G11" s="122"/>
      <c r="H11" s="493">
        <f>RANK(F11,$F$3:$F$22,-1)+COUNTIF($F$3:F11,F11)-1</f>
        <v>13</v>
      </c>
      <c r="I11" s="122"/>
      <c r="J11" s="486" t="str">
        <f t="shared" ca="1" si="2"/>
        <v>*Hide*</v>
      </c>
    </row>
    <row r="12" spans="1:10" x14ac:dyDescent="0.25">
      <c r="A12" s="486">
        <f t="shared" si="0"/>
        <v>16</v>
      </c>
      <c r="B12" s="486" t="str">
        <f>IF(Data!B13="Empty","*Hide*",Data!B13)</f>
        <v>*Hide*</v>
      </c>
      <c r="C12" s="486" t="str">
        <f t="shared" si="1"/>
        <v>*Hide*</v>
      </c>
      <c r="D12" s="486" t="e">
        <f>VLOOKUP($C12,Data!$B$4:$E$23,MATCH(D$2,Data!$B$3:$E$3,0),FALSE)</f>
        <v>#N/A</v>
      </c>
      <c r="E12" s="486" t="e">
        <f>VLOOKUP($C12,Data!$B$4:$E$23,MATCH(E$2,Data!$B$3:$E$3,0),FALSE)</f>
        <v>#N/A</v>
      </c>
      <c r="F12" s="493">
        <f>IF(ISERROR(D12),MAX(List!$C$5:$C$17)+2,IF(E12=List!$E$10,MAX(List!$C$5:$C$17)+1,VLOOKUP(D12,List!$B$5:$C$17,2,FALSE)))</f>
        <v>13</v>
      </c>
      <c r="G12" s="122"/>
      <c r="H12" s="493">
        <f>RANK(F12,$F$3:$F$22,-1)+COUNTIF($F$3:F12,F12)-1</f>
        <v>14</v>
      </c>
      <c r="I12" s="122"/>
      <c r="J12" s="486" t="str">
        <f t="shared" ca="1" si="2"/>
        <v>*Hide*</v>
      </c>
    </row>
    <row r="13" spans="1:10" x14ac:dyDescent="0.25">
      <c r="A13" s="486">
        <f t="shared" si="0"/>
        <v>16</v>
      </c>
      <c r="B13" s="486" t="str">
        <f>IF(Data!B14="Empty","*Hide*",Data!B14)</f>
        <v>*Hide*</v>
      </c>
      <c r="C13" s="486" t="str">
        <f t="shared" si="1"/>
        <v>*Hide*</v>
      </c>
      <c r="D13" s="486" t="e">
        <f>VLOOKUP($C13,Data!$B$4:$E$23,MATCH(D$2,Data!$B$3:$E$3,0),FALSE)</f>
        <v>#N/A</v>
      </c>
      <c r="E13" s="486" t="e">
        <f>VLOOKUP($C13,Data!$B$4:$E$23,MATCH(E$2,Data!$B$3:$E$3,0),FALSE)</f>
        <v>#N/A</v>
      </c>
      <c r="F13" s="493">
        <f>IF(ISERROR(D13),MAX(List!$C$5:$C$17)+2,IF(E13=List!$E$10,MAX(List!$C$5:$C$17)+1,VLOOKUP(D13,List!$B$5:$C$17,2,FALSE)))</f>
        <v>13</v>
      </c>
      <c r="G13" s="122"/>
      <c r="H13" s="493">
        <f>RANK(F13,$F$3:$F$22,-1)+COUNTIF($F$3:F13,F13)-1</f>
        <v>15</v>
      </c>
      <c r="I13" s="122"/>
      <c r="J13" s="486" t="str">
        <f t="shared" ca="1" si="2"/>
        <v>*Hide*</v>
      </c>
    </row>
    <row r="14" spans="1:10" x14ac:dyDescent="0.25">
      <c r="A14" s="486">
        <f t="shared" si="0"/>
        <v>16</v>
      </c>
      <c r="B14" s="486" t="str">
        <f>IF(Data!B15="Empty","*Hide*",Data!B15)</f>
        <v>*Hide*</v>
      </c>
      <c r="C14" s="486" t="str">
        <f t="shared" si="1"/>
        <v>*Hide*</v>
      </c>
      <c r="D14" s="486" t="e">
        <f>VLOOKUP($C14,Data!$B$4:$E$23,MATCH(D$2,Data!$B$3:$E$3,0),FALSE)</f>
        <v>#N/A</v>
      </c>
      <c r="E14" s="486" t="e">
        <f>VLOOKUP($C14,Data!$B$4:$E$23,MATCH(E$2,Data!$B$3:$E$3,0),FALSE)</f>
        <v>#N/A</v>
      </c>
      <c r="F14" s="493">
        <f>IF(ISERROR(D14),MAX(List!$C$5:$C$17)+2,IF(E14=List!$E$10,MAX(List!$C$5:$C$17)+1,VLOOKUP(D14,List!$B$5:$C$17,2,FALSE)))</f>
        <v>13</v>
      </c>
      <c r="G14" s="122"/>
      <c r="H14" s="493">
        <f>RANK(F14,$F$3:$F$22,-1)+COUNTIF($F$3:F14,F14)-1</f>
        <v>16</v>
      </c>
      <c r="I14" s="122"/>
      <c r="J14" s="486" t="str">
        <f t="shared" ca="1" si="2"/>
        <v>*Hide*</v>
      </c>
    </row>
    <row r="15" spans="1:10" x14ac:dyDescent="0.25">
      <c r="A15" s="486">
        <f t="shared" si="0"/>
        <v>16</v>
      </c>
      <c r="B15" s="486" t="str">
        <f>IF(Data!B16="Empty","*Hide*",Data!B16)</f>
        <v>*Hide*</v>
      </c>
      <c r="C15" s="486" t="str">
        <f t="shared" si="1"/>
        <v>*Hide*</v>
      </c>
      <c r="D15" s="486" t="e">
        <f>VLOOKUP($C15,Data!$B$4:$E$23,MATCH(D$2,Data!$B$3:$E$3,0),FALSE)</f>
        <v>#N/A</v>
      </c>
      <c r="E15" s="486" t="e">
        <f>VLOOKUP($C15,Data!$B$4:$E$23,MATCH(E$2,Data!$B$3:$E$3,0),FALSE)</f>
        <v>#N/A</v>
      </c>
      <c r="F15" s="493">
        <f>IF(ISERROR(D15),MAX(List!$C$5:$C$17)+2,IF(E15=List!$E$10,MAX(List!$C$5:$C$17)+1,VLOOKUP(D15,List!$B$5:$C$17,2,FALSE)))</f>
        <v>13</v>
      </c>
      <c r="G15" s="122"/>
      <c r="H15" s="493">
        <f>RANK(F15,$F$3:$F$22,-1)+COUNTIF($F$3:F15,F15)-1</f>
        <v>17</v>
      </c>
      <c r="I15" s="122"/>
      <c r="J15" s="486" t="str">
        <f t="shared" ca="1" si="2"/>
        <v>*Hide*</v>
      </c>
    </row>
    <row r="16" spans="1:10" x14ac:dyDescent="0.25">
      <c r="A16" s="486">
        <f t="shared" si="0"/>
        <v>16</v>
      </c>
      <c r="B16" s="486" t="str">
        <f>IF(Data!B17="Empty","*Hide*",Data!B17)</f>
        <v>*Hide*</v>
      </c>
      <c r="C16" s="486" t="str">
        <f t="shared" si="1"/>
        <v>*Hide*</v>
      </c>
      <c r="D16" s="486" t="e">
        <f>VLOOKUP($C16,Data!$B$4:$E$23,MATCH(D$2,Data!$B$3:$E$3,0),FALSE)</f>
        <v>#N/A</v>
      </c>
      <c r="E16" s="486" t="e">
        <f>VLOOKUP($C16,Data!$B$4:$E$23,MATCH(E$2,Data!$B$3:$E$3,0),FALSE)</f>
        <v>#N/A</v>
      </c>
      <c r="F16" s="493">
        <f>IF(ISERROR(D16),MAX(List!$C$5:$C$17)+2,IF(E16=List!$E$10,MAX(List!$C$5:$C$17)+1,VLOOKUP(D16,List!$B$5:$C$17,2,FALSE)))</f>
        <v>13</v>
      </c>
      <c r="G16" s="122"/>
      <c r="H16" s="493">
        <f>RANK(F16,$F$3:$F$22,-1)+COUNTIF($F$3:F16,F16)-1</f>
        <v>18</v>
      </c>
      <c r="I16" s="122"/>
      <c r="J16" s="486" t="str">
        <f t="shared" ca="1" si="2"/>
        <v>*Hide*</v>
      </c>
    </row>
    <row r="17" spans="1:10" x14ac:dyDescent="0.25">
      <c r="A17" s="486">
        <f t="shared" si="0"/>
        <v>16</v>
      </c>
      <c r="B17" s="486" t="str">
        <f>IF(Data!B18="Empty","*Hide*",Data!B18)</f>
        <v>*Hide*</v>
      </c>
      <c r="C17" s="486" t="str">
        <f t="shared" si="1"/>
        <v>*Hide*</v>
      </c>
      <c r="D17" s="486" t="e">
        <f>VLOOKUP($C17,Data!$B$4:$E$23,MATCH(D$2,Data!$B$3:$E$3,0),FALSE)</f>
        <v>#N/A</v>
      </c>
      <c r="E17" s="486" t="e">
        <f>VLOOKUP($C17,Data!$B$4:$E$23,MATCH(E$2,Data!$B$3:$E$3,0),FALSE)</f>
        <v>#N/A</v>
      </c>
      <c r="F17" s="493">
        <f>IF(ISERROR(D17),MAX(List!$C$5:$C$17)+2,IF(E17=List!$E$10,MAX(List!$C$5:$C$17)+1,VLOOKUP(D17,List!$B$5:$C$17,2,FALSE)))</f>
        <v>13</v>
      </c>
      <c r="G17" s="122"/>
      <c r="H17" s="493">
        <f>RANK(F17,$F$3:$F$22,-1)+COUNTIF($F$3:F17,F17)-1</f>
        <v>19</v>
      </c>
      <c r="I17" s="122"/>
      <c r="J17" s="486" t="str">
        <f t="shared" ca="1" si="2"/>
        <v>*Hide*</v>
      </c>
    </row>
    <row r="18" spans="1:10" x14ac:dyDescent="0.25">
      <c r="A18" s="486">
        <f t="shared" si="0"/>
        <v>16</v>
      </c>
      <c r="B18" s="486" t="str">
        <f>IF(Data!B19="Empty","*Hide*",Data!B19)</f>
        <v>*Hide*</v>
      </c>
      <c r="C18" s="486" t="str">
        <f t="shared" si="1"/>
        <v>*Hide*</v>
      </c>
      <c r="D18" s="486" t="e">
        <f>VLOOKUP($C18,Data!$B$4:$E$23,MATCH(D$2,Data!$B$3:$E$3,0),FALSE)</f>
        <v>#N/A</v>
      </c>
      <c r="E18" s="486" t="e">
        <f>VLOOKUP($C18,Data!$B$4:$E$23,MATCH(E$2,Data!$B$3:$E$3,0),FALSE)</f>
        <v>#N/A</v>
      </c>
      <c r="F18" s="493">
        <f>IF(ISERROR(D18),MAX(List!$C$5:$C$17)+2,IF(E18=List!$E$10,MAX(List!$C$5:$C$17)+1,VLOOKUP(D18,List!$B$5:$C$17,2,FALSE)))</f>
        <v>13</v>
      </c>
      <c r="G18" s="122"/>
      <c r="H18" s="493">
        <f>RANK(F18,$F$3:$F$22,-1)+COUNTIF($F$3:F18,F18)-1</f>
        <v>20</v>
      </c>
      <c r="I18" s="122"/>
      <c r="J18" s="486" t="str">
        <f t="shared" ca="1" si="2"/>
        <v>*Hide*</v>
      </c>
    </row>
    <row r="19" spans="1:10" x14ac:dyDescent="0.25">
      <c r="A19" s="486">
        <f t="shared" si="0"/>
        <v>16</v>
      </c>
      <c r="B19" s="486" t="str">
        <f>IF(Data!B20="Empty","*Hide*",Data!B20)</f>
        <v>*Hide*</v>
      </c>
      <c r="C19" s="486" t="str">
        <f t="shared" si="1"/>
        <v>Commercial &amp; Industrial Solutions Program</v>
      </c>
      <c r="D19" s="486" t="str">
        <f>VLOOKUP($C19,Data!$B$4:$E$23,MATCH(D$2,Data!$B$3:$E$3,0),FALSE)</f>
        <v>Commercial &amp; Industrial</v>
      </c>
      <c r="E19" s="486" t="str">
        <f>VLOOKUP($C19,Data!$B$4:$E$23,MATCH(E$2,Data!$B$3:$E$3,0),FALSE)</f>
        <v>Implementing Contractor</v>
      </c>
      <c r="F19" s="493">
        <f>IF(ISERROR(D19),MAX(List!$C$5:$C$17)+2,IF(E19=List!$E$10,MAX(List!$C$5:$C$17)+1,VLOOKUP(D19,List!$B$5:$C$17,2,FALSE)))</f>
        <v>4</v>
      </c>
      <c r="G19" s="122"/>
      <c r="H19" s="493">
        <f>RANK(F19,$F$3:$F$22,-1)+COUNTIF($F$3:F19,F19)-1</f>
        <v>3</v>
      </c>
      <c r="I19" s="122"/>
      <c r="J19" s="486" t="str">
        <f t="shared" ca="1" si="2"/>
        <v>*Hide*</v>
      </c>
    </row>
    <row r="20" spans="1:10" x14ac:dyDescent="0.25">
      <c r="A20" s="486">
        <f t="shared" si="0"/>
        <v>16</v>
      </c>
      <c r="B20" s="486" t="str">
        <f>IF(Data!B21="Empty","*Hide*",Data!B21)</f>
        <v>*Hide*</v>
      </c>
      <c r="C20" s="486" t="str">
        <f t="shared" si="1"/>
        <v>Energy Efficiency Arkansas</v>
      </c>
      <c r="D20" s="486" t="str">
        <f>VLOOKUP($C20,Data!$B$4:$E$23,MATCH(D$2,Data!$B$3:$E$3,0),FALSE)</f>
        <v>All Classes</v>
      </c>
      <c r="E20" s="486" t="str">
        <f>VLOOKUP($C20,Data!$B$4:$E$23,MATCH(E$2,Data!$B$3:$E$3,0),FALSE)</f>
        <v>Statewide Administrator</v>
      </c>
      <c r="F20" s="493">
        <f>IF(ISERROR(D20),MAX(List!$C$5:$C$17)+2,IF(E20=List!$E$10,MAX(List!$C$5:$C$17)+1,VLOOKUP(D20,List!$B$5:$C$17,2,FALSE)))</f>
        <v>12</v>
      </c>
      <c r="G20" s="122"/>
      <c r="H20" s="493">
        <f>RANK(F20,$F$3:$F$22,-1)+COUNTIF($F$3:F20,F20)-1</f>
        <v>4</v>
      </c>
      <c r="I20" s="122"/>
      <c r="J20" s="486" t="str">
        <f t="shared" ca="1" si="2"/>
        <v>*Hide*</v>
      </c>
    </row>
    <row r="21" spans="1:10" x14ac:dyDescent="0.25">
      <c r="A21" s="486">
        <f t="shared" si="0"/>
        <v>16</v>
      </c>
      <c r="B21" s="486" t="str">
        <f>IF(Data!B22="Empty","*Hide*",Data!B22)</f>
        <v>*Hide*</v>
      </c>
      <c r="C21" s="486" t="str">
        <f t="shared" si="1"/>
        <v>Income Qualified Program</v>
      </c>
      <c r="D21" s="486" t="str">
        <f>VLOOKUP($C21,Data!$B$4:$E$23,MATCH(D$2,Data!$B$3:$E$3,0),FALSE)</f>
        <v>Residential</v>
      </c>
      <c r="E21" s="486" t="str">
        <f>VLOOKUP($C21,Data!$B$4:$E$23,MATCH(E$2,Data!$B$3:$E$3,0),FALSE)</f>
        <v>Coupon Redemption</v>
      </c>
      <c r="F21" s="493">
        <f>IF(ISERROR(D21),MAX(List!$C$5:$C$17)+2,IF(E21=List!$E$10,MAX(List!$C$5:$C$17)+1,VLOOKUP(D21,List!$B$5:$C$17,2,FALSE)))</f>
        <v>1</v>
      </c>
      <c r="G21" s="122"/>
      <c r="H21" s="493">
        <f>RANK(F21,$F$3:$F$22,-1)+COUNTIF($F$3:F21,F21)-1</f>
        <v>1</v>
      </c>
      <c r="I21" s="122"/>
      <c r="J21" s="486" t="str">
        <f t="shared" ca="1" si="2"/>
        <v>*Hide*</v>
      </c>
    </row>
    <row r="22" spans="1:10" x14ac:dyDescent="0.25">
      <c r="A22" s="486">
        <f t="shared" si="0"/>
        <v>16</v>
      </c>
      <c r="B22" s="486" t="str">
        <f>IF(Data!B23="Empty","*Hide*",Data!B23)</f>
        <v>*Hide*</v>
      </c>
      <c r="C22" s="486" t="str">
        <f t="shared" si="1"/>
        <v>Residential Solution Program</v>
      </c>
      <c r="D22" s="486" t="str">
        <f>VLOOKUP($C22,Data!$B$4:$E$23,MATCH(D$2,Data!$B$3:$E$3,0),FALSE)</f>
        <v>Residential</v>
      </c>
      <c r="E22" s="486" t="str">
        <f>VLOOKUP($C22,Data!$B$4:$E$23,MATCH(E$2,Data!$B$3:$E$3,0),FALSE)</f>
        <v>Implementing Contractor</v>
      </c>
      <c r="F22" s="493">
        <f>IF(ISERROR(D22),MAX(List!$C$5:$C$17)+2,IF(E22=List!$E$10,MAX(List!$C$5:$C$17)+1,VLOOKUP(D22,List!$B$5:$C$17,2,FALSE)))</f>
        <v>1</v>
      </c>
      <c r="G22" s="122"/>
      <c r="H22" s="493">
        <f>RANK(F22,$F$3:$F$22,-1)+COUNTIF($F$3:F22,F22)-1</f>
        <v>2</v>
      </c>
      <c r="I22" s="122"/>
      <c r="J22" s="486" t="str">
        <f t="shared" ca="1" si="2"/>
        <v>*Hide*</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O126"/>
  <sheetViews>
    <sheetView topLeftCell="A10" zoomScale="75" zoomScaleNormal="75" workbookViewId="0">
      <selection activeCell="C47" sqref="C47"/>
    </sheetView>
  </sheetViews>
  <sheetFormatPr defaultRowHeight="12.5" x14ac:dyDescent="0.25"/>
  <cols>
    <col min="1" max="1" width="5" customWidth="1"/>
    <col min="2" max="2" width="35.7265625" customWidth="1"/>
    <col min="3" max="3" width="21.81640625" bestFit="1" customWidth="1"/>
    <col min="4" max="4" width="26.81640625" bestFit="1" customWidth="1"/>
    <col min="5" max="5" width="13.453125" customWidth="1"/>
    <col min="6" max="6" width="13.81640625" bestFit="1" customWidth="1"/>
    <col min="7" max="7" width="15.7265625" bestFit="1" customWidth="1"/>
    <col min="8" max="8" width="12.1796875" bestFit="1" customWidth="1"/>
    <col min="9" max="9" width="12" customWidth="1"/>
    <col min="11" max="11" width="11.54296875" bestFit="1" customWidth="1"/>
    <col min="12" max="12" width="14" customWidth="1"/>
    <col min="13" max="13" width="13" customWidth="1"/>
    <col min="14" max="14" width="13.81640625" bestFit="1" customWidth="1"/>
    <col min="15" max="15" width="21.81640625" bestFit="1" customWidth="1"/>
    <col min="16" max="16" width="12.1796875" bestFit="1" customWidth="1"/>
    <col min="17" max="17" width="12.7265625" bestFit="1" customWidth="1"/>
    <col min="18" max="18" width="12" bestFit="1" customWidth="1"/>
    <col min="22" max="22" width="10.453125" bestFit="1" customWidth="1"/>
    <col min="23" max="23" width="11.54296875" bestFit="1" customWidth="1"/>
  </cols>
  <sheetData>
    <row r="1" spans="2:12" x14ac:dyDescent="0.25">
      <c r="B1" s="272"/>
    </row>
    <row r="2" spans="2:12" ht="13" x14ac:dyDescent="0.3">
      <c r="B2" s="92" t="s">
        <v>580</v>
      </c>
    </row>
    <row r="3" spans="2:12" ht="13" x14ac:dyDescent="0.3">
      <c r="B3" s="484" t="s">
        <v>355</v>
      </c>
      <c r="C3" s="484" t="s">
        <v>581</v>
      </c>
      <c r="D3" s="484" t="s">
        <v>48</v>
      </c>
      <c r="E3" s="484" t="s">
        <v>56</v>
      </c>
      <c r="F3" s="484" t="s">
        <v>57</v>
      </c>
      <c r="G3" s="484" t="s">
        <v>582</v>
      </c>
      <c r="H3" s="484" t="s">
        <v>573</v>
      </c>
      <c r="I3" s="484" t="s">
        <v>583</v>
      </c>
      <c r="J3" s="389" t="s">
        <v>584</v>
      </c>
      <c r="K3" s="389" t="s">
        <v>585</v>
      </c>
      <c r="L3" s="389" t="s">
        <v>586</v>
      </c>
    </row>
    <row r="4" spans="2:12" x14ac:dyDescent="0.25">
      <c r="B4" s="489" t="str">
        <f>IF(Demand_1=NG_Demand,"n/a",'Evaluated Savings'!D26/1000)</f>
        <v>n/a</v>
      </c>
      <c r="C4" s="489">
        <f>IF(Demand_1=NG_Demand,'Evaluated Savings'!E26,'Evaluated Savings'!E26/1000)</f>
        <v>1350413</v>
      </c>
      <c r="D4" s="494">
        <f>'Actual Expenses'!J91</f>
        <v>3961624.8899999997</v>
      </c>
      <c r="E4" s="494">
        <f>LCFC!J33</f>
        <v>376990.92409579421</v>
      </c>
      <c r="F4" s="494">
        <f>Incentives!D21</f>
        <v>314038.79999999993</v>
      </c>
      <c r="G4" s="494">
        <f>'Cost-Benefits'!I27*1000</f>
        <v>3756167.1256947964</v>
      </c>
      <c r="H4" s="495">
        <f>'Cost-Benefits'!J27</f>
        <v>1.7739993210814422</v>
      </c>
      <c r="I4" s="495">
        <f>'Other CB Test'!I26</f>
        <v>1.46</v>
      </c>
      <c r="J4" s="390">
        <f>Incentives!D14</f>
        <v>5.0000000000000001E-3</v>
      </c>
      <c r="K4" s="390">
        <f>Incentives!F13</f>
        <v>5.7603025126147338E-3</v>
      </c>
      <c r="L4" s="390">
        <f>Incentives!D17</f>
        <v>1.1499999999999999</v>
      </c>
    </row>
    <row r="7" spans="2:12" ht="13" x14ac:dyDescent="0.3">
      <c r="B7" s="92" t="s">
        <v>587</v>
      </c>
    </row>
    <row r="8" spans="2:12" ht="13" x14ac:dyDescent="0.3">
      <c r="B8" s="484" t="s">
        <v>85</v>
      </c>
      <c r="C8" s="484" t="s">
        <v>564</v>
      </c>
      <c r="D8" s="484" t="s">
        <v>565</v>
      </c>
      <c r="E8" s="492" t="s">
        <v>329</v>
      </c>
      <c r="F8" s="492" t="s">
        <v>330</v>
      </c>
    </row>
    <row r="9" spans="2:12" x14ac:dyDescent="0.25">
      <c r="B9" s="486" t="str">
        <f ca="1">Order!J3</f>
        <v>Income Qualified Program</v>
      </c>
      <c r="C9" s="542" t="str">
        <f ca="1">IF(ISERROR(VLOOKUP(B9,Data!$B$4:$N$23,2,FALSE)),"-",VLOOKUP(B9,Data!$B$4:$N$23,2,FALSE))</f>
        <v>Residential</v>
      </c>
      <c r="D9" s="543" t="str">
        <f ca="1">IF(ISERROR(VLOOKUP(B9,Data!$B$4:$N$23,3,FALSE)),"-",VLOOKUP(B9,Data!$B$4:$N$23,3,FALSE))</f>
        <v>Market Specific/Hard to Reach</v>
      </c>
      <c r="E9" s="494">
        <f ca="1">IF(ISERROR(VLOOKUP(B9,Data!$B$4:$N$23,10,FALSE)),"-",VLOOKUP(B9,Data!$B$4:$N$23,10,FALSE))</f>
        <v>211894.8</v>
      </c>
      <c r="F9" s="494">
        <f ca="1">IF(ISERROR(VLOOKUP(B9,Data!$B$29:$N$48,10,FALSE)),"-",VLOOKUP(B9,Data!$B$29:$N$48,10,FALSE))</f>
        <v>168628.37</v>
      </c>
    </row>
    <row r="10" spans="2:12" x14ac:dyDescent="0.25">
      <c r="B10" s="486" t="str">
        <f ca="1">Order!J4</f>
        <v>Residential Solution Program</v>
      </c>
      <c r="C10" s="542" t="str">
        <f ca="1">IF(ISERROR(VLOOKUP(B10,Data!$B$4:$N$23,2,FALSE)),"-",VLOOKUP(B10,Data!$B$4:$N$23,2,FALSE))</f>
        <v>Residential</v>
      </c>
      <c r="D10" s="543" t="str">
        <f ca="1">IF(ISERROR(VLOOKUP(B10,Data!$B$4:$N$23,3,FALSE)),"-",VLOOKUP(B10,Data!$B$4:$N$23,3,FALSE))</f>
        <v>Other</v>
      </c>
      <c r="E10" s="494">
        <f ca="1">IF(ISERROR(VLOOKUP(B10,Data!$B$4:$N$23,10,FALSE)),"-",VLOOKUP(B10,Data!$B$4:$N$23,10,FALSE))</f>
        <v>2504889.75</v>
      </c>
      <c r="F10" s="494">
        <f ca="1">IF(ISERROR(VLOOKUP(B10,Data!$B$29:$N$48,10,FALSE)),"-",VLOOKUP(B10,Data!$B$29:$N$48,10,FALSE))</f>
        <v>2391297.14</v>
      </c>
    </row>
    <row r="11" spans="2:12" x14ac:dyDescent="0.25">
      <c r="B11" s="486" t="str">
        <f ca="1">Order!J5</f>
        <v>Commercial &amp; Industrial Solutions Program</v>
      </c>
      <c r="C11" s="542" t="str">
        <f ca="1">IF(ISERROR(VLOOKUP(B11,Data!$B$4:$N$23,2,FALSE)),"-",VLOOKUP(B11,Data!$B$4:$N$23,2,FALSE))</f>
        <v>Commercial &amp; Industrial</v>
      </c>
      <c r="D11" s="543" t="str">
        <f ca="1">IF(ISERROR(VLOOKUP(B11,Data!$B$4:$N$23,3,FALSE)),"-",VLOOKUP(B11,Data!$B$4:$N$23,3,FALSE))</f>
        <v>Custom</v>
      </c>
      <c r="E11" s="494">
        <f ca="1">IF(ISERROR(VLOOKUP(B11,Data!$B$4:$N$23,10,FALSE)),"-",VLOOKUP(B11,Data!$B$4:$N$23,10,FALSE))</f>
        <v>1425147.99</v>
      </c>
      <c r="F11" s="494">
        <f ca="1">IF(ISERROR(VLOOKUP(B11,Data!$B$29:$N$48,10,FALSE)),"-",VLOOKUP(B11,Data!$B$29:$N$48,10,FALSE))</f>
        <v>1391947.99</v>
      </c>
    </row>
    <row r="12" spans="2:12" x14ac:dyDescent="0.25">
      <c r="B12" s="486" t="str">
        <f ca="1">Order!J6</f>
        <v>Energy Efficiency Arkansas</v>
      </c>
      <c r="C12" s="542" t="str">
        <f ca="1">IF(ISERROR(VLOOKUP(B12,Data!$B$4:$N$23,2,FALSE)),"-",VLOOKUP(B12,Data!$B$4:$N$23,2,FALSE))</f>
        <v>All Classes</v>
      </c>
      <c r="D12" s="543" t="str">
        <f ca="1">IF(ISERROR(VLOOKUP(B12,Data!$B$4:$N$23,3,FALSE)),"-",VLOOKUP(B12,Data!$B$4:$N$23,3,FALSE))</f>
        <v>Behavior/Education</v>
      </c>
      <c r="E12" s="494">
        <f ca="1">IF(ISERROR(VLOOKUP(B12,Data!$B$4:$N$23,10,FALSE)),"-",VLOOKUP(B12,Data!$B$4:$N$23,10,FALSE))</f>
        <v>0</v>
      </c>
      <c r="F12" s="494">
        <f ca="1">IF(ISERROR(VLOOKUP(B12,Data!$B$29:$N$48,10,FALSE)),"-",VLOOKUP(B12,Data!$B$29:$N$48,10,FALSE))</f>
        <v>0</v>
      </c>
    </row>
    <row r="13" spans="2:12" x14ac:dyDescent="0.25">
      <c r="B13" s="486" t="str">
        <f ca="1">Order!J7</f>
        <v>*Hide*</v>
      </c>
      <c r="C13" s="542" t="str">
        <f ca="1">IF(ISERROR(VLOOKUP(B13,Data!$B$4:$N$23,2,FALSE)),"-",VLOOKUP(B13,Data!$B$4:$N$23,2,FALSE))</f>
        <v>-</v>
      </c>
      <c r="D13" s="543" t="str">
        <f ca="1">IF(ISERROR(VLOOKUP(B13,Data!$B$4:$N$23,3,FALSE)),"-",VLOOKUP(B13,Data!$B$4:$N$23,3,FALSE))</f>
        <v>-</v>
      </c>
      <c r="E13" s="494" t="str">
        <f ca="1">IF(ISERROR(VLOOKUP(B13,Data!$B$4:$N$23,10,FALSE)),"-",VLOOKUP(B13,Data!$B$4:$N$23,10,FALSE))</f>
        <v>-</v>
      </c>
      <c r="F13" s="494" t="str">
        <f ca="1">IF(ISERROR(VLOOKUP(B13,Data!$B$29:$N$48,10,FALSE)),"-",VLOOKUP(B13,Data!$B$29:$N$48,10,FALSE))</f>
        <v>-</v>
      </c>
    </row>
    <row r="14" spans="2:12" x14ac:dyDescent="0.25">
      <c r="B14" s="486" t="str">
        <f ca="1">Order!J8</f>
        <v>*Hide*</v>
      </c>
      <c r="C14" s="542" t="str">
        <f ca="1">IF(ISERROR(VLOOKUP(B14,Data!$B$4:$N$23,2,FALSE)),"-",VLOOKUP(B14,Data!$B$4:$N$23,2,FALSE))</f>
        <v>-</v>
      </c>
      <c r="D14" s="543" t="str">
        <f ca="1">IF(ISERROR(VLOOKUP(B14,Data!$B$4:$N$23,3,FALSE)),"-",VLOOKUP(B14,Data!$B$4:$N$23,3,FALSE))</f>
        <v>-</v>
      </c>
      <c r="E14" s="494" t="str">
        <f ca="1">IF(ISERROR(VLOOKUP(B14,Data!$B$4:$N$23,10,FALSE)),"-",VLOOKUP(B14,Data!$B$4:$N$23,10,FALSE))</f>
        <v>-</v>
      </c>
      <c r="F14" s="494" t="str">
        <f ca="1">IF(ISERROR(VLOOKUP(B14,Data!$B$29:$N$48,10,FALSE)),"-",VLOOKUP(B14,Data!$B$29:$N$48,10,FALSE))</f>
        <v>-</v>
      </c>
    </row>
    <row r="15" spans="2:12" x14ac:dyDescent="0.25">
      <c r="B15" s="486" t="str">
        <f ca="1">Order!J9</f>
        <v>*Hide*</v>
      </c>
      <c r="C15" s="542" t="str">
        <f ca="1">IF(ISERROR(VLOOKUP(B15,Data!$B$4:$N$23,2,FALSE)),"-",VLOOKUP(B15,Data!$B$4:$N$23,2,FALSE))</f>
        <v>-</v>
      </c>
      <c r="D15" s="543" t="str">
        <f ca="1">IF(ISERROR(VLOOKUP(B15,Data!$B$4:$N$23,3,FALSE)),"-",VLOOKUP(B15,Data!$B$4:$N$23,3,FALSE))</f>
        <v>-</v>
      </c>
      <c r="E15" s="494" t="str">
        <f ca="1">IF(ISERROR(VLOOKUP(B15,Data!$B$4:$N$23,10,FALSE)),"-",VLOOKUP(B15,Data!$B$4:$N$23,10,FALSE))</f>
        <v>-</v>
      </c>
      <c r="F15" s="494" t="str">
        <f ca="1">IF(ISERROR(VLOOKUP(B15,Data!$B$29:$N$48,10,FALSE)),"-",VLOOKUP(B15,Data!$B$29:$N$48,10,FALSE))</f>
        <v>-</v>
      </c>
    </row>
    <row r="16" spans="2:12" x14ac:dyDescent="0.25">
      <c r="B16" s="486" t="str">
        <f ca="1">Order!J10</f>
        <v>*Hide*</v>
      </c>
      <c r="C16" s="542" t="str">
        <f ca="1">IF(ISERROR(VLOOKUP(B16,Data!$B$4:$N$23,2,FALSE)),"-",VLOOKUP(B16,Data!$B$4:$N$23,2,FALSE))</f>
        <v>-</v>
      </c>
      <c r="D16" s="543" t="str">
        <f ca="1">IF(ISERROR(VLOOKUP(B16,Data!$B$4:$N$23,3,FALSE)),"-",VLOOKUP(B16,Data!$B$4:$N$23,3,FALSE))</f>
        <v>-</v>
      </c>
      <c r="E16" s="494" t="str">
        <f ca="1">IF(ISERROR(VLOOKUP(B16,Data!$B$4:$N$23,10,FALSE)),"-",VLOOKUP(B16,Data!$B$4:$N$23,10,FALSE))</f>
        <v>-</v>
      </c>
      <c r="F16" s="494" t="str">
        <f ca="1">IF(ISERROR(VLOOKUP(B16,Data!$B$29:$N$48,10,FALSE)),"-",VLOOKUP(B16,Data!$B$29:$N$48,10,FALSE))</f>
        <v>-</v>
      </c>
    </row>
    <row r="17" spans="2:6" x14ac:dyDescent="0.25">
      <c r="B17" s="486" t="str">
        <f ca="1">Order!J11</f>
        <v>*Hide*</v>
      </c>
      <c r="C17" s="542" t="str">
        <f ca="1">IF(ISERROR(VLOOKUP(B17,Data!$B$4:$N$23,2,FALSE)),"-",VLOOKUP(B17,Data!$B$4:$N$23,2,FALSE))</f>
        <v>-</v>
      </c>
      <c r="D17" s="543" t="str">
        <f ca="1">IF(ISERROR(VLOOKUP(B17,Data!$B$4:$N$23,3,FALSE)),"-",VLOOKUP(B17,Data!$B$4:$N$23,3,FALSE))</f>
        <v>-</v>
      </c>
      <c r="E17" s="494" t="str">
        <f ca="1">IF(ISERROR(VLOOKUP(B17,Data!$B$4:$N$23,10,FALSE)),"-",VLOOKUP(B17,Data!$B$4:$N$23,10,FALSE))</f>
        <v>-</v>
      </c>
      <c r="F17" s="494" t="str">
        <f ca="1">IF(ISERROR(VLOOKUP(B17,Data!$B$29:$N$48,10,FALSE)),"-",VLOOKUP(B17,Data!$B$29:$N$48,10,FALSE))</f>
        <v>-</v>
      </c>
    </row>
    <row r="18" spans="2:6" x14ac:dyDescent="0.25">
      <c r="B18" s="486" t="str">
        <f ca="1">Order!J12</f>
        <v>*Hide*</v>
      </c>
      <c r="C18" s="542" t="str">
        <f ca="1">IF(ISERROR(VLOOKUP(B18,Data!$B$4:$N$23,2,FALSE)),"-",VLOOKUP(B18,Data!$B$4:$N$23,2,FALSE))</f>
        <v>-</v>
      </c>
      <c r="D18" s="543" t="str">
        <f ca="1">IF(ISERROR(VLOOKUP(B18,Data!$B$4:$N$23,3,FALSE)),"-",VLOOKUP(B18,Data!$B$4:$N$23,3,FALSE))</f>
        <v>-</v>
      </c>
      <c r="E18" s="494" t="str">
        <f ca="1">IF(ISERROR(VLOOKUP(B18,Data!$B$4:$N$23,10,FALSE)),"-",VLOOKUP(B18,Data!$B$4:$N$23,10,FALSE))</f>
        <v>-</v>
      </c>
      <c r="F18" s="494" t="str">
        <f ca="1">IF(ISERROR(VLOOKUP(B18,Data!$B$29:$N$48,10,FALSE)),"-",VLOOKUP(B18,Data!$B$29:$N$48,10,FALSE))</f>
        <v>-</v>
      </c>
    </row>
    <row r="19" spans="2:6" x14ac:dyDescent="0.25">
      <c r="B19" s="486" t="str">
        <f ca="1">Order!J13</f>
        <v>*Hide*</v>
      </c>
      <c r="C19" s="542" t="str">
        <f ca="1">IF(ISERROR(VLOOKUP(B19,Data!$B$4:$N$23,2,FALSE)),"-",VLOOKUP(B19,Data!$B$4:$N$23,2,FALSE))</f>
        <v>-</v>
      </c>
      <c r="D19" s="543" t="str">
        <f ca="1">IF(ISERROR(VLOOKUP(B19,Data!$B$4:$N$23,3,FALSE)),"-",VLOOKUP(B19,Data!$B$4:$N$23,3,FALSE))</f>
        <v>-</v>
      </c>
      <c r="E19" s="494" t="str">
        <f ca="1">IF(ISERROR(VLOOKUP(B19,Data!$B$4:$N$23,10,FALSE)),"-",VLOOKUP(B19,Data!$B$4:$N$23,10,FALSE))</f>
        <v>-</v>
      </c>
      <c r="F19" s="494" t="str">
        <f ca="1">IF(ISERROR(VLOOKUP(B19,Data!$B$29:$N$48,10,FALSE)),"-",VLOOKUP(B19,Data!$B$29:$N$48,10,FALSE))</f>
        <v>-</v>
      </c>
    </row>
    <row r="20" spans="2:6" x14ac:dyDescent="0.25">
      <c r="B20" s="486" t="str">
        <f ca="1">Order!J14</f>
        <v>*Hide*</v>
      </c>
      <c r="C20" s="542" t="str">
        <f ca="1">IF(ISERROR(VLOOKUP(B20,Data!$B$4:$N$23,2,FALSE)),"-",VLOOKUP(B20,Data!$B$4:$N$23,2,FALSE))</f>
        <v>-</v>
      </c>
      <c r="D20" s="543" t="str">
        <f ca="1">IF(ISERROR(VLOOKUP(B20,Data!$B$4:$N$23,3,FALSE)),"-",VLOOKUP(B20,Data!$B$4:$N$23,3,FALSE))</f>
        <v>-</v>
      </c>
      <c r="E20" s="494" t="str">
        <f ca="1">IF(ISERROR(VLOOKUP(B20,Data!$B$4:$N$23,10,FALSE)),"-",VLOOKUP(B20,Data!$B$4:$N$23,10,FALSE))</f>
        <v>-</v>
      </c>
      <c r="F20" s="494" t="str">
        <f ca="1">IF(ISERROR(VLOOKUP(B20,Data!$B$29:$N$48,10,FALSE)),"-",VLOOKUP(B20,Data!$B$29:$N$48,10,FALSE))</f>
        <v>-</v>
      </c>
    </row>
    <row r="21" spans="2:6" x14ac:dyDescent="0.25">
      <c r="B21" s="486" t="str">
        <f ca="1">Order!J15</f>
        <v>*Hide*</v>
      </c>
      <c r="C21" s="542" t="str">
        <f ca="1">IF(ISERROR(VLOOKUP(B21,Data!$B$4:$N$23,2,FALSE)),"-",VLOOKUP(B21,Data!$B$4:$N$23,2,FALSE))</f>
        <v>-</v>
      </c>
      <c r="D21" s="543" t="str">
        <f ca="1">IF(ISERROR(VLOOKUP(B21,Data!$B$4:$N$23,3,FALSE)),"-",VLOOKUP(B21,Data!$B$4:$N$23,3,FALSE))</f>
        <v>-</v>
      </c>
      <c r="E21" s="494" t="str">
        <f ca="1">IF(ISERROR(VLOOKUP(B21,Data!$B$4:$N$23,10,FALSE)),"-",VLOOKUP(B21,Data!$B$4:$N$23,10,FALSE))</f>
        <v>-</v>
      </c>
      <c r="F21" s="494" t="str">
        <f ca="1">IF(ISERROR(VLOOKUP(B21,Data!$B$29:$N$48,10,FALSE)),"-",VLOOKUP(B21,Data!$B$29:$N$48,10,FALSE))</f>
        <v>-</v>
      </c>
    </row>
    <row r="22" spans="2:6" x14ac:dyDescent="0.25">
      <c r="B22" s="486" t="str">
        <f ca="1">Order!J16</f>
        <v>*Hide*</v>
      </c>
      <c r="C22" s="542" t="str">
        <f ca="1">IF(ISERROR(VLOOKUP(B22,Data!$B$4:$N$23,2,FALSE)),"-",VLOOKUP(B22,Data!$B$4:$N$23,2,FALSE))</f>
        <v>-</v>
      </c>
      <c r="D22" s="543" t="str">
        <f ca="1">IF(ISERROR(VLOOKUP(B22,Data!$B$4:$N$23,3,FALSE)),"-",VLOOKUP(B22,Data!$B$4:$N$23,3,FALSE))</f>
        <v>-</v>
      </c>
      <c r="E22" s="494" t="str">
        <f ca="1">IF(ISERROR(VLOOKUP(B22,Data!$B$4:$N$23,10,FALSE)),"-",VLOOKUP(B22,Data!$B$4:$N$23,10,FALSE))</f>
        <v>-</v>
      </c>
      <c r="F22" s="494" t="str">
        <f ca="1">IF(ISERROR(VLOOKUP(B22,Data!$B$29:$N$48,10,FALSE)),"-",VLOOKUP(B22,Data!$B$29:$N$48,10,FALSE))</f>
        <v>-</v>
      </c>
    </row>
    <row r="23" spans="2:6" x14ac:dyDescent="0.25">
      <c r="B23" s="486" t="str">
        <f ca="1">Order!J17</f>
        <v>*Hide*</v>
      </c>
      <c r="C23" s="542" t="str">
        <f ca="1">IF(ISERROR(VLOOKUP(B23,Data!$B$4:$N$23,2,FALSE)),"-",VLOOKUP(B23,Data!$B$4:$N$23,2,FALSE))</f>
        <v>-</v>
      </c>
      <c r="D23" s="543" t="str">
        <f ca="1">IF(ISERROR(VLOOKUP(B23,Data!$B$4:$N$23,3,FALSE)),"-",VLOOKUP(B23,Data!$B$4:$N$23,3,FALSE))</f>
        <v>-</v>
      </c>
      <c r="E23" s="494" t="str">
        <f ca="1">IF(ISERROR(VLOOKUP(B23,Data!$B$4:$N$23,10,FALSE)),"-",VLOOKUP(B23,Data!$B$4:$N$23,10,FALSE))</f>
        <v>-</v>
      </c>
      <c r="F23" s="494" t="str">
        <f ca="1">IF(ISERROR(VLOOKUP(B23,Data!$B$29:$N$48,10,FALSE)),"-",VLOOKUP(B23,Data!$B$29:$N$48,10,FALSE))</f>
        <v>-</v>
      </c>
    </row>
    <row r="24" spans="2:6" x14ac:dyDescent="0.25">
      <c r="B24" s="486" t="str">
        <f ca="1">Order!J18</f>
        <v>*Hide*</v>
      </c>
      <c r="C24" s="542" t="str">
        <f ca="1">IF(ISERROR(VLOOKUP(B24,Data!$B$4:$N$23,2,FALSE)),"-",VLOOKUP(B24,Data!$B$4:$N$23,2,FALSE))</f>
        <v>-</v>
      </c>
      <c r="D24" s="543" t="str">
        <f ca="1">IF(ISERROR(VLOOKUP(B24,Data!$B$4:$N$23,3,FALSE)),"-",VLOOKUP(B24,Data!$B$4:$N$23,3,FALSE))</f>
        <v>-</v>
      </c>
      <c r="E24" s="494" t="str">
        <f ca="1">IF(ISERROR(VLOOKUP(B24,Data!$B$4:$N$23,10,FALSE)),"-",VLOOKUP(B24,Data!$B$4:$N$23,10,FALSE))</f>
        <v>-</v>
      </c>
      <c r="F24" s="494" t="str">
        <f ca="1">IF(ISERROR(VLOOKUP(B24,Data!$B$29:$N$48,10,FALSE)),"-",VLOOKUP(B24,Data!$B$29:$N$48,10,FALSE))</f>
        <v>-</v>
      </c>
    </row>
    <row r="25" spans="2:6" x14ac:dyDescent="0.25">
      <c r="B25" s="486" t="str">
        <f ca="1">Order!J19</f>
        <v>*Hide*</v>
      </c>
      <c r="C25" s="542" t="str">
        <f ca="1">IF(ISERROR(VLOOKUP(B25,Data!$B$4:$N$23,2,FALSE)),"-",VLOOKUP(B25,Data!$B$4:$N$23,2,FALSE))</f>
        <v>-</v>
      </c>
      <c r="D25" s="543" t="str">
        <f ca="1">IF(ISERROR(VLOOKUP(B25,Data!$B$4:$N$23,3,FALSE)),"-",VLOOKUP(B25,Data!$B$4:$N$23,3,FALSE))</f>
        <v>-</v>
      </c>
      <c r="E25" s="494" t="str">
        <f ca="1">IF(ISERROR(VLOOKUP(B25,Data!$B$4:$N$23,10,FALSE)),"-",VLOOKUP(B25,Data!$B$4:$N$23,10,FALSE))</f>
        <v>-</v>
      </c>
      <c r="F25" s="494" t="str">
        <f ca="1">IF(ISERROR(VLOOKUP(B25,Data!$B$29:$N$48,10,FALSE)),"-",VLOOKUP(B25,Data!$B$29:$N$48,10,FALSE))</f>
        <v>-</v>
      </c>
    </row>
    <row r="26" spans="2:6" x14ac:dyDescent="0.25">
      <c r="B26" s="486" t="str">
        <f ca="1">Order!J20</f>
        <v>*Hide*</v>
      </c>
      <c r="C26" s="542" t="str">
        <f ca="1">IF(ISERROR(VLOOKUP(B26,Data!$B$4:$N$23,2,FALSE)),"-",VLOOKUP(B26,Data!$B$4:$N$23,2,FALSE))</f>
        <v>-</v>
      </c>
      <c r="D26" s="543" t="str">
        <f ca="1">IF(ISERROR(VLOOKUP(B26,Data!$B$4:$N$23,3,FALSE)),"-",VLOOKUP(B26,Data!$B$4:$N$23,3,FALSE))</f>
        <v>-</v>
      </c>
      <c r="E26" s="494" t="str">
        <f ca="1">IF(ISERROR(VLOOKUP(B26,Data!$B$4:$N$23,10,FALSE)),"-",VLOOKUP(B26,Data!$B$4:$N$23,10,FALSE))</f>
        <v>-</v>
      </c>
      <c r="F26" s="494" t="str">
        <f ca="1">IF(ISERROR(VLOOKUP(B26,Data!$B$29:$N$48,10,FALSE)),"-",VLOOKUP(B26,Data!$B$29:$N$48,10,FALSE))</f>
        <v>-</v>
      </c>
    </row>
    <row r="27" spans="2:6" x14ac:dyDescent="0.25">
      <c r="B27" s="486" t="str">
        <f ca="1">Order!J21</f>
        <v>*Hide*</v>
      </c>
      <c r="C27" s="542" t="str">
        <f ca="1">IF(ISERROR(VLOOKUP(B27,Data!$B$4:$N$23,2,FALSE)),"-",VLOOKUP(B27,Data!$B$4:$N$23,2,FALSE))</f>
        <v>-</v>
      </c>
      <c r="D27" s="543" t="str">
        <f ca="1">IF(ISERROR(VLOOKUP(B27,Data!$B$4:$N$23,3,FALSE)),"-",VLOOKUP(B27,Data!$B$4:$N$23,3,FALSE))</f>
        <v>-</v>
      </c>
      <c r="E27" s="494" t="str">
        <f ca="1">IF(ISERROR(VLOOKUP(B27,Data!$B$4:$N$23,10,FALSE)),"-",VLOOKUP(B27,Data!$B$4:$N$23,10,FALSE))</f>
        <v>-</v>
      </c>
      <c r="F27" s="494" t="str">
        <f ca="1">IF(ISERROR(VLOOKUP(B27,Data!$B$29:$N$48,10,FALSE)),"-",VLOOKUP(B27,Data!$B$29:$N$48,10,FALSE))</f>
        <v>-</v>
      </c>
    </row>
    <row r="28" spans="2:6" x14ac:dyDescent="0.25">
      <c r="B28" s="486" t="str">
        <f ca="1">Order!J22</f>
        <v>*Hide*</v>
      </c>
      <c r="C28" s="542" t="str">
        <f ca="1">IF(ISERROR(VLOOKUP(B28,Data!$B$4:$N$23,2,FALSE)),"-",VLOOKUP(B28,Data!$B$4:$N$23,2,FALSE))</f>
        <v>-</v>
      </c>
      <c r="D28" s="543" t="str">
        <f ca="1">IF(ISERROR(VLOOKUP(B28,Data!$B$4:$N$23,3,FALSE)),"-",VLOOKUP(B28,Data!$B$4:$N$23,3,FALSE))</f>
        <v>-</v>
      </c>
      <c r="E28" s="494" t="str">
        <f ca="1">IF(ISERROR(VLOOKUP(B28,Data!$B$4:$N$23,10,FALSE)),"-",VLOOKUP(B28,Data!$B$4:$N$23,10,FALSE))</f>
        <v>-</v>
      </c>
      <c r="F28" s="494" t="str">
        <f ca="1">IF(ISERROR(VLOOKUP(B28,Data!$B$29:$N$48,10,FALSE)),"-",VLOOKUP(B28,Data!$B$29:$N$48,10,FALSE))</f>
        <v>-</v>
      </c>
    </row>
    <row r="29" spans="2:6" x14ac:dyDescent="0.25">
      <c r="B29" s="487" t="str">
        <f>Data!B24</f>
        <v>Regulatory</v>
      </c>
      <c r="C29" s="542" t="str">
        <f>Data!C24</f>
        <v>-</v>
      </c>
      <c r="D29" s="543" t="str">
        <f>Data!D24</f>
        <v>-</v>
      </c>
      <c r="E29" s="494">
        <f>Data!K24</f>
        <v>27917</v>
      </c>
      <c r="F29" s="494">
        <f>Data!K49</f>
        <v>9751.39</v>
      </c>
    </row>
    <row r="32" spans="2:6" ht="13" x14ac:dyDescent="0.3">
      <c r="B32" s="92" t="s">
        <v>588</v>
      </c>
    </row>
    <row r="33" spans="2:8" ht="13" x14ac:dyDescent="0.3">
      <c r="B33" s="484" t="s">
        <v>565</v>
      </c>
      <c r="C33" s="492" t="s">
        <v>329</v>
      </c>
      <c r="D33" s="492" t="s">
        <v>330</v>
      </c>
    </row>
    <row r="34" spans="2:8" x14ac:dyDescent="0.25">
      <c r="B34" s="486" t="str">
        <f>Data!F3</f>
        <v>Planning / Design</v>
      </c>
      <c r="C34" s="494">
        <f>Data!F25</f>
        <v>35963.019999999997</v>
      </c>
      <c r="D34" s="494">
        <f>Data!F50</f>
        <v>0</v>
      </c>
    </row>
    <row r="35" spans="2:8" x14ac:dyDescent="0.25">
      <c r="B35" s="486" t="str">
        <f>Data!G3</f>
        <v>Marketing &amp; Delivery</v>
      </c>
      <c r="C35" s="494">
        <f>Data!G25</f>
        <v>1708587.39</v>
      </c>
      <c r="D35" s="494">
        <f>Data!G50</f>
        <v>1708587.39</v>
      </c>
    </row>
    <row r="36" spans="2:8" x14ac:dyDescent="0.25">
      <c r="B36" s="486" t="str">
        <f>Data!H3</f>
        <v>Incentives / Direct Install Costs</v>
      </c>
      <c r="C36" s="494">
        <f>Data!H25</f>
        <v>2150786.65</v>
      </c>
      <c r="D36" s="494">
        <f>Data!H50</f>
        <v>1996689.0899999999</v>
      </c>
    </row>
    <row r="37" spans="2:8" x14ac:dyDescent="0.25">
      <c r="B37" s="486" t="str">
        <f>Data!I3</f>
        <v>EM&amp;V</v>
      </c>
      <c r="C37" s="494">
        <f>Data!I25</f>
        <v>189790.47999999998</v>
      </c>
      <c r="D37" s="494">
        <f>Data!I50</f>
        <v>189790.47999999998</v>
      </c>
    </row>
    <row r="38" spans="2:8" x14ac:dyDescent="0.25">
      <c r="B38" s="486" t="str">
        <f>Data!J3</f>
        <v>Administration</v>
      </c>
      <c r="C38" s="494">
        <f>Data!J25</f>
        <v>56805</v>
      </c>
      <c r="D38" s="494">
        <f>Data!J50</f>
        <v>56806.539999999994</v>
      </c>
    </row>
    <row r="39" spans="2:8" x14ac:dyDescent="0.25">
      <c r="B39" s="486" t="str">
        <f>Budgets!H26</f>
        <v>Regulatory</v>
      </c>
      <c r="C39" s="494">
        <f>Data!K24</f>
        <v>27917</v>
      </c>
      <c r="D39" s="494">
        <f>Data!K49</f>
        <v>9751.39</v>
      </c>
    </row>
    <row r="42" spans="2:8" ht="13" x14ac:dyDescent="0.3">
      <c r="B42" s="92" t="s">
        <v>589</v>
      </c>
    </row>
    <row r="43" spans="2:8" ht="13" x14ac:dyDescent="0.3">
      <c r="B43" s="484" t="s">
        <v>590</v>
      </c>
      <c r="C43" s="484" t="s">
        <v>342</v>
      </c>
      <c r="D43" s="484" t="s">
        <v>591</v>
      </c>
      <c r="E43" s="484" t="s">
        <v>592</v>
      </c>
      <c r="F43" s="484" t="s">
        <v>593</v>
      </c>
      <c r="G43" s="484" t="s">
        <v>331</v>
      </c>
      <c r="H43" s="484" t="s">
        <v>332</v>
      </c>
    </row>
    <row r="44" spans="2:8" x14ac:dyDescent="0.25">
      <c r="B44" s="493">
        <f t="shared" ref="B44:B46" si="0">B45-1</f>
        <v>2020</v>
      </c>
      <c r="C44" s="494" t="e">
        <f>VLOOKUP($B44,'Prior Year Portfolio'!$C$10:$J$13,2,FALSE)</f>
        <v>#N/A</v>
      </c>
      <c r="D44" s="489" t="e">
        <f>VLOOKUP($B44,'Prior Year Portfolio'!$C$10:$J$13,3,FALSE)</f>
        <v>#N/A</v>
      </c>
      <c r="E44" s="494" t="e">
        <f>VLOOKUP($B44,'Prior Year Portfolio'!$C$10:$J$13,5,FALSE)</f>
        <v>#N/A</v>
      </c>
      <c r="F44" s="494" t="e">
        <f>VLOOKUP($B44,'Prior Year Portfolio'!$C$10:$J$13,6,FALSE)</f>
        <v>#N/A</v>
      </c>
      <c r="G44" s="489" t="e">
        <f>VLOOKUP($B44,'Prior Year Portfolio'!$C$10:$J$13,7,FALSE)</f>
        <v>#N/A</v>
      </c>
      <c r="H44" s="489" t="e">
        <f>VLOOKUP($B44,'Prior Year Portfolio'!$C$10:$J$13,8,FALSE)</f>
        <v>#N/A</v>
      </c>
    </row>
    <row r="45" spans="2:8" x14ac:dyDescent="0.25">
      <c r="B45" s="493">
        <f t="shared" si="0"/>
        <v>2021</v>
      </c>
      <c r="C45" s="494">
        <f>VLOOKUP($B45,'Prior Year Portfolio'!$C$10:$J$13,2,FALSE)</f>
        <v>217933935</v>
      </c>
      <c r="D45" s="489">
        <f>VLOOKUP($B45,'Prior Year Portfolio'!$C$10:$J$13,3,FALSE)</f>
        <v>303339040</v>
      </c>
      <c r="E45" s="494">
        <f>VLOOKUP($B45,'Prior Year Portfolio'!$C$10:$J$13,5,FALSE)</f>
        <v>4204997.7</v>
      </c>
      <c r="F45" s="494">
        <f>VLOOKUP($B45,'Prior Year Portfolio'!$C$10:$J$13,6,FALSE)</f>
        <v>4156000.0207470804</v>
      </c>
      <c r="G45" s="489">
        <f>VLOOKUP($B45,'Prior Year Portfolio'!$C$10:$J$13,7,FALSE)</f>
        <v>1330541</v>
      </c>
      <c r="H45" s="489">
        <f>VLOOKUP($B45,'Prior Year Portfolio'!$C$10:$J$13,8,FALSE)</f>
        <v>1507349</v>
      </c>
    </row>
    <row r="46" spans="2:8" x14ac:dyDescent="0.25">
      <c r="B46" s="493">
        <f t="shared" si="0"/>
        <v>2022</v>
      </c>
      <c r="C46" s="494">
        <f>VLOOKUP($B46,'Prior Year Portfolio'!$C$10:$J$13,2,FALSE)</f>
        <v>310466193</v>
      </c>
      <c r="D46" s="489">
        <f>VLOOKUP($B46,'Prior Year Portfolio'!$C$10:$J$13,3,FALSE)</f>
        <v>317361270</v>
      </c>
      <c r="E46" s="494">
        <f>VLOOKUP($B46,'Prior Year Portfolio'!$C$10:$J$13,5,FALSE)</f>
        <v>4524125</v>
      </c>
      <c r="F46" s="494">
        <f>VLOOKUP($B46,'Prior Year Portfolio'!$C$10:$J$13,6,FALSE)</f>
        <v>4509838.49</v>
      </c>
      <c r="G46" s="489">
        <f>VLOOKUP($B46,'Prior Year Portfolio'!$C$10:$J$13,7,FALSE)</f>
        <v>1330541</v>
      </c>
      <c r="H46" s="489">
        <f>VLOOKUP($B46,'Prior Year Portfolio'!$C$10:$J$13,8,FALSE)</f>
        <v>1510376.7492725942</v>
      </c>
    </row>
    <row r="47" spans="2:8" x14ac:dyDescent="0.25">
      <c r="B47" s="493">
        <f>B48-1</f>
        <v>2023</v>
      </c>
      <c r="C47" s="494">
        <f>VLOOKUP($B47,'Prior Year Portfolio'!$C$10:$J$13,2,FALSE)</f>
        <v>267937952</v>
      </c>
      <c r="D47" s="489">
        <f>VLOOKUP($B47,'Prior Year Portfolio'!$C$10:$J$13,3,FALSE)</f>
        <v>295781710</v>
      </c>
      <c r="E47" s="494">
        <f>VLOOKUP($B47,'Prior Year Portfolio'!$C$10:$J$13,5,FALSE)</f>
        <v>4399274</v>
      </c>
      <c r="F47" s="494">
        <f>VLOOKUP($B47,'Prior Year Portfolio'!$C$10:$J$13,6,FALSE)</f>
        <v>4449464</v>
      </c>
      <c r="G47" s="489">
        <f>VLOOKUP($B47,'Prior Year Portfolio'!$C$10:$J$13,7,FALSE)</f>
        <v>1510377</v>
      </c>
      <c r="H47" s="489">
        <f>VLOOKUP($B47,'Prior Year Portfolio'!$C$10:$J$13,8,FALSE)</f>
        <v>1543029</v>
      </c>
    </row>
    <row r="48" spans="2:8" x14ac:dyDescent="0.25">
      <c r="B48" s="493">
        <f>Prg_Year</f>
        <v>2024</v>
      </c>
      <c r="C48" s="494">
        <f>'Utility Information'!F8</f>
        <v>247790327</v>
      </c>
      <c r="D48" s="489">
        <f>'Utility Information'!F11</f>
        <v>290824100</v>
      </c>
      <c r="E48" s="494">
        <f>Budgets!I27</f>
        <v>4169849.54</v>
      </c>
      <c r="F48" s="494">
        <f>'Actual Expenses'!J91</f>
        <v>3961624.8899999997</v>
      </c>
      <c r="G48" s="489">
        <f>IF(D49=D50,'Savings &amp; Participants'!E26/1000,'Savings &amp; Participants'!E26)</f>
        <v>1291789</v>
      </c>
      <c r="H48" s="489">
        <f>IF(D49=D50,'Evaluated Savings'!E26/1000,'Evaluated Savings'!E26)</f>
        <v>1350413</v>
      </c>
    </row>
    <row r="49" spans="2:15" x14ac:dyDescent="0.25">
      <c r="C49" s="186"/>
      <c r="D49" s="186" t="str">
        <f>Energy_2</f>
        <v>Therms</v>
      </c>
    </row>
    <row r="50" spans="2:15" x14ac:dyDescent="0.25">
      <c r="C50" s="186"/>
      <c r="D50" s="186" t="str">
        <f>Titles!C24</f>
        <v>MWh</v>
      </c>
    </row>
    <row r="51" spans="2:15" x14ac:dyDescent="0.25">
      <c r="C51" s="186"/>
      <c r="D51" s="186"/>
    </row>
    <row r="52" spans="2:15" x14ac:dyDescent="0.25">
      <c r="C52" s="186"/>
      <c r="D52" s="186"/>
    </row>
    <row r="53" spans="2:15" x14ac:dyDescent="0.25">
      <c r="C53" s="186"/>
      <c r="D53" s="186"/>
    </row>
    <row r="54" spans="2:15" x14ac:dyDescent="0.25">
      <c r="C54" s="186"/>
      <c r="D54" s="186"/>
    </row>
    <row r="55" spans="2:15" x14ac:dyDescent="0.25">
      <c r="C55" s="186"/>
      <c r="D55" s="186"/>
    </row>
    <row r="56" spans="2:15" ht="13" x14ac:dyDescent="0.3">
      <c r="B56" s="92" t="s">
        <v>594</v>
      </c>
    </row>
    <row r="57" spans="2:15" ht="13" x14ac:dyDescent="0.3">
      <c r="B57" s="484" t="s">
        <v>85</v>
      </c>
      <c r="C57" s="492" t="s">
        <v>86</v>
      </c>
      <c r="D57" s="492" t="s">
        <v>329</v>
      </c>
      <c r="E57" s="492" t="s">
        <v>330</v>
      </c>
      <c r="F57" s="492" t="s">
        <v>331</v>
      </c>
      <c r="G57" s="492" t="s">
        <v>332</v>
      </c>
      <c r="H57" s="492" t="s">
        <v>331</v>
      </c>
      <c r="I57" s="492" t="s">
        <v>330</v>
      </c>
      <c r="J57" s="492" t="s">
        <v>223</v>
      </c>
      <c r="K57" s="492" t="s">
        <v>172</v>
      </c>
      <c r="L57" s="492" t="s">
        <v>595</v>
      </c>
      <c r="N57" s="536" t="s">
        <v>579</v>
      </c>
    </row>
    <row r="58" spans="2:15" x14ac:dyDescent="0.25">
      <c r="B58" s="486" t="str">
        <f ca="1">Order!J3</f>
        <v>Income Qualified Program</v>
      </c>
      <c r="C58" s="486" t="str">
        <f ca="1">IF(ISERROR(VLOOKUP(B58,Data!$B$4:$N$23,2,FALSE)),"-",VLOOKUP(B58,Data!$B$4:$N$23,2,FALSE))</f>
        <v>Residential</v>
      </c>
      <c r="D58" s="494">
        <f ca="1">IF(ISERROR(VLOOKUP(B58,Data!$B$4:$N$23,10,FALSE)),"-",VLOOKUP(B58,Data!$B$4:$N$23,10,FALSE))</f>
        <v>211894.8</v>
      </c>
      <c r="E58" s="494">
        <f ca="1">IF(ISERROR(VLOOKUP(B58,Data!$B$29:$T$48,10,FALSE)),"-",VLOOKUP(B58,Data!$B$29:$T$48,10,FALSE))</f>
        <v>168628.37</v>
      </c>
      <c r="F58" s="489">
        <f ca="1">IF(ISERROR(VLOOKUP(B58,Data!$B$4:$N$23,12,FALSE)),"-",VLOOKUP(B58,Data!$B$4:$N$23,12,FALSE))</f>
        <v>51718</v>
      </c>
      <c r="G58" s="489">
        <f ca="1">IF(ISERROR(VLOOKUP(B58,Data!$B$29:$T$48,12,FALSE)),"-",VLOOKUP(B58,Data!$B$29:$T$48,12,FALSE))</f>
        <v>51497</v>
      </c>
      <c r="H58" s="489">
        <f ca="1">IF(ISERROR(VLOOKUP(B58,Data!$B$4:$N$23,13,FALSE)),"-",VLOOKUP(B58,Data!$B$4:$N$23,13,FALSE))</f>
        <v>68</v>
      </c>
      <c r="I58" s="489">
        <f ca="1">IF(ISERROR(VLOOKUP(B58,Data!$B$29:$T$48,13,FALSE)),"-",VLOOKUP(B58,Data!$B$29:$T$48,13,FALSE))</f>
        <v>68</v>
      </c>
      <c r="J58" s="495">
        <f ca="1">IF(ISERROR(VLOOKUP(B58,Data!$B$29:$T$48,18,FALSE)),"-",VLOOKUP(B58,Data!$B$29:$T$48,18,FALSE))</f>
        <v>1.7524359367089535</v>
      </c>
      <c r="K58" s="494">
        <f ca="1">IF(ISERROR(VLOOKUP(B58,Data!$B$29:$T$48,15,FALSE)),"-",VLOOKUP(B58,Data!$B$29:$T$48,15,FALSE))</f>
        <v>88.789760000000015</v>
      </c>
      <c r="L58" s="496">
        <f ca="1">IF(ISERROR(VLOOKUP(B58,Data!$B$29:$T$48,16,FALSE)),"-",VLOOKUP(B58,Data!$B$29:$T$48,16,FALSE))</f>
        <v>155.59836623576319</v>
      </c>
      <c r="M58" s="186">
        <f ca="1">IF(E58="-",0,E58)</f>
        <v>168628.37</v>
      </c>
      <c r="N58" s="247">
        <f ca="1">COUNT($M$58:$M$77)-(RANK(M58,$M$58:$M$77)+COUNTIF($M58:M$58,M58)-1)+1</f>
        <v>18</v>
      </c>
      <c r="O58" t="str">
        <f ca="1">OFFSET(B$58,MATCH(LARGE(N$58:N$77,ROW()-ROW(N$58)+1),N$58:N$77,0)-1,0)</f>
        <v>Residential Solution Program</v>
      </c>
    </row>
    <row r="59" spans="2:15" x14ac:dyDescent="0.25">
      <c r="B59" s="486" t="str">
        <f ca="1">Order!J4</f>
        <v>Residential Solution Program</v>
      </c>
      <c r="C59" s="486" t="str">
        <f ca="1">IF(ISERROR(VLOOKUP(B59,Data!$B$4:$N$23,2,FALSE)),"-",VLOOKUP(B59,Data!$B$4:$N$23,2,FALSE))</f>
        <v>Residential</v>
      </c>
      <c r="D59" s="494">
        <f ca="1">IF(ISERROR(VLOOKUP(B59,Data!$B$4:$N$23,10,FALSE)),"-",VLOOKUP(B59,Data!$B$4:$N$23,10,FALSE))</f>
        <v>2504889.75</v>
      </c>
      <c r="E59" s="494">
        <f ca="1">IF(ISERROR(VLOOKUP(B59,Data!$B$29:$T$48,10,FALSE)),"-",VLOOKUP(B59,Data!$B$29:$T$48,10,FALSE))</f>
        <v>2391297.14</v>
      </c>
      <c r="F59" s="489">
        <f ca="1">IF(ISERROR(VLOOKUP(B59,Data!$B$4:$N$23,12,FALSE)),"-",VLOOKUP(B59,Data!$B$4:$N$23,12,FALSE))</f>
        <v>620027</v>
      </c>
      <c r="G59" s="489">
        <f ca="1">IF(ISERROR(VLOOKUP(B59,Data!$B$29:$T$48,12,FALSE)),"-",VLOOKUP(B59,Data!$B$29:$T$48,12,FALSE))</f>
        <v>651784</v>
      </c>
      <c r="H59" s="489">
        <f ca="1">IF(ISERROR(VLOOKUP(B59,Data!$B$4:$N$23,13,FALSE)),"-",VLOOKUP(B59,Data!$B$4:$N$23,13,FALSE))</f>
        <v>2225</v>
      </c>
      <c r="I59" s="489">
        <f ca="1">IF(ISERROR(VLOOKUP(B59,Data!$B$29:$T$48,13,FALSE)),"-",VLOOKUP(B59,Data!$B$29:$T$48,13,FALSE))</f>
        <v>2225</v>
      </c>
      <c r="J59" s="495">
        <f ca="1">IF(ISERROR(VLOOKUP(B59,Data!$B$29:$T$48,18,FALSE)),"-",VLOOKUP(B59,Data!$B$29:$T$48,18,FALSE))</f>
        <v>2.1141019367831895</v>
      </c>
      <c r="K59" s="494">
        <f ca="1">IF(ISERROR(VLOOKUP(B59,Data!$B$29:$T$48,15,FALSE)),"-",VLOOKUP(B59,Data!$B$29:$T$48,15,FALSE))</f>
        <v>2894.9541341324025</v>
      </c>
      <c r="L59" s="494">
        <f ca="1">IF(ISERROR(VLOOKUP(B59,Data!$B$29:$T$48,16,FALSE)),"-",VLOOKUP(B59,Data!$B$29:$T$48,16,FALSE))</f>
        <v>6120.2281418678131</v>
      </c>
      <c r="M59" s="186">
        <f t="shared" ref="M59:M77" ca="1" si="1">IF(E59="-",0,E59)</f>
        <v>2391297.14</v>
      </c>
      <c r="N59" s="247">
        <f ca="1">COUNT($M$58:$M$77)-(RANK(M59,$M$58:$M$77)+COUNTIF($M$58:M59,M59)-1)+1</f>
        <v>20</v>
      </c>
      <c r="O59" t="str">
        <f t="shared" ref="O59:O77" ca="1" si="2">OFFSET(B$58,MATCH(LARGE(N$58:N$77,ROW()-ROW(N$58)+1),N$58:N$77,0)-1,0)</f>
        <v>Commercial &amp; Industrial Solutions Program</v>
      </c>
    </row>
    <row r="60" spans="2:15" x14ac:dyDescent="0.25">
      <c r="B60" s="486" t="str">
        <f ca="1">Order!J5</f>
        <v>Commercial &amp; Industrial Solutions Program</v>
      </c>
      <c r="C60" s="486" t="str">
        <f ca="1">IF(ISERROR(VLOOKUP(B60,Data!$B$4:$N$23,2,FALSE)),"-",VLOOKUP(B60,Data!$B$4:$N$23,2,FALSE))</f>
        <v>Commercial &amp; Industrial</v>
      </c>
      <c r="D60" s="494">
        <f ca="1">IF(ISERROR(VLOOKUP(B60,Data!$B$4:$N$23,10,FALSE)),"-",VLOOKUP(B60,Data!$B$4:$N$23,10,FALSE))</f>
        <v>1425147.99</v>
      </c>
      <c r="E60" s="494">
        <f ca="1">IF(ISERROR(VLOOKUP(B60,Data!$B$29:$T$48,10,FALSE)),"-",VLOOKUP(B60,Data!$B$29:$T$48,10,FALSE))</f>
        <v>1391947.99</v>
      </c>
      <c r="F60" s="489">
        <f ca="1">IF(ISERROR(VLOOKUP(B60,Data!$B$4:$N$23,12,FALSE)),"-",VLOOKUP(B60,Data!$B$4:$N$23,12,FALSE))</f>
        <v>620044</v>
      </c>
      <c r="G60" s="489">
        <f ca="1">IF(ISERROR(VLOOKUP(B60,Data!$B$29:$T$48,12,FALSE)),"-",VLOOKUP(B60,Data!$B$29:$T$48,12,FALSE))</f>
        <v>647132</v>
      </c>
      <c r="H60" s="489">
        <f ca="1">IF(ISERROR(VLOOKUP(B60,Data!$B$4:$N$23,13,FALSE)),"-",VLOOKUP(B60,Data!$B$4:$N$23,13,FALSE))</f>
        <v>232</v>
      </c>
      <c r="I60" s="489">
        <f ca="1">IF(ISERROR(VLOOKUP(B60,Data!$B$29:$T$48,13,FALSE)),"-",VLOOKUP(B60,Data!$B$29:$T$48,13,FALSE))</f>
        <v>232</v>
      </c>
      <c r="J60" s="495">
        <f ca="1">IF(ISERROR(VLOOKUP(B60,Data!$B$29:$T$48,18,FALSE)),"-",VLOOKUP(B60,Data!$B$29:$T$48,18,FALSE))</f>
        <v>1.2548274706959246</v>
      </c>
      <c r="K60" s="494">
        <f ca="1">IF(ISERROR(VLOOKUP(B60,Data!$B$29:$T$48,15,FALSE)),"-",VLOOKUP(B60,Data!$B$29:$T$48,15,FALSE))</f>
        <v>1859.4380756108976</v>
      </c>
      <c r="L60" s="494">
        <f ca="1">IF(ISERROR(VLOOKUP(B60,Data!$B$29:$T$48,16,FALSE)),"-",VLOOKUP(B60,Data!$B$29:$T$48,16,FALSE))</f>
        <v>2333.2739773345202</v>
      </c>
      <c r="M60" s="186">
        <f t="shared" ca="1" si="1"/>
        <v>1391947.99</v>
      </c>
      <c r="N60" s="247">
        <f ca="1">COUNT($M$58:$M$77)-(RANK(M60,$M$58:$M$77)+COUNTIF($M$58:M60,M60)-1)+1</f>
        <v>19</v>
      </c>
      <c r="O60" t="str">
        <f t="shared" ca="1" si="2"/>
        <v>Income Qualified Program</v>
      </c>
    </row>
    <row r="61" spans="2:15" x14ac:dyDescent="0.25">
      <c r="B61" s="486" t="str">
        <f ca="1">Order!J6</f>
        <v>Energy Efficiency Arkansas</v>
      </c>
      <c r="C61" s="486" t="str">
        <f ca="1">IF(ISERROR(VLOOKUP(B61,Data!$B$4:$N$23,2,FALSE)),"-",VLOOKUP(B61,Data!$B$4:$N$23,2,FALSE))</f>
        <v>All Classes</v>
      </c>
      <c r="D61" s="494">
        <f ca="1">IF(ISERROR(VLOOKUP(B61,Data!$B$4:$N$23,10,FALSE)),"-",VLOOKUP(B61,Data!$B$4:$N$23,10,FALSE))</f>
        <v>0</v>
      </c>
      <c r="E61" s="494">
        <f ca="1">IF(ISERROR(VLOOKUP(B61,Data!$B$29:$T$48,10,FALSE)),"-",VLOOKUP(B61,Data!$B$29:$T$48,10,FALSE))</f>
        <v>0</v>
      </c>
      <c r="F61" s="489">
        <f ca="1">IF(ISERROR(VLOOKUP(B61,Data!$B$4:$N$23,12,FALSE)),"-",VLOOKUP(B61,Data!$B$4:$N$23,12,FALSE))</f>
        <v>0</v>
      </c>
      <c r="G61" s="489">
        <f ca="1">IF(ISERROR(VLOOKUP(B61,Data!$B$29:$T$48,12,FALSE)),"-",VLOOKUP(B61,Data!$B$29:$T$48,12,FALSE))</f>
        <v>0</v>
      </c>
      <c r="H61" s="489">
        <f ca="1">IF(ISERROR(VLOOKUP(B61,Data!$B$4:$N$23,13,FALSE)),"-",VLOOKUP(B61,Data!$B$4:$N$23,13,FALSE))</f>
        <v>0</v>
      </c>
      <c r="I61" s="489">
        <f ca="1">IF(ISERROR(VLOOKUP(B61,Data!$B$29:$T$48,13,FALSE)),"-",VLOOKUP(B61,Data!$B$29:$T$48,13,FALSE))</f>
        <v>0</v>
      </c>
      <c r="J61" s="495" t="str">
        <f ca="1">IF(ISERROR(VLOOKUP(B61,Data!$B$29:$T$48,18,FALSE)),"-",VLOOKUP(B61,Data!$B$29:$T$48,18,FALSE))</f>
        <v>n/a</v>
      </c>
      <c r="K61" s="494">
        <f ca="1">IF(ISERROR(VLOOKUP(B61,Data!$B$29:$T$48,15,FALSE)),"-",VLOOKUP(B61,Data!$B$29:$T$48,15,FALSE))</f>
        <v>0</v>
      </c>
      <c r="L61" s="494">
        <f ca="1">IF(ISERROR(VLOOKUP(B61,Data!$B$29:$T$48,16,FALSE)),"-",VLOOKUP(B61,Data!$B$29:$T$48,16,FALSE))</f>
        <v>0</v>
      </c>
      <c r="M61" s="186">
        <f t="shared" ca="1" si="1"/>
        <v>0</v>
      </c>
      <c r="N61" s="247">
        <f ca="1">COUNT($M$58:$M$77)-(RANK(M61,$M$58:$M$77)+COUNTIF($M$58:M61,M61)-1)+1</f>
        <v>17</v>
      </c>
      <c r="O61" t="str">
        <f t="shared" ca="1" si="2"/>
        <v>Energy Efficiency Arkansas</v>
      </c>
    </row>
    <row r="62" spans="2:15" x14ac:dyDescent="0.25">
      <c r="B62" s="486" t="str">
        <f ca="1">Order!J7</f>
        <v>*Hide*</v>
      </c>
      <c r="C62" s="486" t="str">
        <f ca="1">IF(ISERROR(VLOOKUP(B62,Data!$B$4:$N$23,2,FALSE)),"-",VLOOKUP(B62,Data!$B$4:$N$23,2,FALSE))</f>
        <v>-</v>
      </c>
      <c r="D62" s="494" t="str">
        <f ca="1">IF(ISERROR(VLOOKUP(B62,Data!$B$4:$N$23,10,FALSE)),"-",VLOOKUP(B62,Data!$B$4:$N$23,10,FALSE))</f>
        <v>-</v>
      </c>
      <c r="E62" s="494" t="str">
        <f ca="1">IF(ISERROR(VLOOKUP(B62,Data!$B$29:$T$48,10,FALSE)),"-",VLOOKUP(B62,Data!$B$29:$T$48,10,FALSE))</f>
        <v>-</v>
      </c>
      <c r="F62" s="489" t="str">
        <f ca="1">IF(ISERROR(VLOOKUP(B62,Data!$B$4:$N$23,12,FALSE)),"-",VLOOKUP(B62,Data!$B$4:$N$23,12,FALSE))</f>
        <v>-</v>
      </c>
      <c r="G62" s="489" t="str">
        <f ca="1">IF(ISERROR(VLOOKUP(B62,Data!$B$29:$T$48,12,FALSE)),"-",VLOOKUP(B62,Data!$B$29:$T$48,12,FALSE))</f>
        <v>-</v>
      </c>
      <c r="H62" s="489" t="str">
        <f ca="1">IF(ISERROR(VLOOKUP(B62,Data!$B$4:$N$23,13,FALSE)),"-",VLOOKUP(B62,Data!$B$4:$N$23,13,FALSE))</f>
        <v>-</v>
      </c>
      <c r="I62" s="489" t="str">
        <f ca="1">IF(ISERROR(VLOOKUP(B62,Data!$B$29:$T$48,13,FALSE)),"-",VLOOKUP(B62,Data!$B$29:$T$48,13,FALSE))</f>
        <v>-</v>
      </c>
      <c r="J62" s="495" t="str">
        <f ca="1">IF(ISERROR(VLOOKUP(B62,Data!$B$29:$T$48,18,FALSE)),"-",VLOOKUP(B62,Data!$B$29:$T$48,18,FALSE))</f>
        <v>-</v>
      </c>
      <c r="K62" s="494" t="str">
        <f ca="1">IF(ISERROR(VLOOKUP(B62,Data!$B$29:$T$48,15,FALSE)),"-",VLOOKUP(B62,Data!$B$29:$T$48,15,FALSE))</f>
        <v>-</v>
      </c>
      <c r="L62" s="494" t="str">
        <f ca="1">IF(ISERROR(VLOOKUP(B62,Data!$B$29:$T$48,16,FALSE)),"-",VLOOKUP(B62,Data!$B$29:$T$48,16,FALSE))</f>
        <v>-</v>
      </c>
      <c r="M62" s="186">
        <f t="shared" ca="1" si="1"/>
        <v>0</v>
      </c>
      <c r="N62" s="247">
        <f ca="1">COUNT($M$58:$M$77)-(RANK(M62,$M$58:$M$77)+COUNTIF($M$58:M62,M62)-1)+1</f>
        <v>16</v>
      </c>
      <c r="O62" t="str">
        <f t="shared" ca="1" si="2"/>
        <v>*Hide*</v>
      </c>
    </row>
    <row r="63" spans="2:15" x14ac:dyDescent="0.25">
      <c r="B63" s="486" t="str">
        <f ca="1">Order!J8</f>
        <v>*Hide*</v>
      </c>
      <c r="C63" s="486" t="str">
        <f ca="1">IF(ISERROR(VLOOKUP(B63,Data!$B$4:$N$23,2,FALSE)),"-",VLOOKUP(B63,Data!$B$4:$N$23,2,FALSE))</f>
        <v>-</v>
      </c>
      <c r="D63" s="494" t="str">
        <f ca="1">IF(ISERROR(VLOOKUP(B63,Data!$B$4:$N$23,10,FALSE)),"-",VLOOKUP(B63,Data!$B$4:$N$23,10,FALSE))</f>
        <v>-</v>
      </c>
      <c r="E63" s="494" t="str">
        <f ca="1">IF(ISERROR(VLOOKUP(B63,Data!$B$29:$T$48,10,FALSE)),"-",VLOOKUP(B63,Data!$B$29:$T$48,10,FALSE))</f>
        <v>-</v>
      </c>
      <c r="F63" s="489" t="str">
        <f ca="1">IF(ISERROR(VLOOKUP(B63,Data!$B$4:$N$23,12,FALSE)),"-",VLOOKUP(B63,Data!$B$4:$N$23,12,FALSE))</f>
        <v>-</v>
      </c>
      <c r="G63" s="489" t="str">
        <f ca="1">IF(ISERROR(VLOOKUP(B63,Data!$B$29:$T$48,12,FALSE)),"-",VLOOKUP(B63,Data!$B$29:$T$48,12,FALSE))</f>
        <v>-</v>
      </c>
      <c r="H63" s="489" t="str">
        <f ca="1">IF(ISERROR(VLOOKUP(B63,Data!$B$4:$N$23,13,FALSE)),"-",VLOOKUP(B63,Data!$B$4:$N$23,13,FALSE))</f>
        <v>-</v>
      </c>
      <c r="I63" s="489" t="str">
        <f ca="1">IF(ISERROR(VLOOKUP(B63,Data!$B$29:$T$48,13,FALSE)),"-",VLOOKUP(B63,Data!$B$29:$T$48,13,FALSE))</f>
        <v>-</v>
      </c>
      <c r="J63" s="495" t="str">
        <f ca="1">IF(ISERROR(VLOOKUP(B63,Data!$B$29:$T$48,18,FALSE)),"-",VLOOKUP(B63,Data!$B$29:$T$48,18,FALSE))</f>
        <v>-</v>
      </c>
      <c r="K63" s="494" t="str">
        <f ca="1">IF(ISERROR(VLOOKUP(B63,Data!$B$29:$T$48,15,FALSE)),"-",VLOOKUP(B63,Data!$B$29:$T$48,15,FALSE))</f>
        <v>-</v>
      </c>
      <c r="L63" s="494" t="str">
        <f ca="1">IF(ISERROR(VLOOKUP(B63,Data!$B$29:$T$48,16,FALSE)),"-",VLOOKUP(B63,Data!$B$29:$T$48,16,FALSE))</f>
        <v>-</v>
      </c>
      <c r="M63" s="186">
        <f t="shared" ca="1" si="1"/>
        <v>0</v>
      </c>
      <c r="N63" s="247">
        <f ca="1">COUNT($M$58:$M$77)-(RANK(M63,$M$58:$M$77)+COUNTIF($M$58:M63,M63)-1)+1</f>
        <v>15</v>
      </c>
      <c r="O63" t="str">
        <f t="shared" ca="1" si="2"/>
        <v>*Hide*</v>
      </c>
    </row>
    <row r="64" spans="2:15" x14ac:dyDescent="0.25">
      <c r="B64" s="486" t="str">
        <f ca="1">Order!J9</f>
        <v>*Hide*</v>
      </c>
      <c r="C64" s="486" t="str">
        <f ca="1">IF(ISERROR(VLOOKUP(B64,Data!$B$4:$N$23,2,FALSE)),"-",VLOOKUP(B64,Data!$B$4:$N$23,2,FALSE))</f>
        <v>-</v>
      </c>
      <c r="D64" s="494" t="str">
        <f ca="1">IF(ISERROR(VLOOKUP(B64,Data!$B$4:$N$23,10,FALSE)),"-",VLOOKUP(B64,Data!$B$4:$N$23,10,FALSE))</f>
        <v>-</v>
      </c>
      <c r="E64" s="494" t="str">
        <f ca="1">IF(ISERROR(VLOOKUP(B64,Data!$B$29:$T$48,10,FALSE)),"-",VLOOKUP(B64,Data!$B$29:$T$48,10,FALSE))</f>
        <v>-</v>
      </c>
      <c r="F64" s="489" t="str">
        <f ca="1">IF(ISERROR(VLOOKUP(B64,Data!$B$4:$N$23,12,FALSE)),"-",VLOOKUP(B64,Data!$B$4:$N$23,12,FALSE))</f>
        <v>-</v>
      </c>
      <c r="G64" s="489" t="str">
        <f ca="1">IF(ISERROR(VLOOKUP(B64,Data!$B$29:$T$48,12,FALSE)),"-",VLOOKUP(B64,Data!$B$29:$T$48,12,FALSE))</f>
        <v>-</v>
      </c>
      <c r="H64" s="489" t="str">
        <f ca="1">IF(ISERROR(VLOOKUP(B64,Data!$B$4:$N$23,13,FALSE)),"-",VLOOKUP(B64,Data!$B$4:$N$23,13,FALSE))</f>
        <v>-</v>
      </c>
      <c r="I64" s="489" t="str">
        <f ca="1">IF(ISERROR(VLOOKUP(B64,Data!$B$29:$T$48,13,FALSE)),"-",VLOOKUP(B64,Data!$B$29:$T$48,13,FALSE))</f>
        <v>-</v>
      </c>
      <c r="J64" s="495" t="str">
        <f ca="1">IF(ISERROR(VLOOKUP(B64,Data!$B$29:$T$48,18,FALSE)),"-",VLOOKUP(B64,Data!$B$29:$T$48,18,FALSE))</f>
        <v>-</v>
      </c>
      <c r="K64" s="494" t="str">
        <f ca="1">IF(ISERROR(VLOOKUP(B64,Data!$B$29:$T$48,15,FALSE)),"-",VLOOKUP(B64,Data!$B$29:$T$48,15,FALSE))</f>
        <v>-</v>
      </c>
      <c r="L64" s="494" t="str">
        <f ca="1">IF(ISERROR(VLOOKUP(B64,Data!$B$29:$T$48,16,FALSE)),"-",VLOOKUP(B64,Data!$B$29:$T$48,16,FALSE))</f>
        <v>-</v>
      </c>
      <c r="M64" s="186">
        <f t="shared" ca="1" si="1"/>
        <v>0</v>
      </c>
      <c r="N64" s="247">
        <f ca="1">COUNT($M$58:$M$77)-(RANK(M64,$M$58:$M$77)+COUNTIF($M$58:M64,M64)-1)+1</f>
        <v>14</v>
      </c>
      <c r="O64" t="str">
        <f t="shared" ca="1" si="2"/>
        <v>*Hide*</v>
      </c>
    </row>
    <row r="65" spans="2:15" x14ac:dyDescent="0.25">
      <c r="B65" s="486" t="str">
        <f ca="1">Order!J10</f>
        <v>*Hide*</v>
      </c>
      <c r="C65" s="486" t="str">
        <f ca="1">IF(ISERROR(VLOOKUP(B65,Data!$B$4:$N$23,2,FALSE)),"-",VLOOKUP(B65,Data!$B$4:$N$23,2,FALSE))</f>
        <v>-</v>
      </c>
      <c r="D65" s="494" t="str">
        <f ca="1">IF(ISERROR(VLOOKUP(B65,Data!$B$4:$N$23,10,FALSE)),"-",VLOOKUP(B65,Data!$B$4:$N$23,10,FALSE))</f>
        <v>-</v>
      </c>
      <c r="E65" s="494" t="str">
        <f ca="1">IF(ISERROR(VLOOKUP(B65,Data!$B$29:$T$48,10,FALSE)),"-",VLOOKUP(B65,Data!$B$29:$T$48,10,FALSE))</f>
        <v>-</v>
      </c>
      <c r="F65" s="489" t="str">
        <f ca="1">IF(ISERROR(VLOOKUP(B65,Data!$B$4:$N$23,12,FALSE)),"-",VLOOKUP(B65,Data!$B$4:$N$23,12,FALSE))</f>
        <v>-</v>
      </c>
      <c r="G65" s="489" t="str">
        <f ca="1">IF(ISERROR(VLOOKUP(B65,Data!$B$29:$T$48,12,FALSE)),"-",VLOOKUP(B65,Data!$B$29:$T$48,12,FALSE))</f>
        <v>-</v>
      </c>
      <c r="H65" s="489" t="str">
        <f ca="1">IF(ISERROR(VLOOKUP(B65,Data!$B$4:$N$23,13,FALSE)),"-",VLOOKUP(B65,Data!$B$4:$N$23,13,FALSE))</f>
        <v>-</v>
      </c>
      <c r="I65" s="489" t="str">
        <f ca="1">IF(ISERROR(VLOOKUP(B65,Data!$B$29:$T$48,13,FALSE)),"-",VLOOKUP(B65,Data!$B$29:$T$48,13,FALSE))</f>
        <v>-</v>
      </c>
      <c r="J65" s="495" t="str">
        <f ca="1">IF(ISERROR(VLOOKUP(B65,Data!$B$29:$T$48,18,FALSE)),"-",VLOOKUP(B65,Data!$B$29:$T$48,18,FALSE))</f>
        <v>-</v>
      </c>
      <c r="K65" s="494" t="str">
        <f ca="1">IF(ISERROR(VLOOKUP(B65,Data!$B$29:$T$48,15,FALSE)),"-",VLOOKUP(B65,Data!$B$29:$T$48,15,FALSE))</f>
        <v>-</v>
      </c>
      <c r="L65" s="494" t="str">
        <f ca="1">IF(ISERROR(VLOOKUP(B65,Data!$B$29:$T$48,16,FALSE)),"-",VLOOKUP(B65,Data!$B$29:$T$48,16,FALSE))</f>
        <v>-</v>
      </c>
      <c r="M65" s="186">
        <f t="shared" ca="1" si="1"/>
        <v>0</v>
      </c>
      <c r="N65" s="247">
        <f ca="1">COUNT($M$58:$M$77)-(RANK(M65,$M$58:$M$77)+COUNTIF($M$58:M65,M65)-1)+1</f>
        <v>13</v>
      </c>
      <c r="O65" t="str">
        <f t="shared" ca="1" si="2"/>
        <v>*Hide*</v>
      </c>
    </row>
    <row r="66" spans="2:15" x14ac:dyDescent="0.25">
      <c r="B66" s="486" t="str">
        <f ca="1">Order!J11</f>
        <v>*Hide*</v>
      </c>
      <c r="C66" s="486" t="str">
        <f ca="1">IF(ISERROR(VLOOKUP(B66,Data!$B$4:$N$23,2,FALSE)),"-",VLOOKUP(B66,Data!$B$4:$N$23,2,FALSE))</f>
        <v>-</v>
      </c>
      <c r="D66" s="494" t="str">
        <f ca="1">IF(ISERROR(VLOOKUP(B66,Data!$B$4:$N$23,10,FALSE)),"-",VLOOKUP(B66,Data!$B$4:$N$23,10,FALSE))</f>
        <v>-</v>
      </c>
      <c r="E66" s="494" t="str">
        <f ca="1">IF(ISERROR(VLOOKUP(B66,Data!$B$29:$T$48,10,FALSE)),"-",VLOOKUP(B66,Data!$B$29:$T$48,10,FALSE))</f>
        <v>-</v>
      </c>
      <c r="F66" s="489" t="str">
        <f ca="1">IF(ISERROR(VLOOKUP(B66,Data!$B$4:$N$23,12,FALSE)),"-",VLOOKUP(B66,Data!$B$4:$N$23,12,FALSE))</f>
        <v>-</v>
      </c>
      <c r="G66" s="489" t="str">
        <f ca="1">IF(ISERROR(VLOOKUP(B66,Data!$B$29:$T$48,12,FALSE)),"-",VLOOKUP(B66,Data!$B$29:$T$48,12,FALSE))</f>
        <v>-</v>
      </c>
      <c r="H66" s="489" t="str">
        <f ca="1">IF(ISERROR(VLOOKUP(B66,Data!$B$4:$N$23,13,FALSE)),"-",VLOOKUP(B66,Data!$B$4:$N$23,13,FALSE))</f>
        <v>-</v>
      </c>
      <c r="I66" s="489" t="str">
        <f ca="1">IF(ISERROR(VLOOKUP(B66,Data!$B$29:$T$48,13,FALSE)),"-",VLOOKUP(B66,Data!$B$29:$T$48,13,FALSE))</f>
        <v>-</v>
      </c>
      <c r="J66" s="495" t="str">
        <f ca="1">IF(ISERROR(VLOOKUP(B66,Data!$B$29:$T$48,18,FALSE)),"-",VLOOKUP(B66,Data!$B$29:$T$48,18,FALSE))</f>
        <v>-</v>
      </c>
      <c r="K66" s="494" t="str">
        <f ca="1">IF(ISERROR(VLOOKUP(B66,Data!$B$29:$T$48,15,FALSE)),"-",VLOOKUP(B66,Data!$B$29:$T$48,15,FALSE))</f>
        <v>-</v>
      </c>
      <c r="L66" s="494" t="str">
        <f ca="1">IF(ISERROR(VLOOKUP(B66,Data!$B$29:$T$48,16,FALSE)),"-",VLOOKUP(B66,Data!$B$29:$T$48,16,FALSE))</f>
        <v>-</v>
      </c>
      <c r="M66" s="186">
        <f t="shared" ca="1" si="1"/>
        <v>0</v>
      </c>
      <c r="N66" s="247">
        <f ca="1">COUNT($M$58:$M$77)-(RANK(M66,$M$58:$M$77)+COUNTIF($M$58:M66,M66)-1)+1</f>
        <v>12</v>
      </c>
      <c r="O66" t="str">
        <f t="shared" ca="1" si="2"/>
        <v>*Hide*</v>
      </c>
    </row>
    <row r="67" spans="2:15" x14ac:dyDescent="0.25">
      <c r="B67" s="486" t="str">
        <f ca="1">Order!J12</f>
        <v>*Hide*</v>
      </c>
      <c r="C67" s="486" t="str">
        <f ca="1">IF(ISERROR(VLOOKUP(B67,Data!$B$4:$N$23,2,FALSE)),"-",VLOOKUP(B67,Data!$B$4:$N$23,2,FALSE))</f>
        <v>-</v>
      </c>
      <c r="D67" s="494" t="str">
        <f ca="1">IF(ISERROR(VLOOKUP(B67,Data!$B$4:$N$23,10,FALSE)),"-",VLOOKUP(B67,Data!$B$4:$N$23,10,FALSE))</f>
        <v>-</v>
      </c>
      <c r="E67" s="494" t="str">
        <f ca="1">IF(ISERROR(VLOOKUP(B67,Data!$B$29:$T$48,10,FALSE)),"-",VLOOKUP(B67,Data!$B$29:$T$48,10,FALSE))</f>
        <v>-</v>
      </c>
      <c r="F67" s="489" t="str">
        <f ca="1">IF(ISERROR(VLOOKUP(B67,Data!$B$4:$N$23,12,FALSE)),"-",VLOOKUP(B67,Data!$B$4:$N$23,12,FALSE))</f>
        <v>-</v>
      </c>
      <c r="G67" s="489" t="str">
        <f ca="1">IF(ISERROR(VLOOKUP(B67,Data!$B$29:$T$48,12,FALSE)),"-",VLOOKUP(B67,Data!$B$29:$T$48,12,FALSE))</f>
        <v>-</v>
      </c>
      <c r="H67" s="489" t="str">
        <f ca="1">IF(ISERROR(VLOOKUP(B67,Data!$B$4:$N$23,13,FALSE)),"-",VLOOKUP(B67,Data!$B$4:$N$23,13,FALSE))</f>
        <v>-</v>
      </c>
      <c r="I67" s="489" t="str">
        <f ca="1">IF(ISERROR(VLOOKUP(B67,Data!$B$29:$T$48,13,FALSE)),"-",VLOOKUP(B67,Data!$B$29:$T$48,13,FALSE))</f>
        <v>-</v>
      </c>
      <c r="J67" s="495" t="str">
        <f ca="1">IF(ISERROR(VLOOKUP(B67,Data!$B$29:$T$48,18,FALSE)),"-",VLOOKUP(B67,Data!$B$29:$T$48,18,FALSE))</f>
        <v>-</v>
      </c>
      <c r="K67" s="494" t="str">
        <f ca="1">IF(ISERROR(VLOOKUP(B67,Data!$B$29:$T$48,15,FALSE)),"-",VLOOKUP(B67,Data!$B$29:$T$48,15,FALSE))</f>
        <v>-</v>
      </c>
      <c r="L67" s="494" t="str">
        <f ca="1">IF(ISERROR(VLOOKUP(B67,Data!$B$29:$T$48,16,FALSE)),"-",VLOOKUP(B67,Data!$B$29:$T$48,16,FALSE))</f>
        <v>-</v>
      </c>
      <c r="M67" s="186">
        <f t="shared" ca="1" si="1"/>
        <v>0</v>
      </c>
      <c r="N67" s="247">
        <f ca="1">COUNT($M$58:$M$77)-(RANK(M67,$M$58:$M$77)+COUNTIF($M$58:M67,M67)-1)+1</f>
        <v>11</v>
      </c>
      <c r="O67" t="str">
        <f t="shared" ca="1" si="2"/>
        <v>*Hide*</v>
      </c>
    </row>
    <row r="68" spans="2:15" x14ac:dyDescent="0.25">
      <c r="B68" s="486" t="str">
        <f ca="1">Order!J13</f>
        <v>*Hide*</v>
      </c>
      <c r="C68" s="486" t="str">
        <f ca="1">IF(ISERROR(VLOOKUP(B68,Data!$B$4:$N$23,2,FALSE)),"-",VLOOKUP(B68,Data!$B$4:$N$23,2,FALSE))</f>
        <v>-</v>
      </c>
      <c r="D68" s="494" t="str">
        <f ca="1">IF(ISERROR(VLOOKUP(B68,Data!$B$4:$N$23,10,FALSE)),"-",VLOOKUP(B68,Data!$B$4:$N$23,10,FALSE))</f>
        <v>-</v>
      </c>
      <c r="E68" s="494" t="str">
        <f ca="1">IF(ISERROR(VLOOKUP(B68,Data!$B$29:$T$48,10,FALSE)),"-",VLOOKUP(B68,Data!$B$29:$T$48,10,FALSE))</f>
        <v>-</v>
      </c>
      <c r="F68" s="489" t="str">
        <f ca="1">IF(ISERROR(VLOOKUP(B68,Data!$B$4:$N$23,12,FALSE)),"-",VLOOKUP(B68,Data!$B$4:$N$23,12,FALSE))</f>
        <v>-</v>
      </c>
      <c r="G68" s="489" t="str">
        <f ca="1">IF(ISERROR(VLOOKUP(B68,Data!$B$29:$T$48,12,FALSE)),"-",VLOOKUP(B68,Data!$B$29:$T$48,12,FALSE))</f>
        <v>-</v>
      </c>
      <c r="H68" s="489" t="str">
        <f ca="1">IF(ISERROR(VLOOKUP(B68,Data!$B$4:$N$23,13,FALSE)),"-",VLOOKUP(B68,Data!$B$4:$N$23,13,FALSE))</f>
        <v>-</v>
      </c>
      <c r="I68" s="489" t="str">
        <f ca="1">IF(ISERROR(VLOOKUP(B68,Data!$B$29:$T$48,13,FALSE)),"-",VLOOKUP(B68,Data!$B$29:$T$48,13,FALSE))</f>
        <v>-</v>
      </c>
      <c r="J68" s="495" t="str">
        <f ca="1">IF(ISERROR(VLOOKUP(B68,Data!$B$29:$T$48,18,FALSE)),"-",VLOOKUP(B68,Data!$B$29:$T$48,18,FALSE))</f>
        <v>-</v>
      </c>
      <c r="K68" s="494" t="str">
        <f ca="1">IF(ISERROR(VLOOKUP(B68,Data!$B$29:$T$48,15,FALSE)),"-",VLOOKUP(B68,Data!$B$29:$T$48,15,FALSE))</f>
        <v>-</v>
      </c>
      <c r="L68" s="494" t="str">
        <f ca="1">IF(ISERROR(VLOOKUP(B68,Data!$B$29:$T$48,16,FALSE)),"-",VLOOKUP(B68,Data!$B$29:$T$48,16,FALSE))</f>
        <v>-</v>
      </c>
      <c r="M68" s="186">
        <f t="shared" ca="1" si="1"/>
        <v>0</v>
      </c>
      <c r="N68" s="247">
        <f ca="1">COUNT($M$58:$M$77)-(RANK(M68,$M$58:$M$77)+COUNTIF($M$58:M68,M68)-1)+1</f>
        <v>10</v>
      </c>
      <c r="O68" t="str">
        <f t="shared" ca="1" si="2"/>
        <v>*Hide*</v>
      </c>
    </row>
    <row r="69" spans="2:15" x14ac:dyDescent="0.25">
      <c r="B69" s="486" t="str">
        <f ca="1">Order!J14</f>
        <v>*Hide*</v>
      </c>
      <c r="C69" s="486" t="str">
        <f ca="1">IF(ISERROR(VLOOKUP(B69,Data!$B$4:$N$23,2,FALSE)),"-",VLOOKUP(B69,Data!$B$4:$N$23,2,FALSE))</f>
        <v>-</v>
      </c>
      <c r="D69" s="494" t="str">
        <f ca="1">IF(ISERROR(VLOOKUP(B69,Data!$B$4:$N$23,10,FALSE)),"-",VLOOKUP(B69,Data!$B$4:$N$23,10,FALSE))</f>
        <v>-</v>
      </c>
      <c r="E69" s="494" t="str">
        <f ca="1">IF(ISERROR(VLOOKUP(B69,Data!$B$29:$T$48,10,FALSE)),"-",VLOOKUP(B69,Data!$B$29:$T$48,10,FALSE))</f>
        <v>-</v>
      </c>
      <c r="F69" s="489" t="str">
        <f ca="1">IF(ISERROR(VLOOKUP(B69,Data!$B$4:$N$23,12,FALSE)),"-",VLOOKUP(B69,Data!$B$4:$N$23,12,FALSE))</f>
        <v>-</v>
      </c>
      <c r="G69" s="489" t="str">
        <f ca="1">IF(ISERROR(VLOOKUP(B69,Data!$B$29:$T$48,12,FALSE)),"-",VLOOKUP(B69,Data!$B$29:$T$48,12,FALSE))</f>
        <v>-</v>
      </c>
      <c r="H69" s="489" t="str">
        <f ca="1">IF(ISERROR(VLOOKUP(B69,Data!$B$4:$N$23,13,FALSE)),"-",VLOOKUP(B69,Data!$B$4:$N$23,13,FALSE))</f>
        <v>-</v>
      </c>
      <c r="I69" s="489" t="str">
        <f ca="1">IF(ISERROR(VLOOKUP(B69,Data!$B$29:$T$48,13,FALSE)),"-",VLOOKUP(B69,Data!$B$29:$T$48,13,FALSE))</f>
        <v>-</v>
      </c>
      <c r="J69" s="495" t="str">
        <f ca="1">IF(ISERROR(VLOOKUP(B69,Data!$B$29:$T$48,18,FALSE)),"-",VLOOKUP(B69,Data!$B$29:$T$48,18,FALSE))</f>
        <v>-</v>
      </c>
      <c r="K69" s="494" t="str">
        <f ca="1">IF(ISERROR(VLOOKUP(B69,Data!$B$29:$T$48,15,FALSE)),"-",VLOOKUP(B69,Data!$B$29:$T$48,15,FALSE))</f>
        <v>-</v>
      </c>
      <c r="L69" s="494" t="str">
        <f ca="1">IF(ISERROR(VLOOKUP(B69,Data!$B$29:$T$48,16,FALSE)),"-",VLOOKUP(B69,Data!$B$29:$T$48,16,FALSE))</f>
        <v>-</v>
      </c>
      <c r="M69" s="186">
        <f t="shared" ca="1" si="1"/>
        <v>0</v>
      </c>
      <c r="N69" s="247">
        <f ca="1">COUNT($M$58:$M$77)-(RANK(M69,$M$58:$M$77)+COUNTIF($M$58:M69,M69)-1)+1</f>
        <v>9</v>
      </c>
      <c r="O69" t="str">
        <f t="shared" ca="1" si="2"/>
        <v>*Hide*</v>
      </c>
    </row>
    <row r="70" spans="2:15" x14ac:dyDescent="0.25">
      <c r="B70" s="486" t="str">
        <f ca="1">Order!J15</f>
        <v>*Hide*</v>
      </c>
      <c r="C70" s="486" t="str">
        <f ca="1">IF(ISERROR(VLOOKUP(B70,Data!$B$4:$N$23,2,FALSE)),"-",VLOOKUP(B70,Data!$B$4:$N$23,2,FALSE))</f>
        <v>-</v>
      </c>
      <c r="D70" s="494" t="str">
        <f ca="1">IF(ISERROR(VLOOKUP(B70,Data!$B$4:$N$23,10,FALSE)),"-",VLOOKUP(B70,Data!$B$4:$N$23,10,FALSE))</f>
        <v>-</v>
      </c>
      <c r="E70" s="494" t="str">
        <f ca="1">IF(ISERROR(VLOOKUP(B70,Data!$B$29:$T$48,10,FALSE)),"-",VLOOKUP(B70,Data!$B$29:$T$48,10,FALSE))</f>
        <v>-</v>
      </c>
      <c r="F70" s="489" t="str">
        <f ca="1">IF(ISERROR(VLOOKUP(B70,Data!$B$4:$N$23,12,FALSE)),"-",VLOOKUP(B70,Data!$B$4:$N$23,12,FALSE))</f>
        <v>-</v>
      </c>
      <c r="G70" s="489" t="str">
        <f ca="1">IF(ISERROR(VLOOKUP(B70,Data!$B$29:$T$48,12,FALSE)),"-",VLOOKUP(B70,Data!$B$29:$T$48,12,FALSE))</f>
        <v>-</v>
      </c>
      <c r="H70" s="489" t="str">
        <f ca="1">IF(ISERROR(VLOOKUP(B70,Data!$B$4:$N$23,13,FALSE)),"-",VLOOKUP(B70,Data!$B$4:$N$23,13,FALSE))</f>
        <v>-</v>
      </c>
      <c r="I70" s="489" t="str">
        <f ca="1">IF(ISERROR(VLOOKUP(B70,Data!$B$29:$T$48,13,FALSE)),"-",VLOOKUP(B70,Data!$B$29:$T$48,13,FALSE))</f>
        <v>-</v>
      </c>
      <c r="J70" s="495" t="str">
        <f ca="1">IF(ISERROR(VLOOKUP(B70,Data!$B$29:$T$48,18,FALSE)),"-",VLOOKUP(B70,Data!$B$29:$T$48,18,FALSE))</f>
        <v>-</v>
      </c>
      <c r="K70" s="494" t="str">
        <f ca="1">IF(ISERROR(VLOOKUP(B70,Data!$B$29:$T$48,15,FALSE)),"-",VLOOKUP(B70,Data!$B$29:$T$48,15,FALSE))</f>
        <v>-</v>
      </c>
      <c r="L70" s="494" t="str">
        <f ca="1">IF(ISERROR(VLOOKUP(B70,Data!$B$29:$T$48,16,FALSE)),"-",VLOOKUP(B70,Data!$B$29:$T$48,16,FALSE))</f>
        <v>-</v>
      </c>
      <c r="M70" s="186">
        <f t="shared" ca="1" si="1"/>
        <v>0</v>
      </c>
      <c r="N70" s="247">
        <f ca="1">COUNT($M$58:$M$77)-(RANK(M70,$M$58:$M$77)+COUNTIF($M$58:M70,M70)-1)+1</f>
        <v>8</v>
      </c>
      <c r="O70" t="str">
        <f t="shared" ca="1" si="2"/>
        <v>*Hide*</v>
      </c>
    </row>
    <row r="71" spans="2:15" x14ac:dyDescent="0.25">
      <c r="B71" s="486" t="str">
        <f ca="1">Order!J16</f>
        <v>*Hide*</v>
      </c>
      <c r="C71" s="486" t="str">
        <f ca="1">IF(ISERROR(VLOOKUP(B71,Data!$B$4:$N$23,2,FALSE)),"-",VLOOKUP(B71,Data!$B$4:$N$23,2,FALSE))</f>
        <v>-</v>
      </c>
      <c r="D71" s="494" t="str">
        <f ca="1">IF(ISERROR(VLOOKUP(B71,Data!$B$4:$N$23,10,FALSE)),"-",VLOOKUP(B71,Data!$B$4:$N$23,10,FALSE))</f>
        <v>-</v>
      </c>
      <c r="E71" s="494" t="str">
        <f ca="1">IF(ISERROR(VLOOKUP(B71,Data!$B$29:$T$48,10,FALSE)),"-",VLOOKUP(B71,Data!$B$29:$T$48,10,FALSE))</f>
        <v>-</v>
      </c>
      <c r="F71" s="489" t="str">
        <f ca="1">IF(ISERROR(VLOOKUP(B71,Data!$B$4:$N$23,12,FALSE)),"-",VLOOKUP(B71,Data!$B$4:$N$23,12,FALSE))</f>
        <v>-</v>
      </c>
      <c r="G71" s="489" t="str">
        <f ca="1">IF(ISERROR(VLOOKUP(B71,Data!$B$29:$T$48,12,FALSE)),"-",VLOOKUP(B71,Data!$B$29:$T$48,12,FALSE))</f>
        <v>-</v>
      </c>
      <c r="H71" s="489" t="str">
        <f ca="1">IF(ISERROR(VLOOKUP(B71,Data!$B$4:$N$23,13,FALSE)),"-",VLOOKUP(B71,Data!$B$4:$N$23,13,FALSE))</f>
        <v>-</v>
      </c>
      <c r="I71" s="489" t="str">
        <f ca="1">IF(ISERROR(VLOOKUP(B71,Data!$B$29:$T$48,13,FALSE)),"-",VLOOKUP(B71,Data!$B$29:$T$48,13,FALSE))</f>
        <v>-</v>
      </c>
      <c r="J71" s="495" t="str">
        <f ca="1">IF(ISERROR(VLOOKUP(B71,Data!$B$29:$T$48,18,FALSE)),"-",VLOOKUP(B71,Data!$B$29:$T$48,18,FALSE))</f>
        <v>-</v>
      </c>
      <c r="K71" s="494" t="str">
        <f ca="1">IF(ISERROR(VLOOKUP(B71,Data!$B$29:$T$48,15,FALSE)),"-",VLOOKUP(B71,Data!$B$29:$T$48,15,FALSE))</f>
        <v>-</v>
      </c>
      <c r="L71" s="494" t="str">
        <f ca="1">IF(ISERROR(VLOOKUP(B71,Data!$B$29:$T$48,16,FALSE)),"-",VLOOKUP(B71,Data!$B$29:$T$48,16,FALSE))</f>
        <v>-</v>
      </c>
      <c r="M71" s="186">
        <f t="shared" ca="1" si="1"/>
        <v>0</v>
      </c>
      <c r="N71" s="247">
        <f ca="1">COUNT($M$58:$M$77)-(RANK(M71,$M$58:$M$77)+COUNTIF($M$58:M71,M71)-1)+1</f>
        <v>7</v>
      </c>
      <c r="O71" t="str">
        <f t="shared" ca="1" si="2"/>
        <v>*Hide*</v>
      </c>
    </row>
    <row r="72" spans="2:15" x14ac:dyDescent="0.25">
      <c r="B72" s="486" t="str">
        <f ca="1">Order!J17</f>
        <v>*Hide*</v>
      </c>
      <c r="C72" s="486" t="str">
        <f ca="1">IF(ISERROR(VLOOKUP(B72,Data!$B$4:$N$23,2,FALSE)),"-",VLOOKUP(B72,Data!$B$4:$N$23,2,FALSE))</f>
        <v>-</v>
      </c>
      <c r="D72" s="494" t="str">
        <f ca="1">IF(ISERROR(VLOOKUP(B72,Data!$B$4:$N$23,10,FALSE)),"-",VLOOKUP(B72,Data!$B$4:$N$23,10,FALSE))</f>
        <v>-</v>
      </c>
      <c r="E72" s="494" t="str">
        <f ca="1">IF(ISERROR(VLOOKUP(B72,Data!$B$29:$T$48,10,FALSE)),"-",VLOOKUP(B72,Data!$B$29:$T$48,10,FALSE))</f>
        <v>-</v>
      </c>
      <c r="F72" s="489" t="str">
        <f ca="1">IF(ISERROR(VLOOKUP(B72,Data!$B$4:$N$23,12,FALSE)),"-",VLOOKUP(B72,Data!$B$4:$N$23,12,FALSE))</f>
        <v>-</v>
      </c>
      <c r="G72" s="489" t="str">
        <f ca="1">IF(ISERROR(VLOOKUP(B72,Data!$B$29:$T$48,12,FALSE)),"-",VLOOKUP(B72,Data!$B$29:$T$48,12,FALSE))</f>
        <v>-</v>
      </c>
      <c r="H72" s="489" t="str">
        <f ca="1">IF(ISERROR(VLOOKUP(B72,Data!$B$4:$N$23,13,FALSE)),"-",VLOOKUP(B72,Data!$B$4:$N$23,13,FALSE))</f>
        <v>-</v>
      </c>
      <c r="I72" s="489" t="str">
        <f ca="1">IF(ISERROR(VLOOKUP(B72,Data!$B$29:$T$48,13,FALSE)),"-",VLOOKUP(B72,Data!$B$29:$T$48,13,FALSE))</f>
        <v>-</v>
      </c>
      <c r="J72" s="495" t="str">
        <f ca="1">IF(ISERROR(VLOOKUP(B72,Data!$B$29:$T$48,18,FALSE)),"-",VLOOKUP(B72,Data!$B$29:$T$48,18,FALSE))</f>
        <v>-</v>
      </c>
      <c r="K72" s="494" t="str">
        <f ca="1">IF(ISERROR(VLOOKUP(B72,Data!$B$29:$T$48,15,FALSE)),"-",VLOOKUP(B72,Data!$B$29:$T$48,15,FALSE))</f>
        <v>-</v>
      </c>
      <c r="L72" s="494" t="str">
        <f ca="1">IF(ISERROR(VLOOKUP(B72,Data!$B$29:$T$48,16,FALSE)),"-",VLOOKUP(B72,Data!$B$29:$T$48,16,FALSE))</f>
        <v>-</v>
      </c>
      <c r="M72" s="186">
        <f t="shared" ca="1" si="1"/>
        <v>0</v>
      </c>
      <c r="N72" s="247">
        <f ca="1">COUNT($M$58:$M$77)-(RANK(M72,$M$58:$M$77)+COUNTIF($M$58:M72,M72)-1)+1</f>
        <v>6</v>
      </c>
      <c r="O72" t="str">
        <f t="shared" ca="1" si="2"/>
        <v>*Hide*</v>
      </c>
    </row>
    <row r="73" spans="2:15" x14ac:dyDescent="0.25">
      <c r="B73" s="486" t="str">
        <f ca="1">Order!J18</f>
        <v>*Hide*</v>
      </c>
      <c r="C73" s="486" t="str">
        <f ca="1">IF(ISERROR(VLOOKUP(B73,Data!$B$4:$N$23,2,FALSE)),"-",VLOOKUP(B73,Data!$B$4:$N$23,2,FALSE))</f>
        <v>-</v>
      </c>
      <c r="D73" s="494" t="str">
        <f ca="1">IF(ISERROR(VLOOKUP(B73,Data!$B$4:$N$23,10,FALSE)),"-",VLOOKUP(B73,Data!$B$4:$N$23,10,FALSE))</f>
        <v>-</v>
      </c>
      <c r="E73" s="494" t="str">
        <f ca="1">IF(ISERROR(VLOOKUP(B73,Data!$B$29:$T$48,10,FALSE)),"-",VLOOKUP(B73,Data!$B$29:$T$48,10,FALSE))</f>
        <v>-</v>
      </c>
      <c r="F73" s="489" t="str">
        <f ca="1">IF(ISERROR(VLOOKUP(B73,Data!$B$4:$N$23,12,FALSE)),"-",VLOOKUP(B73,Data!$B$4:$N$23,12,FALSE))</f>
        <v>-</v>
      </c>
      <c r="G73" s="489" t="str">
        <f ca="1">IF(ISERROR(VLOOKUP(B73,Data!$B$29:$T$48,12,FALSE)),"-",VLOOKUP(B73,Data!$B$29:$T$48,12,FALSE))</f>
        <v>-</v>
      </c>
      <c r="H73" s="489" t="str">
        <f ca="1">IF(ISERROR(VLOOKUP(B73,Data!$B$4:$N$23,13,FALSE)),"-",VLOOKUP(B73,Data!$B$4:$N$23,13,FALSE))</f>
        <v>-</v>
      </c>
      <c r="I73" s="489" t="str">
        <f ca="1">IF(ISERROR(VLOOKUP(B73,Data!$B$29:$T$48,13,FALSE)),"-",VLOOKUP(B73,Data!$B$29:$T$48,13,FALSE))</f>
        <v>-</v>
      </c>
      <c r="J73" s="495" t="str">
        <f ca="1">IF(ISERROR(VLOOKUP(B73,Data!$B$29:$T$48,18,FALSE)),"-",VLOOKUP(B73,Data!$B$29:$T$48,18,FALSE))</f>
        <v>-</v>
      </c>
      <c r="K73" s="494" t="str">
        <f ca="1">IF(ISERROR(VLOOKUP(B73,Data!$B$29:$T$48,15,FALSE)),"-",VLOOKUP(B73,Data!$B$29:$T$48,15,FALSE))</f>
        <v>-</v>
      </c>
      <c r="L73" s="494" t="str">
        <f ca="1">IF(ISERROR(VLOOKUP(B73,Data!$B$29:$T$48,16,FALSE)),"-",VLOOKUP(B73,Data!$B$29:$T$48,16,FALSE))</f>
        <v>-</v>
      </c>
      <c r="M73" s="186">
        <f t="shared" ca="1" si="1"/>
        <v>0</v>
      </c>
      <c r="N73" s="247">
        <f ca="1">COUNT($M$58:$M$77)-(RANK(M73,$M$58:$M$77)+COUNTIF($M$58:M73,M73)-1)+1</f>
        <v>5</v>
      </c>
      <c r="O73" t="str">
        <f t="shared" ca="1" si="2"/>
        <v>*Hide*</v>
      </c>
    </row>
    <row r="74" spans="2:15" x14ac:dyDescent="0.25">
      <c r="B74" s="486" t="str">
        <f ca="1">Order!J19</f>
        <v>*Hide*</v>
      </c>
      <c r="C74" s="486" t="str">
        <f ca="1">IF(ISERROR(VLOOKUP(B74,Data!$B$4:$N$23,2,FALSE)),"-",VLOOKUP(B74,Data!$B$4:$N$23,2,FALSE))</f>
        <v>-</v>
      </c>
      <c r="D74" s="494" t="str">
        <f ca="1">IF(ISERROR(VLOOKUP(B74,Data!$B$4:$N$23,10,FALSE)),"-",VLOOKUP(B74,Data!$B$4:$N$23,10,FALSE))</f>
        <v>-</v>
      </c>
      <c r="E74" s="494" t="str">
        <f ca="1">IF(ISERROR(VLOOKUP(B74,Data!$B$29:$T$48,10,FALSE)),"-",VLOOKUP(B74,Data!$B$29:$T$48,10,FALSE))</f>
        <v>-</v>
      </c>
      <c r="F74" s="489" t="str">
        <f ca="1">IF(ISERROR(VLOOKUP(B74,Data!$B$4:$N$23,12,FALSE)),"-",VLOOKUP(B74,Data!$B$4:$N$23,12,FALSE))</f>
        <v>-</v>
      </c>
      <c r="G74" s="489" t="str">
        <f ca="1">IF(ISERROR(VLOOKUP(B74,Data!$B$29:$T$48,12,FALSE)),"-",VLOOKUP(B74,Data!$B$29:$T$48,12,FALSE))</f>
        <v>-</v>
      </c>
      <c r="H74" s="489" t="str">
        <f ca="1">IF(ISERROR(VLOOKUP(B74,Data!$B$4:$N$23,13,FALSE)),"-",VLOOKUP(B74,Data!$B$4:$N$23,13,FALSE))</f>
        <v>-</v>
      </c>
      <c r="I74" s="489" t="str">
        <f ca="1">IF(ISERROR(VLOOKUP(B74,Data!$B$29:$T$48,13,FALSE)),"-",VLOOKUP(B74,Data!$B$29:$T$48,13,FALSE))</f>
        <v>-</v>
      </c>
      <c r="J74" s="495" t="str">
        <f ca="1">IF(ISERROR(VLOOKUP(B74,Data!$B$29:$T$48,18,FALSE)),"-",VLOOKUP(B74,Data!$B$29:$T$48,18,FALSE))</f>
        <v>-</v>
      </c>
      <c r="K74" s="494" t="str">
        <f ca="1">IF(ISERROR(VLOOKUP(B74,Data!$B$29:$T$48,15,FALSE)),"-",VLOOKUP(B74,Data!$B$29:$T$48,15,FALSE))</f>
        <v>-</v>
      </c>
      <c r="L74" s="494" t="str">
        <f ca="1">IF(ISERROR(VLOOKUP(B74,Data!$B$29:$T$48,16,FALSE)),"-",VLOOKUP(B74,Data!$B$29:$T$48,16,FALSE))</f>
        <v>-</v>
      </c>
      <c r="M74" s="186">
        <f t="shared" ca="1" si="1"/>
        <v>0</v>
      </c>
      <c r="N74" s="247">
        <f ca="1">COUNT($M$58:$M$77)-(RANK(M74,$M$58:$M$77)+COUNTIF($M$58:M74,M74)-1)+1</f>
        <v>4</v>
      </c>
      <c r="O74" t="str">
        <f t="shared" ca="1" si="2"/>
        <v>*Hide*</v>
      </c>
    </row>
    <row r="75" spans="2:15" x14ac:dyDescent="0.25">
      <c r="B75" s="486" t="str">
        <f ca="1">Order!J20</f>
        <v>*Hide*</v>
      </c>
      <c r="C75" s="486" t="str">
        <f ca="1">IF(ISERROR(VLOOKUP(B75,Data!$B$4:$N$23,2,FALSE)),"-",VLOOKUP(B75,Data!$B$4:$N$23,2,FALSE))</f>
        <v>-</v>
      </c>
      <c r="D75" s="494" t="str">
        <f ca="1">IF(ISERROR(VLOOKUP(B75,Data!$B$4:$N$23,10,FALSE)),"-",VLOOKUP(B75,Data!$B$4:$N$23,10,FALSE))</f>
        <v>-</v>
      </c>
      <c r="E75" s="494" t="str">
        <f ca="1">IF(ISERROR(VLOOKUP(B75,Data!$B$29:$T$48,10,FALSE)),"-",VLOOKUP(B75,Data!$B$29:$T$48,10,FALSE))</f>
        <v>-</v>
      </c>
      <c r="F75" s="489" t="str">
        <f ca="1">IF(ISERROR(VLOOKUP(B75,Data!$B$4:$N$23,12,FALSE)),"-",VLOOKUP(B75,Data!$B$4:$N$23,12,FALSE))</f>
        <v>-</v>
      </c>
      <c r="G75" s="489" t="str">
        <f ca="1">IF(ISERROR(VLOOKUP(B75,Data!$B$29:$T$48,12,FALSE)),"-",VLOOKUP(B75,Data!$B$29:$T$48,12,FALSE))</f>
        <v>-</v>
      </c>
      <c r="H75" s="489" t="str">
        <f ca="1">IF(ISERROR(VLOOKUP(B75,Data!$B$4:$N$23,13,FALSE)),"-",VLOOKUP(B75,Data!$B$4:$N$23,13,FALSE))</f>
        <v>-</v>
      </c>
      <c r="I75" s="489" t="str">
        <f ca="1">IF(ISERROR(VLOOKUP(B75,Data!$B$29:$T$48,13,FALSE)),"-",VLOOKUP(B75,Data!$B$29:$T$48,13,FALSE))</f>
        <v>-</v>
      </c>
      <c r="J75" s="495" t="str">
        <f ca="1">IF(ISERROR(VLOOKUP(B75,Data!$B$29:$T$48,18,FALSE)),"-",VLOOKUP(B75,Data!$B$29:$T$48,18,FALSE))</f>
        <v>-</v>
      </c>
      <c r="K75" s="494" t="str">
        <f ca="1">IF(ISERROR(VLOOKUP(B75,Data!$B$29:$T$48,15,FALSE)),"-",VLOOKUP(B75,Data!$B$29:$T$48,15,FALSE))</f>
        <v>-</v>
      </c>
      <c r="L75" s="494" t="str">
        <f ca="1">IF(ISERROR(VLOOKUP(B75,Data!$B$29:$T$48,16,FALSE)),"-",VLOOKUP(B75,Data!$B$29:$T$48,16,FALSE))</f>
        <v>-</v>
      </c>
      <c r="M75" s="186">
        <f t="shared" ca="1" si="1"/>
        <v>0</v>
      </c>
      <c r="N75" s="247">
        <f ca="1">COUNT($M$58:$M$77)-(RANK(M75,$M$58:$M$77)+COUNTIF($M$58:M75,M75)-1)+1</f>
        <v>3</v>
      </c>
      <c r="O75" t="str">
        <f t="shared" ca="1" si="2"/>
        <v>*Hide*</v>
      </c>
    </row>
    <row r="76" spans="2:15" x14ac:dyDescent="0.25">
      <c r="B76" s="486" t="str">
        <f ca="1">Order!J21</f>
        <v>*Hide*</v>
      </c>
      <c r="C76" s="486" t="str">
        <f ca="1">IF(ISERROR(VLOOKUP(B76,Data!$B$4:$N$23,2,FALSE)),"-",VLOOKUP(B76,Data!$B$4:$N$23,2,FALSE))</f>
        <v>-</v>
      </c>
      <c r="D76" s="494" t="str">
        <f ca="1">IF(ISERROR(VLOOKUP(B76,Data!$B$4:$N$23,10,FALSE)),"-",VLOOKUP(B76,Data!$B$4:$N$23,10,FALSE))</f>
        <v>-</v>
      </c>
      <c r="E76" s="494" t="str">
        <f ca="1">IF(ISERROR(VLOOKUP(B76,Data!$B$29:$T$48,10,FALSE)),"-",VLOOKUP(B76,Data!$B$29:$T$48,10,FALSE))</f>
        <v>-</v>
      </c>
      <c r="F76" s="489" t="str">
        <f ca="1">IF(ISERROR(VLOOKUP(B76,Data!$B$4:$N$23,12,FALSE)),"-",VLOOKUP(B76,Data!$B$4:$N$23,12,FALSE))</f>
        <v>-</v>
      </c>
      <c r="G76" s="489" t="str">
        <f ca="1">IF(ISERROR(VLOOKUP(B76,Data!$B$29:$T$48,12,FALSE)),"-",VLOOKUP(B76,Data!$B$29:$T$48,12,FALSE))</f>
        <v>-</v>
      </c>
      <c r="H76" s="489" t="str">
        <f ca="1">IF(ISERROR(VLOOKUP(B76,Data!$B$4:$N$23,13,FALSE)),"-",VLOOKUP(B76,Data!$B$4:$N$23,13,FALSE))</f>
        <v>-</v>
      </c>
      <c r="I76" s="489" t="str">
        <f ca="1">IF(ISERROR(VLOOKUP(B76,Data!$B$29:$T$48,13,FALSE)),"-",VLOOKUP(B76,Data!$B$29:$T$48,13,FALSE))</f>
        <v>-</v>
      </c>
      <c r="J76" s="495" t="str">
        <f ca="1">IF(ISERROR(VLOOKUP(B76,Data!$B$29:$T$48,18,FALSE)),"-",VLOOKUP(B76,Data!$B$29:$T$48,18,FALSE))</f>
        <v>-</v>
      </c>
      <c r="K76" s="494" t="str">
        <f ca="1">IF(ISERROR(VLOOKUP(B76,Data!$B$29:$T$48,15,FALSE)),"-",VLOOKUP(B76,Data!$B$29:$T$48,15,FALSE))</f>
        <v>-</v>
      </c>
      <c r="L76" s="494" t="str">
        <f ca="1">IF(ISERROR(VLOOKUP(B76,Data!$B$29:$T$48,16,FALSE)),"-",VLOOKUP(B76,Data!$B$29:$T$48,16,FALSE))</f>
        <v>-</v>
      </c>
      <c r="M76" s="186">
        <f t="shared" ca="1" si="1"/>
        <v>0</v>
      </c>
      <c r="N76" s="247">
        <f ca="1">COUNT($M$58:$M$77)-(RANK(M76,$M$58:$M$77)+COUNTIF($M$58:M76,M76)-1)+1</f>
        <v>2</v>
      </c>
      <c r="O76" t="str">
        <f t="shared" ca="1" si="2"/>
        <v>*Hide*</v>
      </c>
    </row>
    <row r="77" spans="2:15" x14ac:dyDescent="0.25">
      <c r="B77" s="486" t="str">
        <f ca="1">Order!J22</f>
        <v>*Hide*</v>
      </c>
      <c r="C77" s="486" t="str">
        <f ca="1">IF(ISERROR(VLOOKUP(B77,Data!$B$4:$N$23,2,FALSE)),"-",VLOOKUP(B77,Data!$B$4:$N$23,2,FALSE))</f>
        <v>-</v>
      </c>
      <c r="D77" s="494" t="str">
        <f ca="1">IF(ISERROR(VLOOKUP(B77,Data!$B$4:$N$23,10,FALSE)),"-",VLOOKUP(B77,Data!$B$4:$N$23,10,FALSE))</f>
        <v>-</v>
      </c>
      <c r="E77" s="494" t="str">
        <f ca="1">IF(ISERROR(VLOOKUP(B77,Data!$B$29:$T$48,10,FALSE)),"-",VLOOKUP(B77,Data!$B$29:$T$48,10,FALSE))</f>
        <v>-</v>
      </c>
      <c r="F77" s="489" t="str">
        <f ca="1">IF(ISERROR(VLOOKUP(B77,Data!$B$4:$N$23,12,FALSE)),"-",VLOOKUP(B77,Data!$B$4:$N$23,12,FALSE))</f>
        <v>-</v>
      </c>
      <c r="G77" s="489" t="str">
        <f ca="1">IF(ISERROR(VLOOKUP(B77,Data!$B$29:$T$48,12,FALSE)),"-",VLOOKUP(B77,Data!$B$29:$T$48,12,FALSE))</f>
        <v>-</v>
      </c>
      <c r="H77" s="489" t="str">
        <f ca="1">IF(ISERROR(VLOOKUP(B77,Data!$B$4:$N$23,13,FALSE)),"-",VLOOKUP(B77,Data!$B$4:$N$23,13,FALSE))</f>
        <v>-</v>
      </c>
      <c r="I77" s="489" t="str">
        <f ca="1">IF(ISERROR(VLOOKUP(B77,Data!$B$29:$T$48,13,FALSE)),"-",VLOOKUP(B77,Data!$B$29:$T$48,13,FALSE))</f>
        <v>-</v>
      </c>
      <c r="J77" s="495" t="str">
        <f ca="1">IF(ISERROR(VLOOKUP(B77,Data!$B$29:$T$48,18,FALSE)),"-",VLOOKUP(B77,Data!$B$29:$T$48,18,FALSE))</f>
        <v>-</v>
      </c>
      <c r="K77" s="494" t="str">
        <f ca="1">IF(ISERROR(VLOOKUP(B77,Data!$B$29:$T$48,15,FALSE)),"-",VLOOKUP(B77,Data!$B$29:$T$48,15,FALSE))</f>
        <v>-</v>
      </c>
      <c r="L77" s="494" t="str">
        <f ca="1">IF(ISERROR(VLOOKUP(B77,Data!$B$29:$T$48,16,FALSE)),"-",VLOOKUP(B77,Data!$B$29:$T$48,16,FALSE))</f>
        <v>-</v>
      </c>
      <c r="M77" s="186">
        <f t="shared" ca="1" si="1"/>
        <v>0</v>
      </c>
      <c r="N77" s="247">
        <f ca="1">COUNT($M$58:$M$77)-(RANK(M77,$M$58:$M$77)+COUNTIF($M$58:M77,M77)-1)+1</f>
        <v>1</v>
      </c>
      <c r="O77" t="str">
        <f t="shared" ca="1" si="2"/>
        <v>*Hide*</v>
      </c>
    </row>
    <row r="80" spans="2:15" ht="13" x14ac:dyDescent="0.3">
      <c r="D80" s="92" t="s">
        <v>596</v>
      </c>
    </row>
    <row r="81" spans="2:15" ht="13" x14ac:dyDescent="0.3">
      <c r="C81" s="536" t="s">
        <v>579</v>
      </c>
      <c r="D81" s="492" t="s">
        <v>329</v>
      </c>
      <c r="E81" s="492" t="s">
        <v>330</v>
      </c>
      <c r="F81" s="492" t="s">
        <v>331</v>
      </c>
      <c r="G81" s="492" t="s">
        <v>332</v>
      </c>
      <c r="H81" s="492" t="s">
        <v>331</v>
      </c>
      <c r="I81" s="492" t="s">
        <v>330</v>
      </c>
      <c r="J81" s="492" t="s">
        <v>172</v>
      </c>
      <c r="K81" s="492" t="s">
        <v>595</v>
      </c>
      <c r="L81" s="492" t="s">
        <v>597</v>
      </c>
      <c r="M81" s="492" t="s">
        <v>223</v>
      </c>
      <c r="O81" s="137" t="s">
        <v>547</v>
      </c>
    </row>
    <row r="82" spans="2:15" x14ac:dyDescent="0.25">
      <c r="B82" t="str">
        <f>List!B7</f>
        <v>Residential</v>
      </c>
      <c r="C82" s="247">
        <f ca="1">COUNT($D$82:$D$91)-(RANK(D82,$D$82:$D$91)+COUNTIF($D$82:D82,D82)-1)+1</f>
        <v>10</v>
      </c>
      <c r="D82" s="494">
        <f ca="1">SUMIF($C$58:$C$77,$B82,D$58:D$77)</f>
        <v>2716784.55</v>
      </c>
      <c r="E82" s="494">
        <f ca="1">SUMIF($C$58:$C$77,$B82,E$58:E$77)</f>
        <v>2559925.5100000002</v>
      </c>
      <c r="F82" s="489">
        <f ca="1">SUMIF($C$58:$C$77,$B82,F$58:F$77)</f>
        <v>671745</v>
      </c>
      <c r="G82" s="489">
        <f t="shared" ref="G82:I91" ca="1" si="3">SUMIF($C$58:$C$77,$B82,G$58:G$77)</f>
        <v>703281</v>
      </c>
      <c r="H82" s="489">
        <f t="shared" ca="1" si="3"/>
        <v>2293</v>
      </c>
      <c r="I82" s="489">
        <f t="shared" ca="1" si="3"/>
        <v>2293</v>
      </c>
      <c r="J82" s="494">
        <f t="shared" ref="J82:K91" ca="1" si="4">SUMIF($C$58:$C$77,$B82,K$58:K$77)</f>
        <v>2983.7438941324026</v>
      </c>
      <c r="K82" s="494">
        <f t="shared" ca="1" si="4"/>
        <v>6275.8265081035761</v>
      </c>
      <c r="L82" s="494">
        <f ca="1">K82-J82</f>
        <v>3292.0826139711735</v>
      </c>
      <c r="M82" s="495">
        <f ca="1">IF(ISERROR(K82/J82),"n/a",K82/J82)</f>
        <v>2.1033395394440944</v>
      </c>
      <c r="O82" t="str">
        <f ca="1">OFFSET(B$82,MATCH(LARGE(C$82:C$91,ROW()-ROW(C$82)+1),C$82:C$91,0)-1,0)</f>
        <v>Residential</v>
      </c>
    </row>
    <row r="83" spans="2:15" x14ac:dyDescent="0.25">
      <c r="B83" t="str">
        <f>List!B8</f>
        <v>Small Business</v>
      </c>
      <c r="C83" s="247">
        <f ca="1">COUNT($D$82:$D$91)-(RANK(D83,$D$82:$D$91)+COUNTIF($D$82:D83,D83)-1)+1</f>
        <v>8</v>
      </c>
      <c r="D83" s="494">
        <f t="shared" ref="D83:F91" ca="1" si="5">SUMIF($C$58:$C$77,$B83,D$58:D$77)</f>
        <v>0</v>
      </c>
      <c r="E83" s="494">
        <f t="shared" ca="1" si="5"/>
        <v>0</v>
      </c>
      <c r="F83" s="489">
        <f t="shared" ca="1" si="5"/>
        <v>0</v>
      </c>
      <c r="G83" s="489">
        <f t="shared" ca="1" si="3"/>
        <v>0</v>
      </c>
      <c r="H83" s="489">
        <f t="shared" ca="1" si="3"/>
        <v>0</v>
      </c>
      <c r="I83" s="489">
        <f t="shared" ca="1" si="3"/>
        <v>0</v>
      </c>
      <c r="J83" s="494">
        <f t="shared" ca="1" si="4"/>
        <v>0</v>
      </c>
      <c r="K83" s="494">
        <f t="shared" ca="1" si="4"/>
        <v>0</v>
      </c>
      <c r="L83" s="494">
        <f t="shared" ref="L83:L91" ca="1" si="6">K83-J83</f>
        <v>0</v>
      </c>
      <c r="M83" s="495" t="str">
        <f t="shared" ref="M83:M91" ca="1" si="7">IF(ISERROR(K83/J83),"n/a",K83/J83)</f>
        <v>n/a</v>
      </c>
      <c r="O83" t="str">
        <f t="shared" ref="O83:O91" ca="1" si="8">OFFSET(B$82,MATCH(LARGE(C$82:C$91,ROW()-ROW(C$82)+1),C$82:C$91,0)-1,0)</f>
        <v>Commercial &amp; Industrial</v>
      </c>
    </row>
    <row r="84" spans="2:15" x14ac:dyDescent="0.25">
      <c r="B84" t="str">
        <f>List!B9</f>
        <v>Commercial &amp; Industrial</v>
      </c>
      <c r="C84" s="247">
        <f ca="1">COUNT($D$82:$D$91)-(RANK(D84,$D$82:$D$91)+COUNTIF($D$82:D84,D84)-1)+1</f>
        <v>9</v>
      </c>
      <c r="D84" s="494">
        <f t="shared" ca="1" si="5"/>
        <v>1425147.99</v>
      </c>
      <c r="E84" s="494">
        <f t="shared" ca="1" si="5"/>
        <v>1391947.99</v>
      </c>
      <c r="F84" s="489">
        <f t="shared" ca="1" si="5"/>
        <v>620044</v>
      </c>
      <c r="G84" s="489">
        <f t="shared" ca="1" si="3"/>
        <v>647132</v>
      </c>
      <c r="H84" s="489">
        <f t="shared" ca="1" si="3"/>
        <v>232</v>
      </c>
      <c r="I84" s="489">
        <f t="shared" ca="1" si="3"/>
        <v>232</v>
      </c>
      <c r="J84" s="494">
        <f t="shared" ca="1" si="4"/>
        <v>1859.4380756108976</v>
      </c>
      <c r="K84" s="494">
        <f t="shared" ca="1" si="4"/>
        <v>2333.2739773345202</v>
      </c>
      <c r="L84" s="494">
        <f t="shared" ca="1" si="6"/>
        <v>473.83590172362256</v>
      </c>
      <c r="M84" s="495">
        <f t="shared" ca="1" si="7"/>
        <v>1.2548274706959246</v>
      </c>
      <c r="O84" t="str">
        <f t="shared" ca="1" si="8"/>
        <v>Small Business</v>
      </c>
    </row>
    <row r="85" spans="2:15" x14ac:dyDescent="0.25">
      <c r="B85" t="str">
        <f>List!B10</f>
        <v>Municipalities/Schools</v>
      </c>
      <c r="C85" s="247">
        <f ca="1">COUNT($D$82:$D$91)-(RANK(D85,$D$82:$D$91)+COUNTIF($D$82:D85,D85)-1)+1</f>
        <v>7</v>
      </c>
      <c r="D85" s="494">
        <f t="shared" ca="1" si="5"/>
        <v>0</v>
      </c>
      <c r="E85" s="494">
        <f t="shared" ca="1" si="5"/>
        <v>0</v>
      </c>
      <c r="F85" s="489">
        <f t="shared" ca="1" si="5"/>
        <v>0</v>
      </c>
      <c r="G85" s="489">
        <f t="shared" ca="1" si="3"/>
        <v>0</v>
      </c>
      <c r="H85" s="489">
        <f t="shared" ca="1" si="3"/>
        <v>0</v>
      </c>
      <c r="I85" s="489">
        <f t="shared" ca="1" si="3"/>
        <v>0</v>
      </c>
      <c r="J85" s="494">
        <f t="shared" ca="1" si="4"/>
        <v>0</v>
      </c>
      <c r="K85" s="494">
        <f t="shared" ca="1" si="4"/>
        <v>0</v>
      </c>
      <c r="L85" s="494">
        <f t="shared" ca="1" si="6"/>
        <v>0</v>
      </c>
      <c r="M85" s="495" t="str">
        <f t="shared" ca="1" si="7"/>
        <v>n/a</v>
      </c>
      <c r="O85" t="str">
        <f t="shared" ca="1" si="8"/>
        <v>Municipalities/Schools</v>
      </c>
    </row>
    <row r="86" spans="2:15" x14ac:dyDescent="0.25">
      <c r="B86" t="str">
        <f>List!B11</f>
        <v>Agriculture</v>
      </c>
      <c r="C86" s="247">
        <f ca="1">COUNT($D$82:$D$91)-(RANK(D86,$D$82:$D$91)+COUNTIF($D$82:D86,D86)-1)+1</f>
        <v>6</v>
      </c>
      <c r="D86" s="494">
        <f t="shared" ca="1" si="5"/>
        <v>0</v>
      </c>
      <c r="E86" s="494">
        <f t="shared" ca="1" si="5"/>
        <v>0</v>
      </c>
      <c r="F86" s="489">
        <f t="shared" ca="1" si="5"/>
        <v>0</v>
      </c>
      <c r="G86" s="489">
        <f t="shared" ca="1" si="3"/>
        <v>0</v>
      </c>
      <c r="H86" s="489">
        <f t="shared" ca="1" si="3"/>
        <v>0</v>
      </c>
      <c r="I86" s="489">
        <f t="shared" ca="1" si="3"/>
        <v>0</v>
      </c>
      <c r="J86" s="494">
        <f t="shared" ca="1" si="4"/>
        <v>0</v>
      </c>
      <c r="K86" s="494">
        <f t="shared" ca="1" si="4"/>
        <v>0</v>
      </c>
      <c r="L86" s="494">
        <f t="shared" ca="1" si="6"/>
        <v>0</v>
      </c>
      <c r="M86" s="495" t="str">
        <f t="shared" ca="1" si="7"/>
        <v>n/a</v>
      </c>
      <c r="O86" t="str">
        <f t="shared" ca="1" si="8"/>
        <v>Agriculture</v>
      </c>
    </row>
    <row r="87" spans="2:15" x14ac:dyDescent="0.25">
      <c r="B87" t="str">
        <f>List!B12</f>
        <v>Other</v>
      </c>
      <c r="C87" s="247">
        <f ca="1">COUNT($D$82:$D$91)-(RANK(D87,$D$82:$D$91)+COUNTIF($D$82:D87,D87)-1)+1</f>
        <v>5</v>
      </c>
      <c r="D87" s="494">
        <f t="shared" ca="1" si="5"/>
        <v>0</v>
      </c>
      <c r="E87" s="494">
        <f t="shared" ca="1" si="5"/>
        <v>0</v>
      </c>
      <c r="F87" s="489">
        <f t="shared" ca="1" si="5"/>
        <v>0</v>
      </c>
      <c r="G87" s="489">
        <f t="shared" ca="1" si="3"/>
        <v>0</v>
      </c>
      <c r="H87" s="489">
        <f t="shared" ca="1" si="3"/>
        <v>0</v>
      </c>
      <c r="I87" s="489">
        <f t="shared" ca="1" si="3"/>
        <v>0</v>
      </c>
      <c r="J87" s="494">
        <f t="shared" ca="1" si="4"/>
        <v>0</v>
      </c>
      <c r="K87" s="494">
        <f t="shared" ca="1" si="4"/>
        <v>0</v>
      </c>
      <c r="L87" s="494">
        <f t="shared" ca="1" si="6"/>
        <v>0</v>
      </c>
      <c r="M87" s="495" t="str">
        <f t="shared" ca="1" si="7"/>
        <v>n/a</v>
      </c>
      <c r="O87" t="str">
        <f t="shared" ca="1" si="8"/>
        <v>Other</v>
      </c>
    </row>
    <row r="88" spans="2:15" x14ac:dyDescent="0.25">
      <c r="B88" t="str">
        <f>List!B14</f>
        <v>Res/Small Business</v>
      </c>
      <c r="C88" s="247">
        <f ca="1">COUNT($D$82:$D$91)-(RANK(D88,$D$82:$D$91)+COUNTIF($D$82:D88,D88)-1)+1</f>
        <v>4</v>
      </c>
      <c r="D88" s="494">
        <f t="shared" ca="1" si="5"/>
        <v>0</v>
      </c>
      <c r="E88" s="494">
        <f t="shared" ca="1" si="5"/>
        <v>0</v>
      </c>
      <c r="F88" s="489">
        <f t="shared" ca="1" si="5"/>
        <v>0</v>
      </c>
      <c r="G88" s="489">
        <f t="shared" ca="1" si="3"/>
        <v>0</v>
      </c>
      <c r="H88" s="489">
        <f t="shared" ca="1" si="3"/>
        <v>0</v>
      </c>
      <c r="I88" s="489">
        <f t="shared" ca="1" si="3"/>
        <v>0</v>
      </c>
      <c r="J88" s="494">
        <f t="shared" ca="1" si="4"/>
        <v>0</v>
      </c>
      <c r="K88" s="494">
        <f t="shared" ca="1" si="4"/>
        <v>0</v>
      </c>
      <c r="L88" s="494">
        <f t="shared" ca="1" si="6"/>
        <v>0</v>
      </c>
      <c r="M88" s="495" t="str">
        <f t="shared" ca="1" si="7"/>
        <v>n/a</v>
      </c>
      <c r="O88" t="str">
        <f t="shared" ca="1" si="8"/>
        <v>Res/Small Business</v>
      </c>
    </row>
    <row r="89" spans="2:15" x14ac:dyDescent="0.25">
      <c r="B89" t="str">
        <f>List!B15</f>
        <v>Res/C&amp;I</v>
      </c>
      <c r="C89" s="247">
        <f ca="1">COUNT($D$82:$D$91)-(RANK(D89,$D$82:$D$91)+COUNTIF($D$82:D89,D89)-1)+1</f>
        <v>3</v>
      </c>
      <c r="D89" s="494">
        <f t="shared" ca="1" si="5"/>
        <v>0</v>
      </c>
      <c r="E89" s="494">
        <f t="shared" ca="1" si="5"/>
        <v>0</v>
      </c>
      <c r="F89" s="489">
        <f t="shared" ca="1" si="5"/>
        <v>0</v>
      </c>
      <c r="G89" s="489">
        <f t="shared" ca="1" si="3"/>
        <v>0</v>
      </c>
      <c r="H89" s="489">
        <f t="shared" ca="1" si="3"/>
        <v>0</v>
      </c>
      <c r="I89" s="489">
        <f t="shared" ca="1" si="3"/>
        <v>0</v>
      </c>
      <c r="J89" s="494">
        <f t="shared" ca="1" si="4"/>
        <v>0</v>
      </c>
      <c r="K89" s="494">
        <f t="shared" ca="1" si="4"/>
        <v>0</v>
      </c>
      <c r="L89" s="494">
        <f t="shared" ca="1" si="6"/>
        <v>0</v>
      </c>
      <c r="M89" s="495" t="str">
        <f t="shared" ca="1" si="7"/>
        <v>n/a</v>
      </c>
      <c r="O89" t="str">
        <f t="shared" ca="1" si="8"/>
        <v>Res/C&amp;I</v>
      </c>
    </row>
    <row r="90" spans="2:15" x14ac:dyDescent="0.25">
      <c r="B90" t="str">
        <f>List!B16</f>
        <v>Small Business/C&amp;I</v>
      </c>
      <c r="C90" s="247">
        <f ca="1">COUNT($D$82:$D$91)-(RANK(D90,$D$82:$D$91)+COUNTIF($D$82:D90,D90)-1)+1</f>
        <v>2</v>
      </c>
      <c r="D90" s="494">
        <f t="shared" ca="1" si="5"/>
        <v>0</v>
      </c>
      <c r="E90" s="494">
        <f t="shared" ca="1" si="5"/>
        <v>0</v>
      </c>
      <c r="F90" s="489">
        <f t="shared" ca="1" si="5"/>
        <v>0</v>
      </c>
      <c r="G90" s="489">
        <f t="shared" ca="1" si="3"/>
        <v>0</v>
      </c>
      <c r="H90" s="489">
        <f t="shared" ca="1" si="3"/>
        <v>0</v>
      </c>
      <c r="I90" s="489">
        <f t="shared" ca="1" si="3"/>
        <v>0</v>
      </c>
      <c r="J90" s="494">
        <f t="shared" ca="1" si="4"/>
        <v>0</v>
      </c>
      <c r="K90" s="494">
        <f t="shared" ca="1" si="4"/>
        <v>0</v>
      </c>
      <c r="L90" s="494">
        <f t="shared" ca="1" si="6"/>
        <v>0</v>
      </c>
      <c r="M90" s="495" t="str">
        <f t="shared" ca="1" si="7"/>
        <v>n/a</v>
      </c>
      <c r="O90" t="str">
        <f t="shared" ca="1" si="8"/>
        <v>Small Business/C&amp;I</v>
      </c>
    </row>
    <row r="91" spans="2:15" x14ac:dyDescent="0.25">
      <c r="B91" t="str">
        <f>List!B17</f>
        <v>All Classes</v>
      </c>
      <c r="C91" s="247">
        <f ca="1">COUNT($D$82:$D$91)-(RANK(D91,$D$82:$D$91)+COUNTIF($D$82:D91,D91)-1)+1</f>
        <v>1</v>
      </c>
      <c r="D91" s="494">
        <f t="shared" ca="1" si="5"/>
        <v>0</v>
      </c>
      <c r="E91" s="494">
        <f t="shared" ca="1" si="5"/>
        <v>0</v>
      </c>
      <c r="F91" s="489">
        <f t="shared" ca="1" si="5"/>
        <v>0</v>
      </c>
      <c r="G91" s="489">
        <f t="shared" ca="1" si="3"/>
        <v>0</v>
      </c>
      <c r="H91" s="489">
        <f t="shared" ca="1" si="3"/>
        <v>0</v>
      </c>
      <c r="I91" s="489">
        <f t="shared" ca="1" si="3"/>
        <v>0</v>
      </c>
      <c r="J91" s="494">
        <f t="shared" ca="1" si="4"/>
        <v>0</v>
      </c>
      <c r="K91" s="494">
        <f t="shared" ca="1" si="4"/>
        <v>0</v>
      </c>
      <c r="L91" s="494">
        <f t="shared" ca="1" si="6"/>
        <v>0</v>
      </c>
      <c r="M91" s="495" t="str">
        <f t="shared" ca="1" si="7"/>
        <v>n/a</v>
      </c>
      <c r="O91" t="str">
        <f t="shared" ca="1" si="8"/>
        <v>All Classes</v>
      </c>
    </row>
    <row r="93" spans="2:15" ht="13" x14ac:dyDescent="0.3">
      <c r="D93" s="492" t="s">
        <v>329</v>
      </c>
      <c r="E93" s="492" t="s">
        <v>330</v>
      </c>
      <c r="F93" s="492" t="s">
        <v>331</v>
      </c>
      <c r="G93" s="492" t="s">
        <v>332</v>
      </c>
      <c r="H93" s="247"/>
      <c r="I93" s="544" t="s">
        <v>598</v>
      </c>
    </row>
    <row r="94" spans="2:15" x14ac:dyDescent="0.25">
      <c r="B94" t="str">
        <f ca="1">O82</f>
        <v>Residential</v>
      </c>
      <c r="D94" s="494">
        <f ca="1">VLOOKUP($B94,$B$82:$E$91,3,FALSE)</f>
        <v>2716784.55</v>
      </c>
      <c r="E94" s="494">
        <f ca="1">VLOOKUP($B94,$B$82:$E$91,4,FALSE)</f>
        <v>2559925.5100000002</v>
      </c>
      <c r="F94" s="489">
        <f ca="1">VLOOKUP($B94,$B$82:$G$91,5,FALSE)</f>
        <v>671745</v>
      </c>
      <c r="G94" s="489">
        <f ca="1">VLOOKUP($B94,$B$82:$G$91,6,FALSE)</f>
        <v>703281</v>
      </c>
      <c r="I94">
        <f ca="1">IF('Report 2'!$B$24='Report 2'!$D$24,Tables!E94,Tables!F94)</f>
        <v>671745</v>
      </c>
    </row>
    <row r="95" spans="2:15" x14ac:dyDescent="0.25">
      <c r="B95" t="str">
        <f t="shared" ref="B95:B102" ca="1" si="9">O83</f>
        <v>Commercial &amp; Industrial</v>
      </c>
      <c r="D95" s="494">
        <f t="shared" ref="D95:D103" ca="1" si="10">VLOOKUP($B95,$B$82:$E$91,3,FALSE)</f>
        <v>1425147.99</v>
      </c>
      <c r="E95" s="494">
        <f t="shared" ref="E95:E103" ca="1" si="11">VLOOKUP($B95,$B$82:$E$91,4,FALSE)</f>
        <v>1391947.99</v>
      </c>
      <c r="F95" s="489">
        <f t="shared" ref="F95:F103" ca="1" si="12">VLOOKUP($B95,$B$82:$G$91,5,FALSE)</f>
        <v>620044</v>
      </c>
      <c r="G95" s="489">
        <f t="shared" ref="G95:G103" ca="1" si="13">VLOOKUP($B95,$B$82:$G$91,6,FALSE)</f>
        <v>647132</v>
      </c>
      <c r="I95">
        <f ca="1">IF('Report 2'!$B$24='Report 2'!$D$24,Tables!E95,Tables!F95)</f>
        <v>620044</v>
      </c>
      <c r="K95" s="292"/>
      <c r="L95" s="271"/>
    </row>
    <row r="96" spans="2:15" x14ac:dyDescent="0.25">
      <c r="B96" t="str">
        <f t="shared" ca="1" si="9"/>
        <v>Small Business</v>
      </c>
      <c r="D96" s="494">
        <f t="shared" ca="1" si="10"/>
        <v>0</v>
      </c>
      <c r="E96" s="494">
        <f t="shared" ca="1" si="11"/>
        <v>0</v>
      </c>
      <c r="F96" s="489">
        <f t="shared" ca="1" si="12"/>
        <v>0</v>
      </c>
      <c r="G96" s="489">
        <f t="shared" ca="1" si="13"/>
        <v>0</v>
      </c>
      <c r="I96">
        <f ca="1">IF('Report 2'!$B$24='Report 2'!$D$24,Tables!E96,Tables!F96)</f>
        <v>0</v>
      </c>
    </row>
    <row r="97" spans="2:9" x14ac:dyDescent="0.25">
      <c r="B97" t="str">
        <f t="shared" ca="1" si="9"/>
        <v>Municipalities/Schools</v>
      </c>
      <c r="D97" s="494">
        <f t="shared" ca="1" si="10"/>
        <v>0</v>
      </c>
      <c r="E97" s="494">
        <f t="shared" ca="1" si="11"/>
        <v>0</v>
      </c>
      <c r="F97" s="489">
        <f t="shared" ca="1" si="12"/>
        <v>0</v>
      </c>
      <c r="G97" s="489">
        <f t="shared" ca="1" si="13"/>
        <v>0</v>
      </c>
      <c r="I97">
        <f ca="1">IF('Report 2'!$B$24='Report 2'!$D$24,Tables!E97,Tables!F97)</f>
        <v>0</v>
      </c>
    </row>
    <row r="98" spans="2:9" x14ac:dyDescent="0.25">
      <c r="B98" t="str">
        <f t="shared" ca="1" si="9"/>
        <v>Agriculture</v>
      </c>
      <c r="D98" s="494">
        <f t="shared" ca="1" si="10"/>
        <v>0</v>
      </c>
      <c r="E98" s="494">
        <f t="shared" ca="1" si="11"/>
        <v>0</v>
      </c>
      <c r="F98" s="489">
        <f t="shared" ca="1" si="12"/>
        <v>0</v>
      </c>
      <c r="G98" s="489">
        <f t="shared" ca="1" si="13"/>
        <v>0</v>
      </c>
      <c r="I98">
        <f ca="1">IF('Report 2'!$B$24='Report 2'!$D$24,Tables!E98,Tables!F98)</f>
        <v>0</v>
      </c>
    </row>
    <row r="99" spans="2:9" x14ac:dyDescent="0.25">
      <c r="B99" t="str">
        <f t="shared" ca="1" si="9"/>
        <v>Other</v>
      </c>
      <c r="D99" s="494">
        <f t="shared" ca="1" si="10"/>
        <v>0</v>
      </c>
      <c r="E99" s="494">
        <f t="shared" ca="1" si="11"/>
        <v>0</v>
      </c>
      <c r="F99" s="489">
        <f t="shared" ca="1" si="12"/>
        <v>0</v>
      </c>
      <c r="G99" s="489">
        <f t="shared" ca="1" si="13"/>
        <v>0</v>
      </c>
      <c r="I99">
        <f ca="1">IF('Report 2'!$B$24='Report 2'!$D$24,Tables!E99,Tables!F99)</f>
        <v>0</v>
      </c>
    </row>
    <row r="100" spans="2:9" x14ac:dyDescent="0.25">
      <c r="B100" t="str">
        <f t="shared" ca="1" si="9"/>
        <v>Res/Small Business</v>
      </c>
      <c r="D100" s="494">
        <f t="shared" ca="1" si="10"/>
        <v>0</v>
      </c>
      <c r="E100" s="494">
        <f t="shared" ca="1" si="11"/>
        <v>0</v>
      </c>
      <c r="F100" s="489">
        <f t="shared" ca="1" si="12"/>
        <v>0</v>
      </c>
      <c r="G100" s="489">
        <f t="shared" ca="1" si="13"/>
        <v>0</v>
      </c>
      <c r="I100">
        <f ca="1">IF('Report 2'!$B$24='Report 2'!$D$24,Tables!E100,Tables!F100)</f>
        <v>0</v>
      </c>
    </row>
    <row r="101" spans="2:9" x14ac:dyDescent="0.25">
      <c r="B101" t="str">
        <f t="shared" ca="1" si="9"/>
        <v>Res/C&amp;I</v>
      </c>
      <c r="D101" s="494">
        <f t="shared" ca="1" si="10"/>
        <v>0</v>
      </c>
      <c r="E101" s="494">
        <f t="shared" ca="1" si="11"/>
        <v>0</v>
      </c>
      <c r="F101" s="489">
        <f t="shared" ca="1" si="12"/>
        <v>0</v>
      </c>
      <c r="G101" s="489">
        <f t="shared" ca="1" si="13"/>
        <v>0</v>
      </c>
      <c r="I101">
        <f ca="1">IF('Report 2'!$B$24='Report 2'!$D$24,Tables!E101,Tables!F101)</f>
        <v>0</v>
      </c>
    </row>
    <row r="102" spans="2:9" x14ac:dyDescent="0.25">
      <c r="B102" t="str">
        <f t="shared" ca="1" si="9"/>
        <v>Small Business/C&amp;I</v>
      </c>
      <c r="D102" s="494">
        <f t="shared" ca="1" si="10"/>
        <v>0</v>
      </c>
      <c r="E102" s="494">
        <f t="shared" ca="1" si="11"/>
        <v>0</v>
      </c>
      <c r="F102" s="489">
        <f t="shared" ca="1" si="12"/>
        <v>0</v>
      </c>
      <c r="G102" s="489">
        <f t="shared" ca="1" si="13"/>
        <v>0</v>
      </c>
      <c r="I102">
        <f ca="1">IF('Report 2'!$B$24='Report 2'!$D$24,Tables!E102,Tables!F102)</f>
        <v>0</v>
      </c>
    </row>
    <row r="103" spans="2:9" x14ac:dyDescent="0.25">
      <c r="B103" t="str">
        <f ca="1">O91</f>
        <v>All Classes</v>
      </c>
      <c r="D103" s="494">
        <f t="shared" ca="1" si="10"/>
        <v>0</v>
      </c>
      <c r="E103" s="494">
        <f t="shared" ca="1" si="11"/>
        <v>0</v>
      </c>
      <c r="F103" s="489">
        <f t="shared" ca="1" si="12"/>
        <v>0</v>
      </c>
      <c r="G103" s="489">
        <f t="shared" ca="1" si="13"/>
        <v>0</v>
      </c>
      <c r="I103">
        <f ca="1">IF('Report 2'!$B$24='Report 2'!$D$24,Tables!E103,Tables!F103)</f>
        <v>0</v>
      </c>
    </row>
    <row r="106" spans="2:9" ht="13" x14ac:dyDescent="0.3">
      <c r="D106" s="492" t="s">
        <v>329</v>
      </c>
      <c r="E106" s="492" t="s">
        <v>330</v>
      </c>
      <c r="F106" s="492" t="s">
        <v>331</v>
      </c>
      <c r="G106" s="492" t="s">
        <v>332</v>
      </c>
    </row>
    <row r="107" spans="2:9" x14ac:dyDescent="0.25">
      <c r="B107" t="str">
        <f ca="1">O58</f>
        <v>Residential Solution Program</v>
      </c>
      <c r="D107" s="494">
        <f ca="1">VLOOKUP($B107,$B$58:$L$77,3,FALSE)</f>
        <v>2504889.75</v>
      </c>
      <c r="E107" s="494">
        <f ca="1">VLOOKUP($B107,$B$58:$L$77,4,FALSE)</f>
        <v>2391297.14</v>
      </c>
      <c r="F107" s="489">
        <f ca="1">VLOOKUP($B107,$B$58:$L$77,5,FALSE)</f>
        <v>620027</v>
      </c>
      <c r="G107" s="489">
        <f ca="1">VLOOKUP($B107,$B$58:$L$77,6,FALSE)</f>
        <v>651784</v>
      </c>
    </row>
    <row r="108" spans="2:9" x14ac:dyDescent="0.25">
      <c r="B108" t="str">
        <f t="shared" ref="B108:B126" ca="1" si="14">O59</f>
        <v>Commercial &amp; Industrial Solutions Program</v>
      </c>
      <c r="D108" s="494">
        <f t="shared" ref="D108:D126" ca="1" si="15">VLOOKUP($B108,$B$58:$L$77,3,FALSE)</f>
        <v>1425147.99</v>
      </c>
      <c r="E108" s="494">
        <f t="shared" ref="E108:E126" ca="1" si="16">VLOOKUP($B108,$B$58:$L$77,4,FALSE)</f>
        <v>1391947.99</v>
      </c>
      <c r="F108" s="489">
        <f t="shared" ref="F108:F126" ca="1" si="17">VLOOKUP($B108,$B$58:$L$77,5,FALSE)</f>
        <v>620044</v>
      </c>
      <c r="G108" s="489">
        <f t="shared" ref="G108:G126" ca="1" si="18">VLOOKUP($B108,$B$58:$L$77,6,FALSE)</f>
        <v>647132</v>
      </c>
    </row>
    <row r="109" spans="2:9" x14ac:dyDescent="0.25">
      <c r="B109" t="str">
        <f t="shared" ca="1" si="14"/>
        <v>Income Qualified Program</v>
      </c>
      <c r="D109" s="494">
        <f t="shared" ca="1" si="15"/>
        <v>211894.8</v>
      </c>
      <c r="E109" s="494">
        <f t="shared" ca="1" si="16"/>
        <v>168628.37</v>
      </c>
      <c r="F109" s="489">
        <f t="shared" ca="1" si="17"/>
        <v>51718</v>
      </c>
      <c r="G109" s="489">
        <f t="shared" ca="1" si="18"/>
        <v>51497</v>
      </c>
    </row>
    <row r="110" spans="2:9" x14ac:dyDescent="0.25">
      <c r="B110" t="str">
        <f t="shared" ca="1" si="14"/>
        <v>Energy Efficiency Arkansas</v>
      </c>
      <c r="D110" s="494">
        <f t="shared" ca="1" si="15"/>
        <v>0</v>
      </c>
      <c r="E110" s="494">
        <f t="shared" ca="1" si="16"/>
        <v>0</v>
      </c>
      <c r="F110" s="489">
        <f t="shared" ca="1" si="17"/>
        <v>0</v>
      </c>
      <c r="G110" s="489">
        <f t="shared" ca="1" si="18"/>
        <v>0</v>
      </c>
    </row>
    <row r="111" spans="2:9" x14ac:dyDescent="0.25">
      <c r="B111" t="str">
        <f t="shared" ca="1" si="14"/>
        <v>*Hide*</v>
      </c>
      <c r="D111" s="494" t="str">
        <f t="shared" ca="1" si="15"/>
        <v>-</v>
      </c>
      <c r="E111" s="494" t="str">
        <f t="shared" ca="1" si="16"/>
        <v>-</v>
      </c>
      <c r="F111" s="489" t="str">
        <f t="shared" ca="1" si="17"/>
        <v>-</v>
      </c>
      <c r="G111" s="489" t="str">
        <f t="shared" ca="1" si="18"/>
        <v>-</v>
      </c>
    </row>
    <row r="112" spans="2:9" x14ac:dyDescent="0.25">
      <c r="B112" t="str">
        <f t="shared" ca="1" si="14"/>
        <v>*Hide*</v>
      </c>
      <c r="D112" s="494" t="str">
        <f t="shared" ca="1" si="15"/>
        <v>-</v>
      </c>
      <c r="E112" s="494" t="str">
        <f t="shared" ca="1" si="16"/>
        <v>-</v>
      </c>
      <c r="F112" s="489" t="str">
        <f t="shared" ca="1" si="17"/>
        <v>-</v>
      </c>
      <c r="G112" s="489" t="str">
        <f t="shared" ca="1" si="18"/>
        <v>-</v>
      </c>
    </row>
    <row r="113" spans="2:7" x14ac:dyDescent="0.25">
      <c r="B113" t="str">
        <f t="shared" ca="1" si="14"/>
        <v>*Hide*</v>
      </c>
      <c r="D113" s="494" t="str">
        <f t="shared" ca="1" si="15"/>
        <v>-</v>
      </c>
      <c r="E113" s="494" t="str">
        <f t="shared" ca="1" si="16"/>
        <v>-</v>
      </c>
      <c r="F113" s="489" t="str">
        <f t="shared" ca="1" si="17"/>
        <v>-</v>
      </c>
      <c r="G113" s="489" t="str">
        <f t="shared" ca="1" si="18"/>
        <v>-</v>
      </c>
    </row>
    <row r="114" spans="2:7" x14ac:dyDescent="0.25">
      <c r="B114" t="str">
        <f t="shared" ca="1" si="14"/>
        <v>*Hide*</v>
      </c>
      <c r="D114" s="494" t="str">
        <f t="shared" ca="1" si="15"/>
        <v>-</v>
      </c>
      <c r="E114" s="494" t="str">
        <f t="shared" ca="1" si="16"/>
        <v>-</v>
      </c>
      <c r="F114" s="489" t="str">
        <f t="shared" ca="1" si="17"/>
        <v>-</v>
      </c>
      <c r="G114" s="489" t="str">
        <f t="shared" ca="1" si="18"/>
        <v>-</v>
      </c>
    </row>
    <row r="115" spans="2:7" x14ac:dyDescent="0.25">
      <c r="B115" t="str">
        <f t="shared" ca="1" si="14"/>
        <v>*Hide*</v>
      </c>
      <c r="D115" s="494" t="str">
        <f t="shared" ca="1" si="15"/>
        <v>-</v>
      </c>
      <c r="E115" s="494" t="str">
        <f t="shared" ca="1" si="16"/>
        <v>-</v>
      </c>
      <c r="F115" s="489" t="str">
        <f t="shared" ca="1" si="17"/>
        <v>-</v>
      </c>
      <c r="G115" s="489" t="str">
        <f t="shared" ca="1" si="18"/>
        <v>-</v>
      </c>
    </row>
    <row r="116" spans="2:7" x14ac:dyDescent="0.25">
      <c r="B116" t="str">
        <f t="shared" ca="1" si="14"/>
        <v>*Hide*</v>
      </c>
      <c r="D116" s="494" t="str">
        <f t="shared" ca="1" si="15"/>
        <v>-</v>
      </c>
      <c r="E116" s="494" t="str">
        <f t="shared" ca="1" si="16"/>
        <v>-</v>
      </c>
      <c r="F116" s="489" t="str">
        <f t="shared" ca="1" si="17"/>
        <v>-</v>
      </c>
      <c r="G116" s="489" t="str">
        <f t="shared" ca="1" si="18"/>
        <v>-</v>
      </c>
    </row>
    <row r="117" spans="2:7" x14ac:dyDescent="0.25">
      <c r="B117" t="str">
        <f t="shared" ca="1" si="14"/>
        <v>*Hide*</v>
      </c>
      <c r="D117" s="494" t="str">
        <f t="shared" ca="1" si="15"/>
        <v>-</v>
      </c>
      <c r="E117" s="494" t="str">
        <f t="shared" ca="1" si="16"/>
        <v>-</v>
      </c>
      <c r="F117" s="489" t="str">
        <f t="shared" ca="1" si="17"/>
        <v>-</v>
      </c>
      <c r="G117" s="489" t="str">
        <f t="shared" ca="1" si="18"/>
        <v>-</v>
      </c>
    </row>
    <row r="118" spans="2:7" x14ac:dyDescent="0.25">
      <c r="B118" t="str">
        <f t="shared" ca="1" si="14"/>
        <v>*Hide*</v>
      </c>
      <c r="D118" s="494" t="str">
        <f t="shared" ca="1" si="15"/>
        <v>-</v>
      </c>
      <c r="E118" s="494" t="str">
        <f t="shared" ca="1" si="16"/>
        <v>-</v>
      </c>
      <c r="F118" s="489" t="str">
        <f t="shared" ca="1" si="17"/>
        <v>-</v>
      </c>
      <c r="G118" s="489" t="str">
        <f t="shared" ca="1" si="18"/>
        <v>-</v>
      </c>
    </row>
    <row r="119" spans="2:7" x14ac:dyDescent="0.25">
      <c r="B119" t="str">
        <f t="shared" ca="1" si="14"/>
        <v>*Hide*</v>
      </c>
      <c r="D119" s="494" t="str">
        <f t="shared" ca="1" si="15"/>
        <v>-</v>
      </c>
      <c r="E119" s="494" t="str">
        <f t="shared" ca="1" si="16"/>
        <v>-</v>
      </c>
      <c r="F119" s="489" t="str">
        <f t="shared" ca="1" si="17"/>
        <v>-</v>
      </c>
      <c r="G119" s="489" t="str">
        <f t="shared" ca="1" si="18"/>
        <v>-</v>
      </c>
    </row>
    <row r="120" spans="2:7" x14ac:dyDescent="0.25">
      <c r="B120" t="str">
        <f t="shared" ca="1" si="14"/>
        <v>*Hide*</v>
      </c>
      <c r="D120" s="494" t="str">
        <f t="shared" ca="1" si="15"/>
        <v>-</v>
      </c>
      <c r="E120" s="494" t="str">
        <f t="shared" ca="1" si="16"/>
        <v>-</v>
      </c>
      <c r="F120" s="489" t="str">
        <f t="shared" ca="1" si="17"/>
        <v>-</v>
      </c>
      <c r="G120" s="489" t="str">
        <f t="shared" ca="1" si="18"/>
        <v>-</v>
      </c>
    </row>
    <row r="121" spans="2:7" x14ac:dyDescent="0.25">
      <c r="B121" t="str">
        <f t="shared" ca="1" si="14"/>
        <v>*Hide*</v>
      </c>
      <c r="D121" s="494" t="str">
        <f t="shared" ca="1" si="15"/>
        <v>-</v>
      </c>
      <c r="E121" s="494" t="str">
        <f t="shared" ca="1" si="16"/>
        <v>-</v>
      </c>
      <c r="F121" s="489" t="str">
        <f t="shared" ca="1" si="17"/>
        <v>-</v>
      </c>
      <c r="G121" s="489" t="str">
        <f t="shared" ca="1" si="18"/>
        <v>-</v>
      </c>
    </row>
    <row r="122" spans="2:7" x14ac:dyDescent="0.25">
      <c r="B122" t="str">
        <f t="shared" ca="1" si="14"/>
        <v>*Hide*</v>
      </c>
      <c r="D122" s="494" t="str">
        <f t="shared" ca="1" si="15"/>
        <v>-</v>
      </c>
      <c r="E122" s="494" t="str">
        <f t="shared" ca="1" si="16"/>
        <v>-</v>
      </c>
      <c r="F122" s="489" t="str">
        <f t="shared" ca="1" si="17"/>
        <v>-</v>
      </c>
      <c r="G122" s="489" t="str">
        <f t="shared" ca="1" si="18"/>
        <v>-</v>
      </c>
    </row>
    <row r="123" spans="2:7" x14ac:dyDescent="0.25">
      <c r="B123" t="str">
        <f ca="1">O74</f>
        <v>*Hide*</v>
      </c>
      <c r="D123" s="494" t="str">
        <f t="shared" ca="1" si="15"/>
        <v>-</v>
      </c>
      <c r="E123" s="494" t="str">
        <f t="shared" ca="1" si="16"/>
        <v>-</v>
      </c>
      <c r="F123" s="489" t="str">
        <f t="shared" ca="1" si="17"/>
        <v>-</v>
      </c>
      <c r="G123" s="489" t="str">
        <f t="shared" ca="1" si="18"/>
        <v>-</v>
      </c>
    </row>
    <row r="124" spans="2:7" x14ac:dyDescent="0.25">
      <c r="B124" t="str">
        <f t="shared" ca="1" si="14"/>
        <v>*Hide*</v>
      </c>
      <c r="D124" s="494" t="str">
        <f t="shared" ca="1" si="15"/>
        <v>-</v>
      </c>
      <c r="E124" s="494" t="str">
        <f t="shared" ca="1" si="16"/>
        <v>-</v>
      </c>
      <c r="F124" s="489" t="str">
        <f t="shared" ca="1" si="17"/>
        <v>-</v>
      </c>
      <c r="G124" s="489" t="str">
        <f t="shared" ca="1" si="18"/>
        <v>-</v>
      </c>
    </row>
    <row r="125" spans="2:7" x14ac:dyDescent="0.25">
      <c r="B125" t="str">
        <f t="shared" ca="1" si="14"/>
        <v>*Hide*</v>
      </c>
      <c r="D125" s="494" t="str">
        <f t="shared" ca="1" si="15"/>
        <v>-</v>
      </c>
      <c r="E125" s="494" t="str">
        <f t="shared" ca="1" si="16"/>
        <v>-</v>
      </c>
      <c r="F125" s="489" t="str">
        <f t="shared" ca="1" si="17"/>
        <v>-</v>
      </c>
      <c r="G125" s="489" t="str">
        <f t="shared" ca="1" si="18"/>
        <v>-</v>
      </c>
    </row>
    <row r="126" spans="2:7" x14ac:dyDescent="0.25">
      <c r="B126" t="str">
        <f t="shared" ca="1" si="14"/>
        <v>*Hide*</v>
      </c>
      <c r="D126" s="494" t="str">
        <f t="shared" ca="1" si="15"/>
        <v>-</v>
      </c>
      <c r="E126" s="494" t="str">
        <f t="shared" ca="1" si="16"/>
        <v>-</v>
      </c>
      <c r="F126" s="489" t="str">
        <f t="shared" ca="1" si="17"/>
        <v>-</v>
      </c>
      <c r="G126" s="489" t="str">
        <f t="shared" ca="1" si="18"/>
        <v>-</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18"/>
  <sheetViews>
    <sheetView showGridLines="0" zoomScale="110" zoomScaleNormal="110" workbookViewId="0"/>
  </sheetViews>
  <sheetFormatPr defaultColWidth="9.1796875" defaultRowHeight="13" x14ac:dyDescent="0.3"/>
  <cols>
    <col min="1" max="1" width="1" style="2" customWidth="1"/>
    <col min="2" max="3" width="12.7265625" style="2" customWidth="1"/>
    <col min="4" max="4" width="14.7265625" style="2" customWidth="1"/>
    <col min="5" max="5" width="12.453125" style="2" customWidth="1"/>
    <col min="6" max="6" width="12.7265625" style="2" bestFit="1" customWidth="1"/>
    <col min="7" max="7" width="15.54296875" style="2" customWidth="1"/>
    <col min="8" max="8" width="6.7265625" style="2" customWidth="1"/>
    <col min="9" max="9" width="6.1796875" style="2" customWidth="1"/>
    <col min="10" max="10" width="12.1796875" style="2" bestFit="1" customWidth="1"/>
    <col min="11" max="11" width="11.54296875" style="2" customWidth="1"/>
    <col min="12" max="12" width="9.453125" style="2" bestFit="1" customWidth="1"/>
    <col min="13" max="13" width="1.26953125" style="2" customWidth="1"/>
    <col min="14" max="16384" width="9.1796875" style="2"/>
  </cols>
  <sheetData>
    <row r="1" spans="1:13" ht="5.15" customHeight="1" thickBot="1" x14ac:dyDescent="0.35"/>
    <row r="2" spans="1:13" ht="38.25" customHeight="1" thickBot="1" x14ac:dyDescent="0.35">
      <c r="B2" s="629" t="s">
        <v>580</v>
      </c>
      <c r="C2" s="629"/>
      <c r="D2" s="629"/>
      <c r="E2" s="629"/>
      <c r="F2" s="629"/>
      <c r="G2" s="629"/>
      <c r="H2" s="629"/>
      <c r="I2" s="629"/>
      <c r="J2" s="629"/>
      <c r="K2" s="629"/>
      <c r="L2" s="629"/>
    </row>
    <row r="3" spans="1:13" ht="4.5" customHeight="1" thickBot="1" x14ac:dyDescent="0.35"/>
    <row r="4" spans="1:13" ht="23.5" thickBot="1" x14ac:dyDescent="0.55000000000000004">
      <c r="B4" s="698" t="str">
        <f>Titles!F2&amp;" Portfolio Summary"</f>
        <v>2024 Portfolio Summary</v>
      </c>
      <c r="C4" s="699"/>
      <c r="D4" s="699"/>
      <c r="E4" s="699"/>
      <c r="F4" s="699"/>
      <c r="G4" s="699"/>
      <c r="H4" s="699"/>
      <c r="I4" s="699"/>
      <c r="J4" s="699"/>
      <c r="K4" s="699"/>
      <c r="L4" s="700"/>
    </row>
    <row r="5" spans="1:13" ht="4.5" customHeight="1" thickBot="1" x14ac:dyDescent="0.35">
      <c r="B5" s="155"/>
      <c r="L5" s="156"/>
    </row>
    <row r="6" spans="1:13" ht="14.25" customHeight="1" thickBot="1" x14ac:dyDescent="0.35">
      <c r="B6" s="701" t="s">
        <v>212</v>
      </c>
      <c r="C6" s="702"/>
      <c r="D6" s="701" t="s">
        <v>341</v>
      </c>
      <c r="E6" s="703"/>
      <c r="F6" s="704"/>
      <c r="G6" s="706" t="s">
        <v>599</v>
      </c>
      <c r="H6" s="707"/>
      <c r="I6" s="708"/>
      <c r="J6" s="701" t="s">
        <v>600</v>
      </c>
      <c r="K6" s="705"/>
      <c r="L6" s="702"/>
    </row>
    <row r="7" spans="1:13" ht="46.5" customHeight="1" x14ac:dyDescent="0.3">
      <c r="A7" s="536"/>
      <c r="B7" s="175" t="s">
        <v>355</v>
      </c>
      <c r="C7" s="176" t="s">
        <v>581</v>
      </c>
      <c r="D7" s="175" t="s">
        <v>601</v>
      </c>
      <c r="E7" s="172" t="s">
        <v>56</v>
      </c>
      <c r="F7" s="383" t="s">
        <v>602</v>
      </c>
      <c r="G7" s="386" t="s">
        <v>603</v>
      </c>
      <c r="H7" s="387" t="s">
        <v>604</v>
      </c>
      <c r="I7" s="391" t="s">
        <v>605</v>
      </c>
      <c r="J7" s="386" t="s">
        <v>606</v>
      </c>
      <c r="K7" s="387" t="s">
        <v>607</v>
      </c>
      <c r="L7" s="388" t="s">
        <v>608</v>
      </c>
      <c r="M7" s="536"/>
    </row>
    <row r="8" spans="1:13" ht="13.5" customHeight="1" x14ac:dyDescent="0.3">
      <c r="A8" s="536"/>
      <c r="B8" s="174" t="str">
        <f>Titles!F16</f>
        <v>Therms</v>
      </c>
      <c r="C8" s="177" t="str">
        <f>Titles!F14</f>
        <v>Therms</v>
      </c>
      <c r="D8" s="178"/>
      <c r="E8" s="173"/>
      <c r="F8" s="384"/>
      <c r="G8" s="398" t="s">
        <v>609</v>
      </c>
      <c r="H8" s="385"/>
      <c r="I8" s="392"/>
      <c r="J8" s="394" t="s">
        <v>610</v>
      </c>
      <c r="K8" s="393" t="s">
        <v>610</v>
      </c>
      <c r="L8" s="395" t="s">
        <v>611</v>
      </c>
      <c r="M8" s="536"/>
    </row>
    <row r="9" spans="1:13" ht="17.25" customHeight="1" thickBot="1" x14ac:dyDescent="0.35">
      <c r="A9" s="536"/>
      <c r="B9" s="545" t="str">
        <f>Tables!B4</f>
        <v>n/a</v>
      </c>
      <c r="C9" s="546">
        <f>Tables!C4</f>
        <v>1350413</v>
      </c>
      <c r="D9" s="547">
        <f>Tables!D4</f>
        <v>3961624.8899999997</v>
      </c>
      <c r="E9" s="548">
        <f>Tables!E4</f>
        <v>376990.92409579421</v>
      </c>
      <c r="F9" s="549">
        <f>Tables!F4</f>
        <v>314038.79999999993</v>
      </c>
      <c r="G9" s="550">
        <f>Tables!G4</f>
        <v>3756167.1256947964</v>
      </c>
      <c r="H9" s="551">
        <f>Tables!H4</f>
        <v>1.7739993210814422</v>
      </c>
      <c r="I9" s="552">
        <f>Tables!I4</f>
        <v>1.46</v>
      </c>
      <c r="J9" s="553">
        <f>Tables!J4</f>
        <v>5.0000000000000001E-3</v>
      </c>
      <c r="K9" s="554">
        <f>Tables!K4</f>
        <v>5.7603025126147338E-3</v>
      </c>
      <c r="L9" s="555">
        <f>Tables!L4</f>
        <v>1.1499999999999999</v>
      </c>
      <c r="M9" s="536"/>
    </row>
    <row r="10" spans="1:13" x14ac:dyDescent="0.3">
      <c r="B10" s="536"/>
      <c r="C10" s="536"/>
      <c r="D10" s="536"/>
      <c r="E10" s="536"/>
      <c r="F10" s="536"/>
      <c r="G10" s="536"/>
      <c r="H10" s="536"/>
      <c r="I10" s="536"/>
      <c r="J10" s="536"/>
      <c r="K10" s="536"/>
      <c r="L10" s="536"/>
      <c r="M10" s="536"/>
    </row>
    <row r="11" spans="1:13" x14ac:dyDescent="0.3">
      <c r="B11" s="536"/>
      <c r="C11" s="536"/>
      <c r="D11" s="536"/>
      <c r="E11" s="536"/>
      <c r="F11" s="536"/>
      <c r="G11" s="536"/>
      <c r="H11" s="536"/>
      <c r="I11" s="536"/>
      <c r="J11" s="536"/>
      <c r="K11" s="536"/>
      <c r="L11" s="536"/>
      <c r="M11" s="536"/>
    </row>
    <row r="12" spans="1:13" x14ac:dyDescent="0.3">
      <c r="B12" s="536"/>
      <c r="C12" s="536"/>
      <c r="D12" s="536"/>
      <c r="E12" s="536"/>
      <c r="F12" s="536"/>
      <c r="G12" s="536"/>
      <c r="H12" s="536"/>
      <c r="I12" s="536"/>
      <c r="J12" s="536"/>
      <c r="K12" s="536"/>
      <c r="L12" s="536"/>
      <c r="M12" s="536"/>
    </row>
    <row r="13" spans="1:13" ht="12.75" customHeight="1" x14ac:dyDescent="0.3">
      <c r="B13" s="536"/>
      <c r="C13" s="697" t="s">
        <v>612</v>
      </c>
      <c r="D13" s="697"/>
      <c r="E13" s="536"/>
      <c r="F13" s="536"/>
      <c r="G13" s="536"/>
      <c r="H13" s="536"/>
      <c r="I13" s="536"/>
      <c r="J13" s="536"/>
      <c r="K13" s="536"/>
      <c r="L13" s="536"/>
      <c r="M13" s="536"/>
    </row>
    <row r="14" spans="1:13" x14ac:dyDescent="0.3">
      <c r="B14" s="536"/>
      <c r="C14" s="697"/>
      <c r="D14" s="697"/>
      <c r="E14" s="536"/>
      <c r="F14" s="536"/>
      <c r="G14" s="536"/>
      <c r="H14" s="536"/>
      <c r="I14" s="536"/>
      <c r="J14" s="536"/>
      <c r="K14" s="536"/>
      <c r="L14" s="536"/>
      <c r="M14" s="536"/>
    </row>
    <row r="15" spans="1:13" x14ac:dyDescent="0.3">
      <c r="B15" s="536"/>
      <c r="C15" s="536"/>
      <c r="D15" s="536"/>
      <c r="E15" s="536"/>
      <c r="F15" s="536"/>
      <c r="G15" s="536"/>
      <c r="H15" s="536"/>
      <c r="I15" s="536"/>
      <c r="J15" s="536"/>
      <c r="K15" s="536"/>
      <c r="L15" s="536"/>
      <c r="M15" s="536"/>
    </row>
    <row r="16" spans="1:13" x14ac:dyDescent="0.3">
      <c r="B16" s="536"/>
      <c r="C16" s="536"/>
      <c r="D16" s="536"/>
      <c r="E16" s="536"/>
      <c r="F16" s="536"/>
      <c r="G16" s="536"/>
      <c r="H16" s="536"/>
      <c r="I16" s="536"/>
      <c r="J16" s="536"/>
      <c r="K16" s="536"/>
      <c r="L16" s="536"/>
      <c r="M16" s="536"/>
    </row>
    <row r="17" spans="2:13" x14ac:dyDescent="0.3">
      <c r="B17" s="536"/>
      <c r="C17" s="536"/>
      <c r="D17" s="536"/>
      <c r="E17" s="536"/>
      <c r="F17" s="536"/>
      <c r="G17" s="536"/>
      <c r="H17" s="536"/>
      <c r="I17" s="536"/>
      <c r="J17" s="536"/>
      <c r="K17" s="536"/>
      <c r="L17" s="536"/>
      <c r="M17" s="536"/>
    </row>
    <row r="18" spans="2:13" x14ac:dyDescent="0.3">
      <c r="B18" s="536"/>
      <c r="C18" s="536"/>
      <c r="D18" s="536"/>
      <c r="E18" s="536"/>
      <c r="F18" s="536"/>
      <c r="G18" s="536"/>
      <c r="H18" s="536"/>
      <c r="I18" s="536"/>
      <c r="J18" s="536"/>
      <c r="K18" s="536"/>
      <c r="L18" s="536"/>
      <c r="M18" s="536"/>
    </row>
  </sheetData>
  <sheetProtection password="C925" sheet="1" objects="1" scenarios="1" formatColumns="0" formatRows="0"/>
  <mergeCells count="7">
    <mergeCell ref="C13:D14"/>
    <mergeCell ref="B4:L4"/>
    <mergeCell ref="B6:C6"/>
    <mergeCell ref="D6:F6"/>
    <mergeCell ref="B2:L2"/>
    <mergeCell ref="J6:L6"/>
    <mergeCell ref="G6:I6"/>
  </mergeCells>
  <conditionalFormatting sqref="C13">
    <cfRule type="expression" dxfId="5" priority="1">
      <formula>Status=0</formula>
    </cfRule>
  </conditionalFormatting>
  <hyperlinks>
    <hyperlink ref="C13:D14" location="Incomplete!A1" tooltip="Click" display="Incomplete!A1" xr:uid="{00000000-0004-0000-2400-000000000000}"/>
  </hyperlinks>
  <pageMargins left="0.5" right="0.5" top="0.75" bottom="0.75" header="0.3" footer="0.3"/>
  <pageSetup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L40"/>
  <sheetViews>
    <sheetView showGridLines="0" zoomScale="110" zoomScaleNormal="110" workbookViewId="0">
      <selection activeCell="B4" sqref="B4:I30"/>
    </sheetView>
  </sheetViews>
  <sheetFormatPr defaultColWidth="9.1796875" defaultRowHeight="13" x14ac:dyDescent="0.3"/>
  <cols>
    <col min="1" max="1" width="1" style="2" customWidth="1"/>
    <col min="2" max="2" width="38.1796875" style="2" customWidth="1"/>
    <col min="3" max="3" width="22" style="2" customWidth="1"/>
    <col min="4" max="4" width="26.26953125" style="2" customWidth="1"/>
    <col min="5" max="5" width="0.7265625" style="2" customWidth="1"/>
    <col min="6" max="7" width="12.7265625" style="2" customWidth="1"/>
    <col min="8" max="8" width="0.54296875" style="2" customWidth="1"/>
    <col min="9" max="9" width="11" style="2" customWidth="1"/>
    <col min="10" max="10" width="1.26953125" style="2" customWidth="1"/>
    <col min="11" max="11" width="9.1796875" style="2"/>
    <col min="12" max="12" width="9.1796875" style="2" hidden="1" customWidth="1"/>
    <col min="13" max="16384" width="9.1796875" style="2"/>
  </cols>
  <sheetData>
    <row r="1" spans="1:12" ht="5.15" customHeight="1" thickBot="1" x14ac:dyDescent="0.35"/>
    <row r="2" spans="1:12" ht="38.25" customHeight="1" thickBot="1" x14ac:dyDescent="0.35">
      <c r="B2" s="629" t="s">
        <v>587</v>
      </c>
      <c r="C2" s="629"/>
      <c r="D2" s="629"/>
      <c r="E2" s="629"/>
      <c r="F2" s="629"/>
      <c r="G2" s="629"/>
      <c r="H2" s="629"/>
      <c r="I2" s="629"/>
    </row>
    <row r="3" spans="1:12" ht="4.5" customHeight="1" thickBot="1" x14ac:dyDescent="0.35"/>
    <row r="4" spans="1:12" ht="23.5" thickBot="1" x14ac:dyDescent="0.55000000000000004">
      <c r="B4" s="698" t="s">
        <v>8</v>
      </c>
      <c r="C4" s="699"/>
      <c r="D4" s="699"/>
      <c r="E4" s="699"/>
      <c r="F4" s="699"/>
      <c r="G4" s="699"/>
      <c r="H4" s="699"/>
      <c r="I4" s="700"/>
    </row>
    <row r="5" spans="1:12" ht="4.5" customHeight="1" thickBot="1" x14ac:dyDescent="0.35"/>
    <row r="6" spans="1:12" ht="13.5" thickBot="1" x14ac:dyDescent="0.35">
      <c r="A6" s="536"/>
      <c r="B6" s="556"/>
      <c r="C6" s="556"/>
      <c r="D6" s="556"/>
      <c r="E6" s="536"/>
      <c r="F6" s="709">
        <f>Titles!F2</f>
        <v>2024</v>
      </c>
      <c r="G6" s="710"/>
      <c r="H6" s="536"/>
      <c r="I6" s="711" t="s">
        <v>613</v>
      </c>
      <c r="J6" s="536"/>
    </row>
    <row r="7" spans="1:12" ht="18.649999999999999" customHeight="1" x14ac:dyDescent="0.3">
      <c r="A7" s="536"/>
      <c r="B7" s="557"/>
      <c r="C7" s="557"/>
      <c r="D7" s="557"/>
      <c r="E7" s="536"/>
      <c r="F7" s="94" t="s">
        <v>329</v>
      </c>
      <c r="G7" s="95" t="s">
        <v>330</v>
      </c>
      <c r="H7" s="536"/>
      <c r="I7" s="712"/>
      <c r="J7" s="536"/>
    </row>
    <row r="8" spans="1:12" ht="21.65" customHeight="1" thickBot="1" x14ac:dyDescent="0.35">
      <c r="A8" s="536"/>
      <c r="B8" s="93" t="s">
        <v>85</v>
      </c>
      <c r="C8" s="93" t="s">
        <v>86</v>
      </c>
      <c r="D8" s="93" t="s">
        <v>87</v>
      </c>
      <c r="E8" s="536"/>
      <c r="F8" s="96" t="s">
        <v>614</v>
      </c>
      <c r="G8" s="97" t="s">
        <v>614</v>
      </c>
      <c r="H8" s="536"/>
      <c r="I8" s="713"/>
      <c r="J8" s="536"/>
    </row>
    <row r="9" spans="1:12" ht="12.75" customHeight="1" x14ac:dyDescent="0.3">
      <c r="A9" s="536"/>
      <c r="B9" s="558" t="str">
        <f ca="1">Tables!B9</f>
        <v>Income Qualified Program</v>
      </c>
      <c r="C9" s="559" t="str">
        <f ca="1">Tables!C9</f>
        <v>Residential</v>
      </c>
      <c r="D9" s="559" t="str">
        <f ca="1">Tables!D9</f>
        <v>Market Specific/Hard to Reach</v>
      </c>
      <c r="E9" s="536"/>
      <c r="F9" s="99">
        <f ca="1">Tables!E9</f>
        <v>211894.8</v>
      </c>
      <c r="G9" s="100">
        <f ca="1">Tables!F9</f>
        <v>168628.37</v>
      </c>
      <c r="H9" s="536"/>
      <c r="I9" s="103">
        <f ca="1">IF(ISERROR(G9/F9),"-",(G9/F9))</f>
        <v>0.79581174243067787</v>
      </c>
      <c r="J9" s="536"/>
      <c r="L9" s="2">
        <f ca="1">IF(B9="*Hide*",1)-IF(SUBTOTAL(103,B9)=1,0,1)</f>
        <v>0</v>
      </c>
    </row>
    <row r="10" spans="1:12" ht="12.75" customHeight="1" x14ac:dyDescent="0.3">
      <c r="A10" s="536"/>
      <c r="B10" s="560" t="str">
        <f ca="1">Tables!B10</f>
        <v>Residential Solution Program</v>
      </c>
      <c r="C10" s="561" t="str">
        <f ca="1">Tables!C10</f>
        <v>Residential</v>
      </c>
      <c r="D10" s="561" t="str">
        <f ca="1">Tables!D10</f>
        <v>Other</v>
      </c>
      <c r="E10" s="536"/>
      <c r="F10" s="101">
        <f ca="1">Tables!E10</f>
        <v>2504889.75</v>
      </c>
      <c r="G10" s="102">
        <f ca="1">Tables!F10</f>
        <v>2391297.14</v>
      </c>
      <c r="H10" s="536"/>
      <c r="I10" s="104">
        <f t="shared" ref="I10:I30" ca="1" si="0">IF(ISERROR(G10/F10),"-",(G10/F10))</f>
        <v>0.95465165283222553</v>
      </c>
      <c r="J10" s="536"/>
      <c r="L10" s="2">
        <f t="shared" ref="L10:L28" ca="1" si="1">IF(B10="*Hide*",1)-IF(SUBTOTAL(103,B10)=1,0,1)</f>
        <v>0</v>
      </c>
    </row>
    <row r="11" spans="1:12" ht="12.75" customHeight="1" x14ac:dyDescent="0.3">
      <c r="A11" s="536"/>
      <c r="B11" s="560" t="str">
        <f ca="1">Tables!B11</f>
        <v>Commercial &amp; Industrial Solutions Program</v>
      </c>
      <c r="C11" s="561" t="str">
        <f ca="1">Tables!C11</f>
        <v>Commercial &amp; Industrial</v>
      </c>
      <c r="D11" s="561" t="str">
        <f ca="1">Tables!D11</f>
        <v>Custom</v>
      </c>
      <c r="E11" s="536"/>
      <c r="F11" s="101">
        <f ca="1">Tables!E11</f>
        <v>1425147.99</v>
      </c>
      <c r="G11" s="102">
        <f ca="1">Tables!F11</f>
        <v>1391947.99</v>
      </c>
      <c r="H11" s="536"/>
      <c r="I11" s="104">
        <f t="shared" ca="1" si="0"/>
        <v>0.97670417371882901</v>
      </c>
      <c r="J11" s="536"/>
      <c r="L11" s="2">
        <f t="shared" ca="1" si="1"/>
        <v>0</v>
      </c>
    </row>
    <row r="12" spans="1:12" ht="12.75" customHeight="1" x14ac:dyDescent="0.3">
      <c r="A12" s="536"/>
      <c r="B12" s="560" t="str">
        <f ca="1">Tables!B12</f>
        <v>Energy Efficiency Arkansas</v>
      </c>
      <c r="C12" s="561" t="str">
        <f ca="1">Tables!C12</f>
        <v>All Classes</v>
      </c>
      <c r="D12" s="561" t="str">
        <f ca="1">Tables!D12</f>
        <v>Behavior/Education</v>
      </c>
      <c r="E12" s="536"/>
      <c r="F12" s="101">
        <f ca="1">Tables!E12</f>
        <v>0</v>
      </c>
      <c r="G12" s="102">
        <f ca="1">Tables!F12</f>
        <v>0</v>
      </c>
      <c r="H12" s="536"/>
      <c r="I12" s="104" t="str">
        <f t="shared" ca="1" si="0"/>
        <v>-</v>
      </c>
      <c r="J12" s="536"/>
      <c r="L12" s="2">
        <f t="shared" ca="1" si="1"/>
        <v>0</v>
      </c>
    </row>
    <row r="13" spans="1:12" ht="12.75" hidden="1" customHeight="1" x14ac:dyDescent="0.3">
      <c r="A13" s="536"/>
      <c r="B13" s="560" t="str">
        <f ca="1">Tables!B13</f>
        <v>*Hide*</v>
      </c>
      <c r="C13" s="561" t="str">
        <f ca="1">Tables!C13</f>
        <v>-</v>
      </c>
      <c r="D13" s="561" t="str">
        <f ca="1">Tables!D13</f>
        <v>-</v>
      </c>
      <c r="E13" s="536"/>
      <c r="F13" s="101" t="str">
        <f ca="1">Tables!E13</f>
        <v>-</v>
      </c>
      <c r="G13" s="102" t="str">
        <f ca="1">Tables!F13</f>
        <v>-</v>
      </c>
      <c r="H13" s="536"/>
      <c r="I13" s="104" t="str">
        <f t="shared" ca="1" si="0"/>
        <v>-</v>
      </c>
      <c r="J13" s="536"/>
      <c r="L13" s="2">
        <f t="shared" ca="1" si="1"/>
        <v>0</v>
      </c>
    </row>
    <row r="14" spans="1:12" ht="12.75" hidden="1" customHeight="1" x14ac:dyDescent="0.3">
      <c r="A14" s="536"/>
      <c r="B14" s="560" t="str">
        <f ca="1">Tables!B14</f>
        <v>*Hide*</v>
      </c>
      <c r="C14" s="561" t="str">
        <f ca="1">Tables!C14</f>
        <v>-</v>
      </c>
      <c r="D14" s="561" t="str">
        <f ca="1">Tables!D14</f>
        <v>-</v>
      </c>
      <c r="E14" s="536"/>
      <c r="F14" s="101" t="str">
        <f ca="1">Tables!E14</f>
        <v>-</v>
      </c>
      <c r="G14" s="102" t="str">
        <f ca="1">Tables!F14</f>
        <v>-</v>
      </c>
      <c r="H14" s="536"/>
      <c r="I14" s="104" t="str">
        <f t="shared" ca="1" si="0"/>
        <v>-</v>
      </c>
      <c r="J14" s="536"/>
      <c r="L14" s="2">
        <f t="shared" ca="1" si="1"/>
        <v>0</v>
      </c>
    </row>
    <row r="15" spans="1:12" ht="12.75" hidden="1" customHeight="1" x14ac:dyDescent="0.3">
      <c r="A15" s="536"/>
      <c r="B15" s="560" t="str">
        <f ca="1">Tables!B15</f>
        <v>*Hide*</v>
      </c>
      <c r="C15" s="561" t="str">
        <f ca="1">Tables!C15</f>
        <v>-</v>
      </c>
      <c r="D15" s="561" t="str">
        <f ca="1">Tables!D15</f>
        <v>-</v>
      </c>
      <c r="E15" s="536"/>
      <c r="F15" s="101" t="str">
        <f ca="1">Tables!E15</f>
        <v>-</v>
      </c>
      <c r="G15" s="102" t="str">
        <f ca="1">Tables!F15</f>
        <v>-</v>
      </c>
      <c r="H15" s="536"/>
      <c r="I15" s="104" t="str">
        <f t="shared" ca="1" si="0"/>
        <v>-</v>
      </c>
      <c r="J15" s="536"/>
      <c r="L15" s="2">
        <f t="shared" ca="1" si="1"/>
        <v>0</v>
      </c>
    </row>
    <row r="16" spans="1:12" ht="12.75" hidden="1" customHeight="1" x14ac:dyDescent="0.3">
      <c r="A16" s="536"/>
      <c r="B16" s="560" t="str">
        <f ca="1">Tables!B16</f>
        <v>*Hide*</v>
      </c>
      <c r="C16" s="561" t="str">
        <f ca="1">Tables!C16</f>
        <v>-</v>
      </c>
      <c r="D16" s="561" t="str">
        <f ca="1">Tables!D16</f>
        <v>-</v>
      </c>
      <c r="E16" s="536"/>
      <c r="F16" s="101" t="str">
        <f ca="1">Tables!E16</f>
        <v>-</v>
      </c>
      <c r="G16" s="102" t="str">
        <f ca="1">Tables!F16</f>
        <v>-</v>
      </c>
      <c r="H16" s="536"/>
      <c r="I16" s="104" t="str">
        <f t="shared" ca="1" si="0"/>
        <v>-</v>
      </c>
      <c r="J16" s="536"/>
      <c r="L16" s="2">
        <f t="shared" ca="1" si="1"/>
        <v>0</v>
      </c>
    </row>
    <row r="17" spans="1:12" ht="12.75" hidden="1" customHeight="1" x14ac:dyDescent="0.3">
      <c r="A17" s="536"/>
      <c r="B17" s="560" t="str">
        <f ca="1">Tables!B17</f>
        <v>*Hide*</v>
      </c>
      <c r="C17" s="561" t="str">
        <f ca="1">Tables!C17</f>
        <v>-</v>
      </c>
      <c r="D17" s="561" t="str">
        <f ca="1">Tables!D17</f>
        <v>-</v>
      </c>
      <c r="E17" s="536"/>
      <c r="F17" s="101" t="str">
        <f ca="1">Tables!E17</f>
        <v>-</v>
      </c>
      <c r="G17" s="102" t="str">
        <f ca="1">Tables!F17</f>
        <v>-</v>
      </c>
      <c r="H17" s="536"/>
      <c r="I17" s="104" t="str">
        <f t="shared" ca="1" si="0"/>
        <v>-</v>
      </c>
      <c r="J17" s="536"/>
      <c r="L17" s="2">
        <f t="shared" ca="1" si="1"/>
        <v>0</v>
      </c>
    </row>
    <row r="18" spans="1:12" ht="12.75" hidden="1" customHeight="1" x14ac:dyDescent="0.3">
      <c r="A18" s="536"/>
      <c r="B18" s="560" t="str">
        <f ca="1">Tables!B18</f>
        <v>*Hide*</v>
      </c>
      <c r="C18" s="561" t="str">
        <f ca="1">Tables!C18</f>
        <v>-</v>
      </c>
      <c r="D18" s="561" t="str">
        <f ca="1">Tables!D18</f>
        <v>-</v>
      </c>
      <c r="E18" s="536"/>
      <c r="F18" s="101" t="str">
        <f ca="1">Tables!E18</f>
        <v>-</v>
      </c>
      <c r="G18" s="102" t="str">
        <f ca="1">Tables!F18</f>
        <v>-</v>
      </c>
      <c r="H18" s="536"/>
      <c r="I18" s="104" t="str">
        <f t="shared" ca="1" si="0"/>
        <v>-</v>
      </c>
      <c r="J18" s="536"/>
      <c r="L18" s="2">
        <f t="shared" ca="1" si="1"/>
        <v>0</v>
      </c>
    </row>
    <row r="19" spans="1:12" ht="12.75" hidden="1" customHeight="1" x14ac:dyDescent="0.3">
      <c r="A19" s="536"/>
      <c r="B19" s="560" t="str">
        <f ca="1">Tables!B19</f>
        <v>*Hide*</v>
      </c>
      <c r="C19" s="561" t="str">
        <f ca="1">Tables!C19</f>
        <v>-</v>
      </c>
      <c r="D19" s="561" t="str">
        <f ca="1">Tables!D19</f>
        <v>-</v>
      </c>
      <c r="E19" s="536"/>
      <c r="F19" s="101" t="str">
        <f ca="1">Tables!E19</f>
        <v>-</v>
      </c>
      <c r="G19" s="102" t="str">
        <f ca="1">Tables!F19</f>
        <v>-</v>
      </c>
      <c r="H19" s="536"/>
      <c r="I19" s="104" t="str">
        <f t="shared" ca="1" si="0"/>
        <v>-</v>
      </c>
      <c r="J19" s="536"/>
      <c r="L19" s="2">
        <f t="shared" ca="1" si="1"/>
        <v>0</v>
      </c>
    </row>
    <row r="20" spans="1:12" ht="12.75" hidden="1" customHeight="1" x14ac:dyDescent="0.3">
      <c r="A20" s="536"/>
      <c r="B20" s="560" t="str">
        <f ca="1">Tables!B20</f>
        <v>*Hide*</v>
      </c>
      <c r="C20" s="561" t="str">
        <f ca="1">Tables!C20</f>
        <v>-</v>
      </c>
      <c r="D20" s="561" t="str">
        <f ca="1">Tables!D20</f>
        <v>-</v>
      </c>
      <c r="E20" s="536"/>
      <c r="F20" s="101" t="str">
        <f ca="1">Tables!E20</f>
        <v>-</v>
      </c>
      <c r="G20" s="102" t="str">
        <f ca="1">Tables!F20</f>
        <v>-</v>
      </c>
      <c r="H20" s="536"/>
      <c r="I20" s="104" t="str">
        <f t="shared" ca="1" si="0"/>
        <v>-</v>
      </c>
      <c r="J20" s="536"/>
      <c r="L20" s="2">
        <f t="shared" ca="1" si="1"/>
        <v>0</v>
      </c>
    </row>
    <row r="21" spans="1:12" ht="12.75" hidden="1" customHeight="1" x14ac:dyDescent="0.3">
      <c r="A21" s="536"/>
      <c r="B21" s="560" t="str">
        <f ca="1">Tables!B21</f>
        <v>*Hide*</v>
      </c>
      <c r="C21" s="561" t="str">
        <f ca="1">Tables!C21</f>
        <v>-</v>
      </c>
      <c r="D21" s="561" t="str">
        <f ca="1">Tables!D21</f>
        <v>-</v>
      </c>
      <c r="E21" s="536"/>
      <c r="F21" s="101" t="str">
        <f ca="1">Tables!E21</f>
        <v>-</v>
      </c>
      <c r="G21" s="102" t="str">
        <f ca="1">Tables!F21</f>
        <v>-</v>
      </c>
      <c r="H21" s="536"/>
      <c r="I21" s="104" t="str">
        <f t="shared" ca="1" si="0"/>
        <v>-</v>
      </c>
      <c r="J21" s="536"/>
      <c r="L21" s="2">
        <f t="shared" ca="1" si="1"/>
        <v>0</v>
      </c>
    </row>
    <row r="22" spans="1:12" ht="12.75" hidden="1" customHeight="1" x14ac:dyDescent="0.3">
      <c r="A22" s="536"/>
      <c r="B22" s="560" t="str">
        <f ca="1">Tables!B22</f>
        <v>*Hide*</v>
      </c>
      <c r="C22" s="561" t="str">
        <f ca="1">Tables!C22</f>
        <v>-</v>
      </c>
      <c r="D22" s="561" t="str">
        <f ca="1">Tables!D22</f>
        <v>-</v>
      </c>
      <c r="E22" s="536"/>
      <c r="F22" s="101" t="str">
        <f ca="1">Tables!E22</f>
        <v>-</v>
      </c>
      <c r="G22" s="102" t="str">
        <f ca="1">Tables!F22</f>
        <v>-</v>
      </c>
      <c r="H22" s="536"/>
      <c r="I22" s="104" t="str">
        <f t="shared" ca="1" si="0"/>
        <v>-</v>
      </c>
      <c r="J22" s="536"/>
      <c r="L22" s="2">
        <f t="shared" ca="1" si="1"/>
        <v>0</v>
      </c>
    </row>
    <row r="23" spans="1:12" ht="12.75" hidden="1" customHeight="1" x14ac:dyDescent="0.3">
      <c r="A23" s="536"/>
      <c r="B23" s="560" t="str">
        <f ca="1">Tables!B23</f>
        <v>*Hide*</v>
      </c>
      <c r="C23" s="561" t="str">
        <f ca="1">Tables!C23</f>
        <v>-</v>
      </c>
      <c r="D23" s="561" t="str">
        <f ca="1">Tables!D23</f>
        <v>-</v>
      </c>
      <c r="E23" s="536"/>
      <c r="F23" s="101" t="str">
        <f ca="1">Tables!E23</f>
        <v>-</v>
      </c>
      <c r="G23" s="102" t="str">
        <f ca="1">Tables!F23</f>
        <v>-</v>
      </c>
      <c r="H23" s="536"/>
      <c r="I23" s="104" t="str">
        <f t="shared" ca="1" si="0"/>
        <v>-</v>
      </c>
      <c r="J23" s="536"/>
      <c r="L23" s="2">
        <f t="shared" ca="1" si="1"/>
        <v>0</v>
      </c>
    </row>
    <row r="24" spans="1:12" ht="12.75" hidden="1" customHeight="1" x14ac:dyDescent="0.3">
      <c r="A24" s="536"/>
      <c r="B24" s="560" t="str">
        <f ca="1">Tables!B24</f>
        <v>*Hide*</v>
      </c>
      <c r="C24" s="561" t="str">
        <f ca="1">Tables!C24</f>
        <v>-</v>
      </c>
      <c r="D24" s="561" t="str">
        <f ca="1">Tables!D24</f>
        <v>-</v>
      </c>
      <c r="E24" s="536"/>
      <c r="F24" s="101" t="str">
        <f ca="1">Tables!E24</f>
        <v>-</v>
      </c>
      <c r="G24" s="102" t="str">
        <f ca="1">Tables!F24</f>
        <v>-</v>
      </c>
      <c r="H24" s="536"/>
      <c r="I24" s="104" t="str">
        <f t="shared" ca="1" si="0"/>
        <v>-</v>
      </c>
      <c r="J24" s="536"/>
      <c r="L24" s="2">
        <f t="shared" ca="1" si="1"/>
        <v>0</v>
      </c>
    </row>
    <row r="25" spans="1:12" ht="12.75" hidden="1" customHeight="1" x14ac:dyDescent="0.3">
      <c r="A25" s="536"/>
      <c r="B25" s="560" t="str">
        <f ca="1">Tables!B25</f>
        <v>*Hide*</v>
      </c>
      <c r="C25" s="561" t="str">
        <f ca="1">Tables!C25</f>
        <v>-</v>
      </c>
      <c r="D25" s="561" t="str">
        <f ca="1">Tables!D25</f>
        <v>-</v>
      </c>
      <c r="E25" s="536"/>
      <c r="F25" s="101" t="str">
        <f ca="1">Tables!E25</f>
        <v>-</v>
      </c>
      <c r="G25" s="102" t="str">
        <f ca="1">Tables!F25</f>
        <v>-</v>
      </c>
      <c r="H25" s="536"/>
      <c r="I25" s="104" t="str">
        <f t="shared" ca="1" si="0"/>
        <v>-</v>
      </c>
      <c r="J25" s="536"/>
      <c r="L25" s="2">
        <f t="shared" ca="1" si="1"/>
        <v>0</v>
      </c>
    </row>
    <row r="26" spans="1:12" ht="12.75" hidden="1" customHeight="1" x14ac:dyDescent="0.3">
      <c r="A26" s="536"/>
      <c r="B26" s="560" t="str">
        <f ca="1">Tables!B26</f>
        <v>*Hide*</v>
      </c>
      <c r="C26" s="561" t="str">
        <f ca="1">Tables!C26</f>
        <v>-</v>
      </c>
      <c r="D26" s="561" t="str">
        <f ca="1">Tables!D26</f>
        <v>-</v>
      </c>
      <c r="E26" s="536"/>
      <c r="F26" s="101" t="str">
        <f ca="1">Tables!E26</f>
        <v>-</v>
      </c>
      <c r="G26" s="102" t="str">
        <f ca="1">Tables!F26</f>
        <v>-</v>
      </c>
      <c r="H26" s="536"/>
      <c r="I26" s="104" t="str">
        <f t="shared" ca="1" si="0"/>
        <v>-</v>
      </c>
      <c r="J26" s="536"/>
      <c r="L26" s="2">
        <f t="shared" ca="1" si="1"/>
        <v>0</v>
      </c>
    </row>
    <row r="27" spans="1:12" ht="12.75" hidden="1" customHeight="1" x14ac:dyDescent="0.3">
      <c r="A27" s="536"/>
      <c r="B27" s="560" t="str">
        <f ca="1">Tables!B27</f>
        <v>*Hide*</v>
      </c>
      <c r="C27" s="561" t="str">
        <f ca="1">Tables!C27</f>
        <v>-</v>
      </c>
      <c r="D27" s="561" t="str">
        <f ca="1">Tables!D27</f>
        <v>-</v>
      </c>
      <c r="E27" s="536"/>
      <c r="F27" s="101" t="str">
        <f ca="1">Tables!E27</f>
        <v>-</v>
      </c>
      <c r="G27" s="102" t="str">
        <f ca="1">Tables!F27</f>
        <v>-</v>
      </c>
      <c r="H27" s="536"/>
      <c r="I27" s="104" t="str">
        <f t="shared" ca="1" si="0"/>
        <v>-</v>
      </c>
      <c r="J27" s="536"/>
      <c r="L27" s="2">
        <f t="shared" ca="1" si="1"/>
        <v>0</v>
      </c>
    </row>
    <row r="28" spans="1:12" ht="12.75" hidden="1" customHeight="1" x14ac:dyDescent="0.3">
      <c r="A28" s="536"/>
      <c r="B28" s="560" t="str">
        <f ca="1">Tables!B28</f>
        <v>*Hide*</v>
      </c>
      <c r="C28" s="561" t="str">
        <f ca="1">Tables!C28</f>
        <v>-</v>
      </c>
      <c r="D28" s="561" t="str">
        <f ca="1">Tables!D28</f>
        <v>-</v>
      </c>
      <c r="E28" s="536"/>
      <c r="F28" s="101" t="str">
        <f ca="1">Tables!E28</f>
        <v>-</v>
      </c>
      <c r="G28" s="102" t="str">
        <f ca="1">Tables!F28</f>
        <v>-</v>
      </c>
      <c r="H28" s="536"/>
      <c r="I28" s="104" t="str">
        <f t="shared" ca="1" si="0"/>
        <v>-</v>
      </c>
      <c r="J28" s="536"/>
      <c r="L28" s="2">
        <f t="shared" ca="1" si="1"/>
        <v>0</v>
      </c>
    </row>
    <row r="29" spans="1:12" ht="12.75" customHeight="1" thickBot="1" x14ac:dyDescent="0.35">
      <c r="A29" s="536"/>
      <c r="B29" s="562" t="str">
        <f>Tables!B29</f>
        <v>Regulatory</v>
      </c>
      <c r="C29" s="561" t="str">
        <f>Tables!C29</f>
        <v>-</v>
      </c>
      <c r="D29" s="561" t="str">
        <f>Tables!D29</f>
        <v>-</v>
      </c>
      <c r="E29" s="536"/>
      <c r="F29" s="101">
        <f>Tables!E29</f>
        <v>27917</v>
      </c>
      <c r="G29" s="102">
        <f>Tables!F29</f>
        <v>9751.39</v>
      </c>
      <c r="H29" s="536"/>
      <c r="I29" s="104">
        <f t="shared" si="0"/>
        <v>0.34929935164953252</v>
      </c>
      <c r="J29" s="536"/>
      <c r="L29" s="2">
        <f>IF(SUBTOTAL(103,B29)=1,0,-1)</f>
        <v>0</v>
      </c>
    </row>
    <row r="30" spans="1:12" ht="12.75" customHeight="1" thickBot="1" x14ac:dyDescent="0.35">
      <c r="A30" s="536"/>
      <c r="B30" s="563"/>
      <c r="C30" s="563"/>
      <c r="D30" s="105" t="s">
        <v>149</v>
      </c>
      <c r="E30" s="536"/>
      <c r="F30" s="98">
        <f ca="1">SUM(F9:F29)</f>
        <v>4169849.54</v>
      </c>
      <c r="G30" s="123">
        <f ca="1">SUM(G9:G29)</f>
        <v>3961624.89</v>
      </c>
      <c r="H30" s="536"/>
      <c r="I30" s="124">
        <f t="shared" ca="1" si="0"/>
        <v>0.95006422941581725</v>
      </c>
      <c r="J30" s="536"/>
      <c r="L30" s="2">
        <f ca="1">SUM(L9:L29)</f>
        <v>0</v>
      </c>
    </row>
    <row r="31" spans="1:12" x14ac:dyDescent="0.3">
      <c r="A31" s="536"/>
      <c r="B31" s="536"/>
      <c r="C31" s="536"/>
      <c r="D31" s="536"/>
      <c r="E31" s="536"/>
      <c r="F31" s="536"/>
      <c r="G31" s="536"/>
      <c r="H31" s="536"/>
      <c r="I31" s="536"/>
      <c r="J31" s="536"/>
    </row>
    <row r="32" spans="1:12" x14ac:dyDescent="0.3">
      <c r="B32" s="536"/>
      <c r="C32" s="536"/>
      <c r="D32" s="536"/>
      <c r="E32" s="536"/>
      <c r="F32" s="536"/>
      <c r="G32" s="536"/>
      <c r="H32" s="536"/>
      <c r="I32" s="536"/>
      <c r="J32" s="536"/>
    </row>
    <row r="33" spans="2:10" x14ac:dyDescent="0.3">
      <c r="B33" s="337" t="str">
        <f ca="1">IF(L30&gt;0,"Select all cells in the 'Program Name' column that contain *Hide* and press Ctrl+9 to hide rows.",IF(L30&lt;0,"Select all cells in Program Name column and press Shift+Ctrl+9 to unhide all rows.",""))</f>
        <v/>
      </c>
      <c r="C33" s="536"/>
      <c r="D33" s="536"/>
      <c r="E33" s="536"/>
      <c r="F33" s="536"/>
      <c r="G33" s="536"/>
      <c r="H33" s="536"/>
      <c r="I33" s="536"/>
      <c r="J33" s="536"/>
    </row>
    <row r="34" spans="2:10" x14ac:dyDescent="0.3">
      <c r="B34" s="337"/>
      <c r="C34" s="536"/>
      <c r="D34" s="536"/>
      <c r="E34" s="536"/>
      <c r="F34" s="536"/>
      <c r="G34" s="536"/>
      <c r="H34" s="536"/>
      <c r="I34" s="536"/>
      <c r="J34" s="536"/>
    </row>
    <row r="35" spans="2:10" x14ac:dyDescent="0.3">
      <c r="B35" s="536"/>
      <c r="C35" s="536"/>
      <c r="D35" s="536"/>
      <c r="E35" s="536"/>
      <c r="F35" s="536"/>
      <c r="G35" s="536"/>
      <c r="H35" s="536"/>
      <c r="I35" s="536"/>
      <c r="J35" s="536"/>
    </row>
    <row r="36" spans="2:10" x14ac:dyDescent="0.3">
      <c r="B36" s="536"/>
      <c r="C36" s="536"/>
      <c r="D36" s="536"/>
      <c r="E36" s="536"/>
      <c r="F36" s="536"/>
      <c r="G36" s="536"/>
      <c r="H36" s="536"/>
      <c r="I36" s="536"/>
      <c r="J36" s="536"/>
    </row>
    <row r="37" spans="2:10" x14ac:dyDescent="0.3">
      <c r="B37" s="536"/>
      <c r="C37" s="536"/>
      <c r="D37" s="536"/>
      <c r="E37" s="536"/>
      <c r="F37" s="536"/>
      <c r="G37" s="536"/>
      <c r="H37" s="536"/>
      <c r="I37" s="536"/>
      <c r="J37" s="536"/>
    </row>
    <row r="38" spans="2:10" x14ac:dyDescent="0.3">
      <c r="B38" s="536"/>
      <c r="C38" s="536"/>
      <c r="D38" s="536"/>
      <c r="E38" s="536"/>
      <c r="F38" s="536"/>
      <c r="G38" s="536"/>
      <c r="H38" s="536"/>
      <c r="I38" s="536"/>
      <c r="J38" s="536"/>
    </row>
    <row r="39" spans="2:10" x14ac:dyDescent="0.3">
      <c r="B39" s="536"/>
      <c r="C39" s="536"/>
      <c r="D39" s="536"/>
      <c r="E39" s="536"/>
      <c r="F39" s="536"/>
      <c r="G39" s="536"/>
      <c r="H39" s="536"/>
      <c r="I39" s="536"/>
      <c r="J39" s="536"/>
    </row>
    <row r="40" spans="2:10" x14ac:dyDescent="0.3">
      <c r="B40" s="536"/>
      <c r="C40" s="536"/>
      <c r="D40" s="536"/>
      <c r="E40" s="536"/>
      <c r="F40" s="536"/>
      <c r="G40" s="536"/>
      <c r="H40" s="536"/>
      <c r="I40" s="536"/>
      <c r="J40" s="536"/>
    </row>
  </sheetData>
  <sheetProtection password="C925" sheet="1" objects="1" scenarios="1" formatColumns="0" formatRows="0"/>
  <mergeCells count="4">
    <mergeCell ref="F6:G6"/>
    <mergeCell ref="I6:I8"/>
    <mergeCell ref="B4:I4"/>
    <mergeCell ref="B2:I2"/>
  </mergeCells>
  <conditionalFormatting sqref="B9:D28 F9:G28 I9:I28">
    <cfRule type="expression" dxfId="4" priority="3">
      <formula>$B9="*Hide*"</formula>
    </cfRule>
  </conditionalFormatting>
  <pageMargins left="0.5" right="0.5" top="0.75" bottom="0.75" header="0.3" footer="0.3"/>
  <pageSetup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25"/>
  <sheetViews>
    <sheetView showGridLines="0" zoomScale="110" zoomScaleNormal="110" workbookViewId="0">
      <selection activeCell="B4" sqref="B4:G35"/>
    </sheetView>
  </sheetViews>
  <sheetFormatPr defaultColWidth="9.1796875" defaultRowHeight="13" x14ac:dyDescent="0.3"/>
  <cols>
    <col min="1" max="1" width="1" style="2" customWidth="1"/>
    <col min="2" max="2" width="37.7265625" style="2" customWidth="1"/>
    <col min="3" max="3" width="1.1796875" style="2" customWidth="1"/>
    <col min="4" max="4" width="8.7265625" style="2" customWidth="1"/>
    <col min="5" max="6" width="12.7265625" style="2" customWidth="1"/>
    <col min="7" max="7" width="8.7265625" style="2" customWidth="1"/>
    <col min="8" max="8" width="1.26953125" style="2" customWidth="1"/>
    <col min="9" max="16384" width="9.1796875" style="2"/>
  </cols>
  <sheetData>
    <row r="1" spans="1:8" ht="5.15" customHeight="1" thickBot="1" x14ac:dyDescent="0.35"/>
    <row r="2" spans="1:8" ht="38.25" customHeight="1" thickBot="1" x14ac:dyDescent="0.35">
      <c r="B2" s="629" t="s">
        <v>588</v>
      </c>
      <c r="C2" s="629"/>
      <c r="D2" s="629"/>
      <c r="E2" s="629"/>
      <c r="F2" s="629"/>
      <c r="G2" s="629"/>
    </row>
    <row r="3" spans="1:8" ht="4.5" customHeight="1" thickBot="1" x14ac:dyDescent="0.35"/>
    <row r="4" spans="1:8" ht="23.5" thickBot="1" x14ac:dyDescent="0.55000000000000004">
      <c r="B4" s="698" t="s">
        <v>615</v>
      </c>
      <c r="C4" s="699"/>
      <c r="D4" s="699"/>
      <c r="E4" s="699"/>
      <c r="F4" s="699"/>
      <c r="G4" s="700"/>
    </row>
    <row r="5" spans="1:8" ht="4.5" customHeight="1" thickBot="1" x14ac:dyDescent="0.35">
      <c r="B5" s="155"/>
      <c r="G5" s="156"/>
    </row>
    <row r="6" spans="1:8" ht="13.5" customHeight="1" thickBot="1" x14ac:dyDescent="0.35">
      <c r="A6" s="536"/>
      <c r="B6" s="136"/>
      <c r="C6" s="137"/>
      <c r="D6" s="709" t="str">
        <f>Titles!F2&amp;" Total Expenditures"</f>
        <v>2024 Total Expenditures</v>
      </c>
      <c r="E6" s="714"/>
      <c r="F6" s="714"/>
      <c r="G6" s="710"/>
      <c r="H6" s="536"/>
    </row>
    <row r="7" spans="1:8" ht="11.25" customHeight="1" x14ac:dyDescent="0.3">
      <c r="A7" s="536"/>
      <c r="B7" s="557"/>
      <c r="C7" s="536"/>
      <c r="D7" s="141" t="s">
        <v>616</v>
      </c>
      <c r="E7" s="94" t="s">
        <v>329</v>
      </c>
      <c r="F7" s="95" t="s">
        <v>330</v>
      </c>
      <c r="G7" s="142" t="s">
        <v>616</v>
      </c>
      <c r="H7" s="536"/>
    </row>
    <row r="8" spans="1:8" ht="11.25" customHeight="1" thickBot="1" x14ac:dyDescent="0.35">
      <c r="A8" s="536"/>
      <c r="B8" s="93" t="s">
        <v>617</v>
      </c>
      <c r="C8" s="137"/>
      <c r="D8" s="143" t="s">
        <v>149</v>
      </c>
      <c r="E8" s="144" t="s">
        <v>614</v>
      </c>
      <c r="F8" s="139" t="s">
        <v>614</v>
      </c>
      <c r="G8" s="138" t="s">
        <v>149</v>
      </c>
      <c r="H8" s="536"/>
    </row>
    <row r="9" spans="1:8" ht="12.75" customHeight="1" x14ac:dyDescent="0.3">
      <c r="A9" s="536"/>
      <c r="B9" s="559" t="str">
        <f>Tables!B34</f>
        <v>Planning / Design</v>
      </c>
      <c r="C9" s="536"/>
      <c r="D9" s="103">
        <f>IF(ISERROR(E9/$E$15),"-",(E9/$E$15))</f>
        <v>8.624536606181718E-3</v>
      </c>
      <c r="E9" s="148">
        <f>Tables!C34</f>
        <v>35963.019999999997</v>
      </c>
      <c r="F9" s="148">
        <f>Tables!D34</f>
        <v>0</v>
      </c>
      <c r="G9" s="140">
        <f>IF(ISERROR(F9/$F$15),"-",(F9/$F$15))</f>
        <v>0</v>
      </c>
      <c r="H9" s="536"/>
    </row>
    <row r="10" spans="1:8" ht="12.75" customHeight="1" x14ac:dyDescent="0.3">
      <c r="A10" s="536"/>
      <c r="B10" s="561" t="str">
        <f>Tables!B35</f>
        <v>Marketing &amp; Delivery</v>
      </c>
      <c r="C10" s="536"/>
      <c r="D10" s="145">
        <f t="shared" ref="D10:D15" si="0">IF(ISERROR(E10/$E$15),"-",(E10/$E$15))</f>
        <v>0.40974797138603714</v>
      </c>
      <c r="E10" s="149">
        <f>Tables!C35</f>
        <v>1708587.39</v>
      </c>
      <c r="F10" s="149">
        <f>Tables!D35</f>
        <v>1708587.39</v>
      </c>
      <c r="G10" s="152">
        <f t="shared" ref="G10:G15" si="1">IF(ISERROR(F10/$F$15),"-",(F10/$F$15))</f>
        <v>0.43128449498407712</v>
      </c>
      <c r="H10" s="536"/>
    </row>
    <row r="11" spans="1:8" ht="12.75" customHeight="1" x14ac:dyDescent="0.3">
      <c r="A11" s="536"/>
      <c r="B11" s="561" t="str">
        <f>Tables!B36</f>
        <v>Incentives / Direct Install Costs</v>
      </c>
      <c r="C11" s="536"/>
      <c r="D11" s="145">
        <f t="shared" si="0"/>
        <v>0.51579478572744863</v>
      </c>
      <c r="E11" s="149">
        <f>Tables!C36</f>
        <v>2150786.65</v>
      </c>
      <c r="F11" s="149">
        <f>Tables!D36</f>
        <v>1996689.0899999999</v>
      </c>
      <c r="G11" s="152">
        <f t="shared" si="1"/>
        <v>0.50400760936253108</v>
      </c>
      <c r="H11" s="536"/>
    </row>
    <row r="12" spans="1:8" ht="12.75" customHeight="1" x14ac:dyDescent="0.3">
      <c r="A12" s="536"/>
      <c r="B12" s="561" t="str">
        <f>Tables!B37</f>
        <v>EM&amp;V</v>
      </c>
      <c r="C12" s="536"/>
      <c r="D12" s="145">
        <f t="shared" si="0"/>
        <v>4.551494680549073E-2</v>
      </c>
      <c r="E12" s="149">
        <f>Tables!C37</f>
        <v>189790.47999999998</v>
      </c>
      <c r="F12" s="149">
        <f>Tables!D37</f>
        <v>189790.47999999998</v>
      </c>
      <c r="G12" s="152">
        <f t="shared" si="1"/>
        <v>4.7907231317905009E-2</v>
      </c>
      <c r="H12" s="536"/>
    </row>
    <row r="13" spans="1:8" ht="12.75" customHeight="1" x14ac:dyDescent="0.3">
      <c r="A13" s="536"/>
      <c r="B13" s="561" t="str">
        <f>Tables!B38</f>
        <v>Administration</v>
      </c>
      <c r="C13" s="536"/>
      <c r="D13" s="145">
        <f t="shared" si="0"/>
        <v>1.3622793689577587E-2</v>
      </c>
      <c r="E13" s="149">
        <f>Tables!C38</f>
        <v>56805</v>
      </c>
      <c r="F13" s="149">
        <f>Tables!D38</f>
        <v>56806.539999999994</v>
      </c>
      <c r="G13" s="152">
        <f t="shared" si="1"/>
        <v>1.4339202114615146E-2</v>
      </c>
      <c r="H13" s="536"/>
    </row>
    <row r="14" spans="1:8" ht="12.75" customHeight="1" thickBot="1" x14ac:dyDescent="0.35">
      <c r="A14" s="536"/>
      <c r="B14" s="561" t="str">
        <f>Tables!B39</f>
        <v>Regulatory</v>
      </c>
      <c r="C14" s="536"/>
      <c r="D14" s="146">
        <f t="shared" si="0"/>
        <v>6.6949657852642813E-3</v>
      </c>
      <c r="E14" s="150">
        <f>Tables!C39</f>
        <v>27917</v>
      </c>
      <c r="F14" s="150">
        <f>Tables!D39</f>
        <v>9751.39</v>
      </c>
      <c r="G14" s="153">
        <f t="shared" si="1"/>
        <v>2.4614622208716992E-3</v>
      </c>
      <c r="H14" s="536"/>
    </row>
    <row r="15" spans="1:8" ht="12.75" customHeight="1" thickBot="1" x14ac:dyDescent="0.35">
      <c r="A15" s="536"/>
      <c r="B15" s="563"/>
      <c r="C15" s="564"/>
      <c r="D15" s="147">
        <f t="shared" si="0"/>
        <v>1</v>
      </c>
      <c r="E15" s="151">
        <f>SUM(E9:E14)</f>
        <v>4169849.5399999996</v>
      </c>
      <c r="F15" s="151">
        <f>SUM(F9:F14)</f>
        <v>3961624.8899999997</v>
      </c>
      <c r="G15" s="154">
        <f t="shared" si="1"/>
        <v>1</v>
      </c>
      <c r="H15" s="536"/>
    </row>
    <row r="16" spans="1:8" x14ac:dyDescent="0.3">
      <c r="A16" s="536"/>
      <c r="B16" s="536"/>
      <c r="C16" s="536"/>
      <c r="D16" s="536"/>
      <c r="E16" s="536"/>
      <c r="F16" s="536"/>
      <c r="G16" s="536"/>
      <c r="H16" s="536"/>
    </row>
    <row r="17" spans="2:8" x14ac:dyDescent="0.3">
      <c r="B17" s="536"/>
      <c r="C17" s="536"/>
      <c r="D17" s="536"/>
      <c r="E17" s="536"/>
      <c r="F17" s="536"/>
      <c r="G17" s="536"/>
      <c r="H17" s="536"/>
    </row>
    <row r="18" spans="2:8" x14ac:dyDescent="0.3">
      <c r="B18" s="536"/>
      <c r="C18" s="536"/>
      <c r="D18" s="536"/>
      <c r="E18" s="536"/>
      <c r="F18" s="536"/>
      <c r="G18" s="536"/>
      <c r="H18" s="536"/>
    </row>
    <row r="19" spans="2:8" x14ac:dyDescent="0.3">
      <c r="B19" s="536"/>
      <c r="C19" s="536"/>
      <c r="D19" s="536"/>
      <c r="E19" s="536"/>
      <c r="F19" s="536"/>
      <c r="G19" s="536"/>
      <c r="H19" s="536"/>
    </row>
    <row r="20" spans="2:8" x14ac:dyDescent="0.3">
      <c r="B20" s="536"/>
      <c r="C20" s="536"/>
      <c r="D20" s="536"/>
      <c r="E20" s="536"/>
      <c r="F20" s="536"/>
      <c r="G20" s="536"/>
      <c r="H20" s="536"/>
    </row>
    <row r="21" spans="2:8" x14ac:dyDescent="0.3">
      <c r="B21" s="536"/>
      <c r="C21" s="536"/>
      <c r="D21" s="536"/>
      <c r="E21" s="536"/>
      <c r="F21" s="536"/>
      <c r="G21" s="536"/>
      <c r="H21" s="536"/>
    </row>
    <row r="22" spans="2:8" x14ac:dyDescent="0.3">
      <c r="B22" s="536"/>
      <c r="C22" s="536"/>
      <c r="D22" s="536"/>
      <c r="E22" s="536"/>
      <c r="F22" s="536"/>
      <c r="G22" s="536"/>
      <c r="H22" s="536"/>
    </row>
    <row r="23" spans="2:8" x14ac:dyDescent="0.3">
      <c r="B23" s="536"/>
      <c r="C23" s="536"/>
      <c r="D23" s="536"/>
      <c r="E23" s="536"/>
      <c r="F23" s="536"/>
      <c r="G23" s="536"/>
      <c r="H23" s="536"/>
    </row>
    <row r="24" spans="2:8" x14ac:dyDescent="0.3">
      <c r="B24" s="536"/>
      <c r="C24" s="536"/>
      <c r="D24" s="536"/>
      <c r="E24" s="536"/>
      <c r="F24" s="536"/>
      <c r="G24" s="536"/>
      <c r="H24" s="536"/>
    </row>
    <row r="25" spans="2:8" x14ac:dyDescent="0.3">
      <c r="B25" s="536"/>
      <c r="C25" s="536"/>
      <c r="D25" s="536"/>
      <c r="E25" s="536"/>
      <c r="F25" s="536"/>
      <c r="G25" s="536"/>
      <c r="H25" s="536"/>
    </row>
  </sheetData>
  <sheetProtection password="C925" sheet="1" objects="1" scenarios="1" formatColumns="0" formatRows="0"/>
  <mergeCells count="3">
    <mergeCell ref="B4:G4"/>
    <mergeCell ref="D6:G6"/>
    <mergeCell ref="B2:G2"/>
  </mergeCells>
  <pageMargins left="0.5" right="0.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12"/>
  <sheetViews>
    <sheetView showGridLines="0" showRowColHeaders="0" zoomScale="110" zoomScaleNormal="110" workbookViewId="0">
      <pane ySplit="4" topLeftCell="A5" activePane="bottomLeft" state="frozen"/>
      <selection pane="bottomLeft" activeCell="A5" sqref="A5"/>
    </sheetView>
  </sheetViews>
  <sheetFormatPr defaultColWidth="9.1796875" defaultRowHeight="13" x14ac:dyDescent="0.3"/>
  <cols>
    <col min="1" max="1" width="1" style="2" customWidth="1"/>
    <col min="2" max="2" width="3.7265625" style="2" customWidth="1"/>
    <col min="3" max="3" width="0.26953125" style="2" customWidth="1"/>
    <col min="4" max="4" width="35.7265625" style="2" customWidth="1"/>
    <col min="5" max="5" width="21.81640625" style="2" customWidth="1"/>
    <col min="6" max="6" width="24.81640625" style="2" customWidth="1"/>
    <col min="7" max="7" width="29.81640625" style="2" customWidth="1"/>
    <col min="8" max="8" width="7.1796875" style="2" customWidth="1"/>
    <col min="9" max="9" width="9.7265625" style="2" customWidth="1"/>
    <col min="10" max="10" width="1" style="2" customWidth="1"/>
    <col min="11" max="11" width="16" style="2" customWidth="1"/>
    <col min="12" max="12" width="0" style="2" hidden="1" customWidth="1"/>
    <col min="13" max="16384" width="9.1796875" style="2"/>
  </cols>
  <sheetData>
    <row r="1" spans="2:12" ht="28.5" customHeight="1" x14ac:dyDescent="0.3"/>
    <row r="2" spans="2:12" ht="96.75" customHeight="1" x14ac:dyDescent="0.3">
      <c r="B2" s="456"/>
      <c r="C2" s="457"/>
      <c r="D2" s="457"/>
      <c r="E2" s="457"/>
      <c r="F2" s="457"/>
      <c r="G2" s="457"/>
      <c r="H2" s="457"/>
      <c r="I2" s="458"/>
    </row>
    <row r="3" spans="2:12" ht="12.75" customHeight="1" x14ac:dyDescent="0.3">
      <c r="B3" s="459"/>
      <c r="C3" s="351"/>
      <c r="D3" s="354" t="str">
        <f>IF(L25&gt;0,"Incomplete - All yellow shaded cells must be completed.","")</f>
        <v/>
      </c>
      <c r="E3" s="351"/>
      <c r="F3" s="351"/>
      <c r="G3" s="351"/>
      <c r="H3" s="351"/>
      <c r="I3" s="460"/>
    </row>
    <row r="4" spans="2:12" ht="21" customHeight="1" x14ac:dyDescent="0.35">
      <c r="B4" s="3"/>
      <c r="D4" s="9" t="s">
        <v>85</v>
      </c>
      <c r="E4" s="9" t="s">
        <v>86</v>
      </c>
      <c r="F4" s="9" t="s">
        <v>87</v>
      </c>
      <c r="G4" s="9" t="s">
        <v>88</v>
      </c>
      <c r="I4" s="4"/>
    </row>
    <row r="5" spans="2:12" ht="15" customHeight="1" x14ac:dyDescent="0.3">
      <c r="B5" s="276">
        <v>1</v>
      </c>
      <c r="C5" s="461" t="str">
        <f t="shared" ref="C5:C24" si="0">IF(ISBLANK(D5),"Empty",D5)</f>
        <v>Commercial &amp; Industrial Solutions Program</v>
      </c>
      <c r="D5" s="445" t="s">
        <v>89</v>
      </c>
      <c r="E5" s="180" t="s">
        <v>90</v>
      </c>
      <c r="F5" s="180" t="s">
        <v>91</v>
      </c>
      <c r="G5" s="180" t="s">
        <v>92</v>
      </c>
      <c r="I5" s="4"/>
      <c r="L5" s="336">
        <f t="shared" ref="L5:L24" si="1">IF(C5="Empty",0,IF(OR(ISBLANK(E5),ISBLANK(F5),ISBLANK(G5)),1,0))</f>
        <v>0</v>
      </c>
    </row>
    <row r="6" spans="2:12" ht="15" customHeight="1" x14ac:dyDescent="0.3">
      <c r="B6" s="276">
        <v>2</v>
      </c>
      <c r="C6" s="461" t="str">
        <f t="shared" si="0"/>
        <v>Energy Efficiency Arkansas</v>
      </c>
      <c r="D6" s="445" t="s">
        <v>93</v>
      </c>
      <c r="E6" s="180" t="s">
        <v>94</v>
      </c>
      <c r="F6" s="180" t="s">
        <v>95</v>
      </c>
      <c r="G6" s="180" t="s">
        <v>96</v>
      </c>
      <c r="I6" s="4"/>
      <c r="L6" s="336">
        <f t="shared" si="1"/>
        <v>0</v>
      </c>
    </row>
    <row r="7" spans="2:12" ht="15" customHeight="1" x14ac:dyDescent="0.3">
      <c r="B7" s="276">
        <v>3</v>
      </c>
      <c r="C7" s="461" t="str">
        <f t="shared" si="0"/>
        <v>Residential Solution Program</v>
      </c>
      <c r="D7" s="445" t="s">
        <v>97</v>
      </c>
      <c r="E7" s="180" t="s">
        <v>98</v>
      </c>
      <c r="F7" s="180" t="s">
        <v>99</v>
      </c>
      <c r="G7" s="180" t="s">
        <v>92</v>
      </c>
      <c r="I7" s="4"/>
      <c r="L7" s="336">
        <f t="shared" si="1"/>
        <v>0</v>
      </c>
    </row>
    <row r="8" spans="2:12" ht="15" customHeight="1" x14ac:dyDescent="0.3">
      <c r="B8" s="276">
        <v>4</v>
      </c>
      <c r="C8" s="461" t="str">
        <f t="shared" si="0"/>
        <v>Income Qualified Program</v>
      </c>
      <c r="D8" s="445" t="s">
        <v>714</v>
      </c>
      <c r="E8" s="180" t="s">
        <v>98</v>
      </c>
      <c r="F8" s="180" t="s">
        <v>100</v>
      </c>
      <c r="G8" s="180" t="s">
        <v>101</v>
      </c>
      <c r="I8" s="4"/>
      <c r="L8" s="336">
        <f t="shared" si="1"/>
        <v>0</v>
      </c>
    </row>
    <row r="9" spans="2:12" ht="15" hidden="1" customHeight="1" x14ac:dyDescent="0.3">
      <c r="B9" s="276">
        <v>5</v>
      </c>
      <c r="C9" s="461" t="str">
        <f t="shared" si="0"/>
        <v>Empty</v>
      </c>
      <c r="D9" s="445"/>
      <c r="E9" s="180"/>
      <c r="F9" s="180"/>
      <c r="G9" s="180"/>
      <c r="I9" s="4"/>
      <c r="L9" s="336">
        <f t="shared" si="1"/>
        <v>0</v>
      </c>
    </row>
    <row r="10" spans="2:12" ht="15" hidden="1" customHeight="1" x14ac:dyDescent="0.3">
      <c r="B10" s="276">
        <v>6</v>
      </c>
      <c r="C10" s="461" t="str">
        <f t="shared" si="0"/>
        <v>Empty</v>
      </c>
      <c r="D10" s="445"/>
      <c r="E10" s="180"/>
      <c r="F10" s="180"/>
      <c r="G10" s="180"/>
      <c r="I10" s="4"/>
      <c r="L10" s="336">
        <f t="shared" si="1"/>
        <v>0</v>
      </c>
    </row>
    <row r="11" spans="2:12" ht="15" hidden="1" customHeight="1" x14ac:dyDescent="0.3">
      <c r="B11" s="276">
        <v>7</v>
      </c>
      <c r="C11" s="461" t="str">
        <f t="shared" si="0"/>
        <v>Empty</v>
      </c>
      <c r="D11" s="445"/>
      <c r="E11" s="180"/>
      <c r="F11" s="180"/>
      <c r="G11" s="180"/>
      <c r="I11" s="4"/>
      <c r="L11" s="336">
        <f t="shared" si="1"/>
        <v>0</v>
      </c>
    </row>
    <row r="12" spans="2:12" ht="15" hidden="1" customHeight="1" x14ac:dyDescent="0.3">
      <c r="B12" s="276">
        <v>8</v>
      </c>
      <c r="C12" s="461" t="str">
        <f t="shared" si="0"/>
        <v>Empty</v>
      </c>
      <c r="D12" s="445"/>
      <c r="E12" s="180"/>
      <c r="F12" s="180"/>
      <c r="G12" s="180"/>
      <c r="I12" s="4"/>
      <c r="L12" s="336">
        <f t="shared" si="1"/>
        <v>0</v>
      </c>
    </row>
    <row r="13" spans="2:12" ht="15" hidden="1" customHeight="1" x14ac:dyDescent="0.3">
      <c r="B13" s="276">
        <v>9</v>
      </c>
      <c r="C13" s="461" t="str">
        <f t="shared" si="0"/>
        <v>Empty</v>
      </c>
      <c r="D13" s="445"/>
      <c r="E13" s="180"/>
      <c r="F13" s="180"/>
      <c r="G13" s="180"/>
      <c r="I13" s="4"/>
      <c r="L13" s="336">
        <f t="shared" si="1"/>
        <v>0</v>
      </c>
    </row>
    <row r="14" spans="2:12" ht="15" hidden="1" customHeight="1" x14ac:dyDescent="0.3">
      <c r="B14" s="276">
        <v>10</v>
      </c>
      <c r="C14" s="461" t="str">
        <f t="shared" si="0"/>
        <v>Empty</v>
      </c>
      <c r="D14" s="445"/>
      <c r="E14" s="180"/>
      <c r="F14" s="180"/>
      <c r="G14" s="180"/>
      <c r="I14" s="4"/>
      <c r="L14" s="336">
        <f t="shared" si="1"/>
        <v>0</v>
      </c>
    </row>
    <row r="15" spans="2:12" ht="15" hidden="1" customHeight="1" x14ac:dyDescent="0.3">
      <c r="B15" s="276">
        <v>11</v>
      </c>
      <c r="C15" s="461" t="str">
        <f t="shared" si="0"/>
        <v>Empty</v>
      </c>
      <c r="D15" s="445"/>
      <c r="E15" s="180"/>
      <c r="F15" s="180"/>
      <c r="G15" s="180"/>
      <c r="I15" s="4"/>
      <c r="L15" s="336">
        <f t="shared" si="1"/>
        <v>0</v>
      </c>
    </row>
    <row r="16" spans="2:12" ht="15" hidden="1" customHeight="1" x14ac:dyDescent="0.3">
      <c r="B16" s="276">
        <v>12</v>
      </c>
      <c r="C16" s="461" t="str">
        <f t="shared" si="0"/>
        <v>Empty</v>
      </c>
      <c r="D16" s="445"/>
      <c r="E16" s="180"/>
      <c r="F16" s="180"/>
      <c r="G16" s="180"/>
      <c r="I16" s="4"/>
      <c r="L16" s="336">
        <f t="shared" si="1"/>
        <v>0</v>
      </c>
    </row>
    <row r="17" spans="2:12" ht="15" hidden="1" customHeight="1" x14ac:dyDescent="0.3">
      <c r="B17" s="276">
        <v>13</v>
      </c>
      <c r="C17" s="461" t="str">
        <f t="shared" si="0"/>
        <v>Empty</v>
      </c>
      <c r="D17" s="445"/>
      <c r="E17" s="180"/>
      <c r="F17" s="180"/>
      <c r="G17" s="180"/>
      <c r="I17" s="4"/>
      <c r="L17" s="336">
        <f t="shared" si="1"/>
        <v>0</v>
      </c>
    </row>
    <row r="18" spans="2:12" ht="15" hidden="1" customHeight="1" x14ac:dyDescent="0.3">
      <c r="B18" s="276">
        <v>14</v>
      </c>
      <c r="C18" s="461" t="str">
        <f t="shared" si="0"/>
        <v>Empty</v>
      </c>
      <c r="D18" s="445"/>
      <c r="E18" s="180"/>
      <c r="F18" s="180"/>
      <c r="G18" s="180"/>
      <c r="I18" s="4"/>
      <c r="L18" s="336">
        <f t="shared" si="1"/>
        <v>0</v>
      </c>
    </row>
    <row r="19" spans="2:12" ht="15" hidden="1" customHeight="1" x14ac:dyDescent="0.3">
      <c r="B19" s="276">
        <v>15</v>
      </c>
      <c r="C19" s="461" t="str">
        <f t="shared" si="0"/>
        <v>Empty</v>
      </c>
      <c r="D19" s="445"/>
      <c r="E19" s="180"/>
      <c r="F19" s="180"/>
      <c r="G19" s="180"/>
      <c r="I19" s="4"/>
      <c r="L19" s="336">
        <f t="shared" si="1"/>
        <v>0</v>
      </c>
    </row>
    <row r="20" spans="2:12" ht="15" hidden="1" customHeight="1" x14ac:dyDescent="0.3">
      <c r="B20" s="276">
        <v>16</v>
      </c>
      <c r="C20" s="461" t="str">
        <f t="shared" si="0"/>
        <v>Empty</v>
      </c>
      <c r="D20" s="445"/>
      <c r="E20" s="180"/>
      <c r="F20" s="180"/>
      <c r="G20" s="180"/>
      <c r="I20" s="4"/>
      <c r="L20" s="336">
        <f t="shared" si="1"/>
        <v>0</v>
      </c>
    </row>
    <row r="21" spans="2:12" ht="15" hidden="1" customHeight="1" x14ac:dyDescent="0.3">
      <c r="B21" s="276">
        <v>17</v>
      </c>
      <c r="C21" s="461" t="str">
        <f t="shared" si="0"/>
        <v>Empty</v>
      </c>
      <c r="D21" s="445"/>
      <c r="E21" s="180"/>
      <c r="F21" s="180"/>
      <c r="G21" s="180"/>
      <c r="I21" s="4"/>
      <c r="L21" s="336">
        <f t="shared" si="1"/>
        <v>0</v>
      </c>
    </row>
    <row r="22" spans="2:12" ht="15" hidden="1" customHeight="1" x14ac:dyDescent="0.3">
      <c r="B22" s="276">
        <v>18</v>
      </c>
      <c r="C22" s="461" t="str">
        <f t="shared" si="0"/>
        <v>Empty</v>
      </c>
      <c r="D22" s="445"/>
      <c r="E22" s="180"/>
      <c r="F22" s="180"/>
      <c r="G22" s="180"/>
      <c r="I22" s="4"/>
      <c r="L22" s="336">
        <f t="shared" si="1"/>
        <v>0</v>
      </c>
    </row>
    <row r="23" spans="2:12" ht="15" hidden="1" customHeight="1" x14ac:dyDescent="0.3">
      <c r="B23" s="276">
        <v>19</v>
      </c>
      <c r="C23" s="461" t="str">
        <f t="shared" si="0"/>
        <v>Empty</v>
      </c>
      <c r="D23" s="445"/>
      <c r="E23" s="180"/>
      <c r="F23" s="180"/>
      <c r="G23" s="180"/>
      <c r="I23" s="4"/>
      <c r="L23" s="336">
        <f t="shared" si="1"/>
        <v>0</v>
      </c>
    </row>
    <row r="24" spans="2:12" ht="15" hidden="1" customHeight="1" x14ac:dyDescent="0.3">
      <c r="B24" s="276">
        <v>20</v>
      </c>
      <c r="C24" s="461" t="str">
        <f t="shared" si="0"/>
        <v>Empty</v>
      </c>
      <c r="D24" s="445"/>
      <c r="E24" s="180"/>
      <c r="F24" s="180"/>
      <c r="G24" s="180"/>
      <c r="I24" s="4"/>
      <c r="L24" s="336">
        <f t="shared" si="1"/>
        <v>0</v>
      </c>
    </row>
    <row r="25" spans="2:12" ht="15" customHeight="1" x14ac:dyDescent="0.3">
      <c r="B25" s="5"/>
      <c r="C25" s="6"/>
      <c r="D25" s="6"/>
      <c r="E25" s="6"/>
      <c r="F25" s="6"/>
      <c r="G25" s="6"/>
      <c r="H25" s="6"/>
      <c r="I25" s="7"/>
      <c r="L25" s="379">
        <f>SUM(L5:L24)</f>
        <v>0</v>
      </c>
    </row>
    <row r="26" spans="2:12" ht="15" customHeight="1" x14ac:dyDescent="0.3"/>
    <row r="27" spans="2:12" ht="15" customHeight="1" x14ac:dyDescent="0.3"/>
    <row r="28" spans="2:12" ht="15" customHeight="1" x14ac:dyDescent="0.3"/>
    <row r="29" spans="2:12" ht="15" customHeight="1" x14ac:dyDescent="0.3"/>
    <row r="30" spans="2:12" ht="15" customHeight="1" x14ac:dyDescent="0.3"/>
    <row r="31" spans="2:12" ht="15" customHeight="1" x14ac:dyDescent="0.3"/>
    <row r="32" spans="2:12"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sheetData>
  <sheetProtection algorithmName="SHA-512" hashValue="9QmZ+wZVT/cNwDzewYHMC2rjaOSJ28CKpFs683g/ZnQ+ffH80R83e5MZ+GSjE5bzM+vZyyrT+g/1Nu1ZF85NDA==" saltValue="PRwyi+qQF2hxxUoAuieoLQ==" spinCount="100000" sheet="1" objects="1" scenarios="1" formatRows="0"/>
  <conditionalFormatting sqref="E5:G24">
    <cfRule type="expression" dxfId="85" priority="1">
      <formula>$B5&gt;Programs</formula>
    </cfRule>
  </conditionalFormatting>
  <dataValidations count="4">
    <dataValidation type="list" allowBlank="1" showInputMessage="1" showErrorMessage="1" sqref="E5:E24" xr:uid="{00000000-0002-0000-0300-000000000000}">
      <formula1>IF($C5="Empty",Prg_Empty,Sector_Type)</formula1>
    </dataValidation>
    <dataValidation type="list" allowBlank="1" showInputMessage="1" showErrorMessage="1" sqref="F5:F24" xr:uid="{00000000-0002-0000-0300-000001000000}">
      <formula1>IF($C5="Empty",Prg_Empty,Prg_Type)</formula1>
    </dataValidation>
    <dataValidation type="list" allowBlank="1" showInputMessage="1" showErrorMessage="1" sqref="G5:G24" xr:uid="{00000000-0002-0000-0300-000002000000}">
      <formula1>IF($C5="Empty",Prg_Empty,D_Channel)</formula1>
    </dataValidation>
    <dataValidation type="textLength" allowBlank="1" showInputMessage="1" showErrorMessage="1" error="Shorten length of program name to 25 characters or less." sqref="D5:D24" xr:uid="{00000000-0002-0000-0300-000003000000}">
      <formula1>0</formula1>
      <formula2>38</formula2>
    </dataValidation>
  </dataValidations>
  <pageMargins left="0.25" right="0.25" top="0.25" bottom="0.25" header="0.3" footer="0.3"/>
  <pageSetup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O23"/>
  <sheetViews>
    <sheetView showGridLines="0" zoomScale="110" zoomScaleNormal="110" workbookViewId="0">
      <selection activeCell="B4" sqref="B4:N28"/>
    </sheetView>
  </sheetViews>
  <sheetFormatPr defaultColWidth="9.1796875" defaultRowHeight="13" x14ac:dyDescent="0.3"/>
  <cols>
    <col min="1" max="1" width="1" style="2" customWidth="1"/>
    <col min="2" max="2" width="9.54296875" style="2" customWidth="1"/>
    <col min="3" max="3" width="1" style="2" customWidth="1"/>
    <col min="4" max="4" width="12.1796875" style="2" customWidth="1"/>
    <col min="5" max="5" width="11" style="2" customWidth="1"/>
    <col min="6" max="6" width="8.26953125" style="2" customWidth="1"/>
    <col min="7" max="7" width="11" style="2" customWidth="1"/>
    <col min="8" max="8" width="8.1796875" style="2" customWidth="1"/>
    <col min="9" max="9" width="1" style="2" customWidth="1"/>
    <col min="10" max="10" width="12.1796875" style="2" customWidth="1"/>
    <col min="11" max="11" width="11" style="2" customWidth="1"/>
    <col min="12" max="12" width="7.7265625" style="2" customWidth="1"/>
    <col min="13" max="13" width="11" style="2" customWidth="1"/>
    <col min="14" max="14" width="7.7265625" style="2" customWidth="1"/>
    <col min="15" max="15" width="1.26953125" style="2" customWidth="1"/>
    <col min="16" max="16384" width="9.1796875" style="2"/>
  </cols>
  <sheetData>
    <row r="1" spans="1:15" ht="5.15" customHeight="1" thickBot="1" x14ac:dyDescent="0.35"/>
    <row r="2" spans="1:15" ht="38.25" customHeight="1" thickBot="1" x14ac:dyDescent="0.35">
      <c r="B2" s="629" t="s">
        <v>589</v>
      </c>
      <c r="C2" s="629"/>
      <c r="D2" s="629"/>
      <c r="E2" s="629"/>
      <c r="F2" s="629"/>
      <c r="G2" s="629"/>
      <c r="H2" s="629"/>
      <c r="I2" s="629"/>
      <c r="J2" s="629"/>
      <c r="K2" s="629"/>
      <c r="L2" s="629"/>
      <c r="M2" s="629"/>
      <c r="N2" s="629"/>
    </row>
    <row r="3" spans="1:15" ht="4.5" customHeight="1" thickBot="1" x14ac:dyDescent="0.35"/>
    <row r="4" spans="1:15" ht="23.5" thickBot="1" x14ac:dyDescent="0.55000000000000004">
      <c r="B4" s="698" t="s">
        <v>10</v>
      </c>
      <c r="C4" s="699"/>
      <c r="D4" s="699"/>
      <c r="E4" s="699"/>
      <c r="F4" s="699"/>
      <c r="G4" s="699"/>
      <c r="H4" s="699"/>
      <c r="I4" s="699"/>
      <c r="J4" s="699"/>
      <c r="K4" s="699"/>
      <c r="L4" s="699"/>
      <c r="M4" s="699"/>
      <c r="N4" s="700"/>
    </row>
    <row r="5" spans="1:15" ht="4.5" customHeight="1" thickBot="1" x14ac:dyDescent="0.35">
      <c r="B5" s="155"/>
      <c r="N5" s="156"/>
    </row>
    <row r="6" spans="1:15" ht="13.5" customHeight="1" thickBot="1" x14ac:dyDescent="0.35">
      <c r="A6" s="536"/>
      <c r="B6" s="718" t="s">
        <v>74</v>
      </c>
      <c r="C6" s="137"/>
      <c r="D6" s="715" t="s">
        <v>618</v>
      </c>
      <c r="E6" s="716"/>
      <c r="F6" s="716"/>
      <c r="G6" s="716"/>
      <c r="H6" s="717"/>
      <c r="I6" s="536"/>
      <c r="J6" s="715" t="s">
        <v>581</v>
      </c>
      <c r="K6" s="716"/>
      <c r="L6" s="716"/>
      <c r="M6" s="716"/>
      <c r="N6" s="717"/>
      <c r="O6" s="536"/>
    </row>
    <row r="7" spans="1:15" ht="11.25" customHeight="1" x14ac:dyDescent="0.3">
      <c r="A7" s="536"/>
      <c r="B7" s="719"/>
      <c r="C7" s="536"/>
      <c r="D7" s="720" t="s">
        <v>619</v>
      </c>
      <c r="E7" s="722" t="s">
        <v>329</v>
      </c>
      <c r="F7" s="723"/>
      <c r="G7" s="724" t="s">
        <v>330</v>
      </c>
      <c r="H7" s="723"/>
      <c r="I7" s="536"/>
      <c r="J7" s="720" t="s">
        <v>620</v>
      </c>
      <c r="K7" s="722" t="s">
        <v>331</v>
      </c>
      <c r="L7" s="723"/>
      <c r="M7" s="724" t="s">
        <v>332</v>
      </c>
      <c r="N7" s="723"/>
      <c r="O7" s="536"/>
    </row>
    <row r="8" spans="1:15" ht="54.75" customHeight="1" x14ac:dyDescent="0.3">
      <c r="A8" s="536"/>
      <c r="B8" s="719"/>
      <c r="C8" s="137"/>
      <c r="D8" s="721"/>
      <c r="E8" s="110" t="s">
        <v>621</v>
      </c>
      <c r="F8" s="46" t="s">
        <v>622</v>
      </c>
      <c r="G8" s="497" t="s">
        <v>623</v>
      </c>
      <c r="H8" s="46" t="s">
        <v>622</v>
      </c>
      <c r="I8" s="536"/>
      <c r="J8" s="721"/>
      <c r="K8" s="110" t="s">
        <v>624</v>
      </c>
      <c r="L8" s="46" t="s">
        <v>625</v>
      </c>
      <c r="M8" s="497" t="s">
        <v>626</v>
      </c>
      <c r="N8" s="46" t="s">
        <v>625</v>
      </c>
      <c r="O8" s="536"/>
    </row>
    <row r="9" spans="1:15" ht="12.75" customHeight="1" x14ac:dyDescent="0.3">
      <c r="A9" s="536"/>
      <c r="B9" s="719"/>
      <c r="C9" s="536"/>
      <c r="D9" s="168" t="s">
        <v>224</v>
      </c>
      <c r="E9" s="169" t="s">
        <v>224</v>
      </c>
      <c r="F9" s="170" t="s">
        <v>627</v>
      </c>
      <c r="G9" s="171" t="s">
        <v>224</v>
      </c>
      <c r="H9" s="170" t="s">
        <v>628</v>
      </c>
      <c r="I9" s="565"/>
      <c r="J9" s="168" t="str">
        <f>"("&amp;Energy_2&amp;")"</f>
        <v>(Therms)</v>
      </c>
      <c r="K9" s="169" t="str">
        <f>J9</f>
        <v>(Therms)</v>
      </c>
      <c r="L9" s="170" t="s">
        <v>629</v>
      </c>
      <c r="M9" s="171" t="str">
        <f>J9</f>
        <v>(Therms)</v>
      </c>
      <c r="N9" s="170" t="s">
        <v>630</v>
      </c>
      <c r="O9" s="536"/>
    </row>
    <row r="10" spans="1:15" ht="12.75" hidden="1" customHeight="1" x14ac:dyDescent="0.3">
      <c r="A10" s="536"/>
      <c r="B10" s="566">
        <f>Tables!B44</f>
        <v>2020</v>
      </c>
      <c r="C10" s="536"/>
      <c r="D10" s="163" t="e">
        <f>Tables!C44/1000</f>
        <v>#N/A</v>
      </c>
      <c r="E10" s="273" t="e">
        <f>Tables!E44/1000</f>
        <v>#N/A</v>
      </c>
      <c r="F10" s="189" t="e">
        <f>E10/D10</f>
        <v>#N/A</v>
      </c>
      <c r="G10" s="498" t="e">
        <f>Tables!F44/1000</f>
        <v>#N/A</v>
      </c>
      <c r="H10" s="189" t="e">
        <f>G10/D10</f>
        <v>#N/A</v>
      </c>
      <c r="I10" s="536"/>
      <c r="J10" s="165" t="e">
        <f>Tables!D44</f>
        <v>#N/A</v>
      </c>
      <c r="K10" s="161" t="e">
        <f>Tables!G44</f>
        <v>#N/A</v>
      </c>
      <c r="L10" s="396" t="e">
        <f>K10/J10</f>
        <v>#N/A</v>
      </c>
      <c r="M10" s="499" t="e">
        <f>Tables!H44</f>
        <v>#N/A</v>
      </c>
      <c r="N10" s="396" t="e">
        <f>M10/J10</f>
        <v>#N/A</v>
      </c>
      <c r="O10" s="536"/>
    </row>
    <row r="11" spans="1:15" ht="12.75" customHeight="1" x14ac:dyDescent="0.3">
      <c r="A11" s="536"/>
      <c r="B11" s="566">
        <f>Tables!B45</f>
        <v>2021</v>
      </c>
      <c r="C11" s="536"/>
      <c r="D11" s="163">
        <f>Tables!C45/1000</f>
        <v>217933.935</v>
      </c>
      <c r="E11" s="273">
        <f>Tables!E45/1000</f>
        <v>4204.9976999999999</v>
      </c>
      <c r="F11" s="189">
        <f t="shared" ref="F11:F14" si="0">E11/D11</f>
        <v>1.9294827581578793E-2</v>
      </c>
      <c r="G11" s="498">
        <f>Tables!F45/1000</f>
        <v>4156.0000207470803</v>
      </c>
      <c r="H11" s="189">
        <f t="shared" ref="H11:H14" si="1">G11/D11</f>
        <v>1.9069999450737583E-2</v>
      </c>
      <c r="I11" s="536"/>
      <c r="J11" s="165">
        <f>Tables!D45</f>
        <v>303339040</v>
      </c>
      <c r="K11" s="161">
        <f>Tables!G45</f>
        <v>1330541</v>
      </c>
      <c r="L11" s="396">
        <f t="shared" ref="L11:L14" si="2">K11/J11</f>
        <v>4.3863163805094125E-3</v>
      </c>
      <c r="M11" s="499">
        <f>Tables!H45</f>
        <v>1507349</v>
      </c>
      <c r="N11" s="396">
        <f t="shared" ref="N11:N14" si="3">M11/J11</f>
        <v>4.9691889313027426E-3</v>
      </c>
      <c r="O11" s="536"/>
    </row>
    <row r="12" spans="1:15" ht="12.75" customHeight="1" x14ac:dyDescent="0.3">
      <c r="A12" s="536"/>
      <c r="B12" s="566">
        <f>Tables!B46</f>
        <v>2022</v>
      </c>
      <c r="C12" s="536"/>
      <c r="D12" s="163">
        <f>Tables!C46/1000</f>
        <v>310466.19300000003</v>
      </c>
      <c r="E12" s="273">
        <f>Tables!E46/1000</f>
        <v>4524.125</v>
      </c>
      <c r="F12" s="189">
        <f t="shared" si="0"/>
        <v>1.4572037477845454E-2</v>
      </c>
      <c r="G12" s="498">
        <f>Tables!F46/1000</f>
        <v>4509.8384900000001</v>
      </c>
      <c r="H12" s="189">
        <f t="shared" si="1"/>
        <v>1.4526021163276864E-2</v>
      </c>
      <c r="I12" s="536"/>
      <c r="J12" s="165">
        <f>Tables!D46</f>
        <v>317361270</v>
      </c>
      <c r="K12" s="161">
        <f>Tables!G46</f>
        <v>1330541</v>
      </c>
      <c r="L12" s="396">
        <f t="shared" si="2"/>
        <v>4.1925122117137982E-3</v>
      </c>
      <c r="M12" s="499">
        <f>Tables!H46</f>
        <v>1510376.7492725942</v>
      </c>
      <c r="N12" s="396">
        <f t="shared" si="3"/>
        <v>4.7591716193743309E-3</v>
      </c>
      <c r="O12" s="536"/>
    </row>
    <row r="13" spans="1:15" ht="12.75" customHeight="1" x14ac:dyDescent="0.3">
      <c r="A13" s="536"/>
      <c r="B13" s="566">
        <f>Tables!B47</f>
        <v>2023</v>
      </c>
      <c r="C13" s="536"/>
      <c r="D13" s="163">
        <f>Tables!C47/1000</f>
        <v>267937.95199999999</v>
      </c>
      <c r="E13" s="273">
        <f>Tables!E47/1000</f>
        <v>4399.2740000000003</v>
      </c>
      <c r="F13" s="189">
        <f t="shared" si="0"/>
        <v>1.6419002859288857E-2</v>
      </c>
      <c r="G13" s="498">
        <f>Tables!F47/1000</f>
        <v>4449.4639999999999</v>
      </c>
      <c r="H13" s="189">
        <f t="shared" si="1"/>
        <v>1.6606322347347047E-2</v>
      </c>
      <c r="I13" s="536"/>
      <c r="J13" s="165">
        <f>Tables!D47</f>
        <v>295781710</v>
      </c>
      <c r="K13" s="161">
        <f>Tables!G47</f>
        <v>1510377</v>
      </c>
      <c r="L13" s="396">
        <f t="shared" si="2"/>
        <v>5.1063907906949355E-3</v>
      </c>
      <c r="M13" s="499">
        <f>Tables!H47</f>
        <v>1543029</v>
      </c>
      <c r="N13" s="396">
        <f t="shared" si="3"/>
        <v>5.2167830120395204E-3</v>
      </c>
      <c r="O13" s="536"/>
    </row>
    <row r="14" spans="1:15" ht="13.5" thickBot="1" x14ac:dyDescent="0.35">
      <c r="A14" s="536"/>
      <c r="B14" s="566">
        <f>Tables!B48</f>
        <v>2024</v>
      </c>
      <c r="C14" s="564"/>
      <c r="D14" s="164">
        <f>Tables!C48/1000</f>
        <v>247790.32699999999</v>
      </c>
      <c r="E14" s="274">
        <f>Tables!E48/1000</f>
        <v>4169.8495400000002</v>
      </c>
      <c r="F14" s="190">
        <f t="shared" si="0"/>
        <v>1.6828136878805605E-2</v>
      </c>
      <c r="G14" s="275">
        <f>Tables!F48/1000</f>
        <v>3961.6248899999996</v>
      </c>
      <c r="H14" s="190">
        <f t="shared" si="1"/>
        <v>1.5987810896266341E-2</v>
      </c>
      <c r="I14" s="564"/>
      <c r="J14" s="166">
        <f>Tables!D48</f>
        <v>290824100</v>
      </c>
      <c r="K14" s="162">
        <f>Tables!G48</f>
        <v>1291789</v>
      </c>
      <c r="L14" s="397">
        <f t="shared" si="2"/>
        <v>4.4418223936737019E-3</v>
      </c>
      <c r="M14" s="167">
        <f>Tables!H48</f>
        <v>1350413</v>
      </c>
      <c r="N14" s="397">
        <f t="shared" si="3"/>
        <v>4.6434012862070235E-3</v>
      </c>
      <c r="O14" s="536"/>
    </row>
    <row r="15" spans="1:15" x14ac:dyDescent="0.3">
      <c r="B15" s="536"/>
      <c r="C15" s="536"/>
      <c r="D15" s="536"/>
      <c r="E15" s="536"/>
      <c r="F15" s="536"/>
      <c r="G15" s="536"/>
      <c r="H15" s="536"/>
      <c r="I15" s="536"/>
      <c r="J15" s="536"/>
      <c r="K15" s="536"/>
      <c r="L15" s="536"/>
      <c r="M15" s="536"/>
      <c r="N15" s="536"/>
      <c r="O15" s="536"/>
    </row>
    <row r="16" spans="1:15" x14ac:dyDescent="0.3">
      <c r="B16" s="536"/>
      <c r="C16" s="536"/>
      <c r="D16" s="536"/>
      <c r="E16" s="536"/>
      <c r="F16" s="536"/>
      <c r="G16" s="536"/>
      <c r="H16" s="536"/>
      <c r="I16" s="536"/>
      <c r="J16" s="536"/>
      <c r="K16" s="536"/>
      <c r="L16" s="536"/>
      <c r="M16" s="536"/>
      <c r="N16" s="536"/>
      <c r="O16" s="536"/>
    </row>
    <row r="17" spans="2:15" x14ac:dyDescent="0.3">
      <c r="B17" s="536"/>
      <c r="C17" s="536"/>
      <c r="D17" s="536"/>
      <c r="E17" s="536"/>
      <c r="F17" s="536"/>
      <c r="G17" s="536"/>
      <c r="H17" s="536"/>
      <c r="I17" s="536"/>
      <c r="J17" s="536"/>
      <c r="K17" s="536"/>
      <c r="L17" s="536"/>
      <c r="M17" s="536"/>
      <c r="N17" s="536"/>
      <c r="O17" s="536"/>
    </row>
    <row r="18" spans="2:15" x14ac:dyDescent="0.3">
      <c r="B18" s="536"/>
      <c r="C18" s="536"/>
      <c r="D18" s="536"/>
      <c r="E18" s="536"/>
      <c r="F18" s="536"/>
      <c r="G18" s="536"/>
      <c r="H18" s="536"/>
      <c r="I18" s="536"/>
      <c r="J18" s="536"/>
      <c r="K18" s="536"/>
      <c r="L18" s="536"/>
      <c r="M18" s="536"/>
      <c r="N18" s="536"/>
      <c r="O18" s="536"/>
    </row>
    <row r="19" spans="2:15" x14ac:dyDescent="0.3">
      <c r="B19" s="536"/>
      <c r="C19" s="536"/>
      <c r="D19" s="536"/>
      <c r="E19" s="536"/>
      <c r="F19" s="536"/>
      <c r="G19" s="536"/>
      <c r="H19" s="536"/>
      <c r="I19" s="536"/>
      <c r="J19" s="536"/>
      <c r="K19" s="536"/>
      <c r="L19" s="536"/>
      <c r="M19" s="536"/>
      <c r="N19" s="536"/>
      <c r="O19" s="536"/>
    </row>
    <row r="20" spans="2:15" x14ac:dyDescent="0.3">
      <c r="B20" s="536"/>
      <c r="C20" s="536"/>
      <c r="D20" s="536"/>
      <c r="E20" s="536"/>
      <c r="F20" s="536"/>
      <c r="G20" s="536"/>
      <c r="H20" s="536"/>
      <c r="I20" s="536"/>
      <c r="J20" s="536"/>
      <c r="K20" s="536"/>
      <c r="L20" s="536"/>
      <c r="M20" s="536"/>
      <c r="N20" s="536"/>
      <c r="O20" s="536"/>
    </row>
    <row r="21" spans="2:15" x14ac:dyDescent="0.3">
      <c r="B21" s="536"/>
      <c r="C21" s="536"/>
      <c r="D21" s="536"/>
      <c r="E21" s="536"/>
      <c r="F21" s="536"/>
      <c r="G21" s="536"/>
      <c r="H21" s="536"/>
      <c r="I21" s="536"/>
      <c r="J21" s="536"/>
      <c r="K21" s="536"/>
      <c r="L21" s="536"/>
      <c r="M21" s="536"/>
      <c r="N21" s="536"/>
      <c r="O21" s="536"/>
    </row>
    <row r="22" spans="2:15" x14ac:dyDescent="0.3">
      <c r="B22" s="536"/>
      <c r="C22" s="536"/>
      <c r="D22" s="536"/>
      <c r="E22" s="536"/>
      <c r="F22" s="536"/>
      <c r="G22" s="536"/>
      <c r="H22" s="536"/>
      <c r="I22" s="536"/>
      <c r="J22" s="536"/>
      <c r="K22" s="536"/>
      <c r="L22" s="536"/>
      <c r="M22" s="536"/>
      <c r="N22" s="536"/>
      <c r="O22" s="536"/>
    </row>
    <row r="23" spans="2:15" x14ac:dyDescent="0.3">
      <c r="B23" s="536"/>
      <c r="C23" s="536"/>
      <c r="D23" s="536"/>
      <c r="E23" s="536"/>
      <c r="F23" s="536"/>
      <c r="G23" s="536"/>
      <c r="H23" s="536"/>
      <c r="I23" s="536"/>
      <c r="J23" s="536"/>
      <c r="K23" s="536"/>
      <c r="L23" s="536"/>
      <c r="M23" s="536"/>
      <c r="N23" s="536"/>
      <c r="O23" s="536"/>
    </row>
  </sheetData>
  <sheetProtection password="C925" sheet="1" objects="1" scenarios="1" formatColumns="0" formatRows="0"/>
  <mergeCells count="11">
    <mergeCell ref="B2:N2"/>
    <mergeCell ref="D6:H6"/>
    <mergeCell ref="J6:N6"/>
    <mergeCell ref="B4:N4"/>
    <mergeCell ref="B6:B9"/>
    <mergeCell ref="D7:D8"/>
    <mergeCell ref="E7:F7"/>
    <mergeCell ref="G7:H7"/>
    <mergeCell ref="J7:J8"/>
    <mergeCell ref="K7:L7"/>
    <mergeCell ref="M7:N7"/>
  </mergeCells>
  <pageMargins left="0.5" right="0.5" top="0.75" bottom="0.75" header="0.3" footer="0.3"/>
  <pageSetup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12"/>
  <sheetViews>
    <sheetView showGridLines="0" zoomScale="90" zoomScaleNormal="110" workbookViewId="0">
      <selection activeCell="B4" sqref="B4:D4"/>
    </sheetView>
  </sheetViews>
  <sheetFormatPr defaultColWidth="9.1796875" defaultRowHeight="13" x14ac:dyDescent="0.3"/>
  <cols>
    <col min="1" max="1" width="1" style="2" customWidth="1"/>
    <col min="2" max="2" width="17.54296875" style="2" customWidth="1"/>
    <col min="3" max="4" width="12" style="2" bestFit="1" customWidth="1"/>
    <col min="5" max="5" width="5.7265625" style="2" customWidth="1"/>
    <col min="6" max="6" width="11.453125" style="2" customWidth="1"/>
    <col min="7" max="7" width="11" style="2" customWidth="1"/>
    <col min="8" max="8" width="5.7265625" style="2" customWidth="1"/>
    <col min="9" max="10" width="11.54296875" style="2" customWidth="1"/>
    <col min="11" max="11" width="5.7265625" style="2" customWidth="1"/>
    <col min="12" max="13" width="10.453125" style="2" bestFit="1" customWidth="1"/>
    <col min="14" max="14" width="5.7265625" style="2" customWidth="1"/>
    <col min="15" max="15" width="1.26953125" style="2" customWidth="1"/>
    <col min="16" max="16384" width="9.1796875" style="2"/>
  </cols>
  <sheetData>
    <row r="1" spans="1:15" ht="5.15" customHeight="1" thickBot="1" x14ac:dyDescent="0.35"/>
    <row r="2" spans="1:15" ht="38.25" customHeight="1" thickBot="1" x14ac:dyDescent="0.35">
      <c r="B2" s="629" t="s">
        <v>631</v>
      </c>
      <c r="C2" s="629"/>
      <c r="D2" s="629"/>
      <c r="E2" s="629"/>
      <c r="F2" s="629"/>
      <c r="G2" s="629"/>
      <c r="H2" s="629"/>
      <c r="I2" s="629"/>
      <c r="J2" s="629"/>
      <c r="K2" s="629"/>
      <c r="L2" s="629"/>
      <c r="M2" s="629"/>
      <c r="N2" s="629"/>
    </row>
    <row r="3" spans="1:15" ht="4.5" customHeight="1" thickBot="1" x14ac:dyDescent="0.35"/>
    <row r="4" spans="1:15" ht="20.25" customHeight="1" thickBot="1" x14ac:dyDescent="0.35">
      <c r="B4" s="725" t="s">
        <v>714</v>
      </c>
      <c r="C4" s="726"/>
      <c r="D4" s="727"/>
      <c r="E4" s="188" t="s">
        <v>632</v>
      </c>
    </row>
    <row r="5" spans="1:15" ht="15.75" customHeight="1" thickBot="1" x14ac:dyDescent="0.35"/>
    <row r="6" spans="1:15" ht="23.5" thickBot="1" x14ac:dyDescent="0.55000000000000004">
      <c r="B6" s="698" t="str">
        <f>B4</f>
        <v>Income Qualified Program</v>
      </c>
      <c r="C6" s="699"/>
      <c r="D6" s="699"/>
      <c r="E6" s="699"/>
      <c r="F6" s="699"/>
      <c r="G6" s="699"/>
      <c r="H6" s="699"/>
      <c r="I6" s="699"/>
      <c r="J6" s="699"/>
      <c r="K6" s="699"/>
      <c r="L6" s="699"/>
      <c r="M6" s="699"/>
      <c r="N6" s="700"/>
    </row>
    <row r="7" spans="1:15" ht="4.5" customHeight="1" x14ac:dyDescent="0.3">
      <c r="B7" s="187"/>
    </row>
    <row r="8" spans="1:15" ht="14.25" customHeight="1" x14ac:dyDescent="0.3">
      <c r="B8" s="500"/>
      <c r="C8" s="728" t="s">
        <v>633</v>
      </c>
      <c r="D8" s="728"/>
      <c r="E8" s="728"/>
      <c r="F8" s="728" t="str">
        <f>"Energy Savings ("&amp;Titles!F13&amp;")"</f>
        <v>Energy Savings (Therms)</v>
      </c>
      <c r="G8" s="728"/>
      <c r="H8" s="728"/>
      <c r="I8" s="728" t="str">
        <f>"Demand Savings ("&amp;Titles!F15&amp;")"</f>
        <v>Demand Savings (Therms)</v>
      </c>
      <c r="J8" s="728"/>
      <c r="K8" s="728"/>
      <c r="L8" s="729" t="s">
        <v>163</v>
      </c>
      <c r="M8" s="730"/>
      <c r="N8" s="731"/>
    </row>
    <row r="9" spans="1:15" ht="17.25" customHeight="1" x14ac:dyDescent="0.3">
      <c r="A9" s="536"/>
      <c r="B9" s="501" t="s">
        <v>394</v>
      </c>
      <c r="C9" s="501" t="s">
        <v>329</v>
      </c>
      <c r="D9" s="501" t="s">
        <v>330</v>
      </c>
      <c r="E9" s="501" t="s">
        <v>634</v>
      </c>
      <c r="F9" s="501" t="s">
        <v>331</v>
      </c>
      <c r="G9" s="501" t="s">
        <v>332</v>
      </c>
      <c r="H9" s="501" t="s">
        <v>634</v>
      </c>
      <c r="I9" s="501" t="s">
        <v>331</v>
      </c>
      <c r="J9" s="501" t="s">
        <v>332</v>
      </c>
      <c r="K9" s="501" t="s">
        <v>634</v>
      </c>
      <c r="L9" s="501" t="s">
        <v>331</v>
      </c>
      <c r="M9" s="501" t="s">
        <v>330</v>
      </c>
      <c r="N9" s="501" t="s">
        <v>634</v>
      </c>
      <c r="O9" s="536"/>
    </row>
    <row r="10" spans="1:15" ht="20.149999999999999" customHeight="1" x14ac:dyDescent="0.3">
      <c r="B10" s="502" t="str">
        <f>"Program Year "&amp;Titles!F2-2</f>
        <v>Program Year 2022</v>
      </c>
      <c r="C10" s="502">
        <f>VLOOKUP($B$4,Data!$B$55:$R$74,2,FALSE)</f>
        <v>102239</v>
      </c>
      <c r="D10" s="502">
        <f>VLOOKUP($B$4,Data!$B$55:$R$74,3,FALSE)</f>
        <v>101081.69999999998</v>
      </c>
      <c r="E10" s="503">
        <f>IF(ISERROR(D10/C10),"-",D10/C10)</f>
        <v>0.98868044484003148</v>
      </c>
      <c r="F10" s="504">
        <f>VLOOKUP($B$4,Data!$B$55:$R$74,6,FALSE)</f>
        <v>19596</v>
      </c>
      <c r="G10" s="504">
        <f>VLOOKUP($B$4,Data!$B$55:$R$74,7,FALSE)</f>
        <v>31697.880112947692</v>
      </c>
      <c r="H10" s="503">
        <f>IF(ISERROR(G10/F10),"-",G10/F10)</f>
        <v>1.6175688973743465</v>
      </c>
      <c r="I10" s="504" t="str">
        <f>VLOOKUP($B$4,Data!$B$55:$R$74,10,FALSE)</f>
        <v>n/a</v>
      </c>
      <c r="J10" s="504" t="str">
        <f>VLOOKUP($B$4,Data!$B$55:$R$74,11,FALSE)</f>
        <v>n/a</v>
      </c>
      <c r="K10" s="503" t="str">
        <f>IF(ISERROR(J10/I10),"-",J10/I10)</f>
        <v>-</v>
      </c>
      <c r="L10" s="504">
        <f>VLOOKUP($B$4,Data!$B$55:$R$74,14,FALSE)</f>
        <v>123</v>
      </c>
      <c r="M10" s="504">
        <f>VLOOKUP($B$4,Data!$B$55:$R$74,15,FALSE)</f>
        <v>399</v>
      </c>
      <c r="N10" s="503">
        <f>IF(ISERROR(M10/L10),"-",M10/L10)</f>
        <v>3.2439024390243905</v>
      </c>
      <c r="O10" s="536"/>
    </row>
    <row r="11" spans="1:15" ht="20.149999999999999" customHeight="1" x14ac:dyDescent="0.3">
      <c r="B11" s="502" t="str">
        <f>"Program Year "&amp;Titles!F2-1</f>
        <v>Program Year 2023</v>
      </c>
      <c r="C11" s="502">
        <f>VLOOKUP($B$4,Data!$B$55:$R$74,4,FALSE)</f>
        <v>87959</v>
      </c>
      <c r="D11" s="502">
        <f>VLOOKUP($B$4,Data!$B$55:$R$74,5,FALSE)</f>
        <v>86236.41</v>
      </c>
      <c r="E11" s="503">
        <f>IF(ISERROR(D11/C11),"-",D11/C11)</f>
        <v>0.98041598926772699</v>
      </c>
      <c r="F11" s="504">
        <f>VLOOKUP($B$4,Data!$B$55:$R$74,8,FALSE)</f>
        <v>31698</v>
      </c>
      <c r="G11" s="504">
        <f>VLOOKUP($B$4,Data!$B$55:$R$74,9,FALSE)</f>
        <v>24150</v>
      </c>
      <c r="H11" s="503">
        <f>IF(ISERROR(G11/F11),"-",G11/F11)</f>
        <v>0.76187772099186069</v>
      </c>
      <c r="I11" s="504" t="str">
        <f>VLOOKUP($B$4,Data!$B$55:$R$74,12,FALSE)</f>
        <v>n/a</v>
      </c>
      <c r="J11" s="504" t="str">
        <f>VLOOKUP($B$4,Data!$B$55:$R$74,13,FALSE)</f>
        <v>n/a</v>
      </c>
      <c r="K11" s="503" t="str">
        <f>IF(ISERROR(J11/I11),"-",J11/I11)</f>
        <v>-</v>
      </c>
      <c r="L11" s="504">
        <f>VLOOKUP($B$4,Data!$B$55:$R$74,16,FALSE)</f>
        <v>123</v>
      </c>
      <c r="M11" s="504">
        <f>VLOOKUP($B$4,Data!$B$55:$R$74,17,FALSE)</f>
        <v>123</v>
      </c>
      <c r="N11" s="503">
        <f>IF(ISERROR(M11/L11),"-",M11/L11)</f>
        <v>1</v>
      </c>
      <c r="O11" s="536"/>
    </row>
    <row r="12" spans="1:15" ht="20.149999999999999" customHeight="1" x14ac:dyDescent="0.3">
      <c r="B12" s="505" t="str">
        <f>"Program Year "&amp;Titles!F2</f>
        <v>Program Year 2024</v>
      </c>
      <c r="C12" s="505">
        <f>VLOOKUP($B$4,Data!$B$4:$N$23,10,FALSE)</f>
        <v>211894.8</v>
      </c>
      <c r="D12" s="505">
        <f>VLOOKUP($B$4,Data!$B$29:$N$48,10,FALSE)</f>
        <v>168628.37</v>
      </c>
      <c r="E12" s="506">
        <f>IF(ISERROR(D12/C12),"-",D12/C12)</f>
        <v>0.79581174243067787</v>
      </c>
      <c r="F12" s="507">
        <f>VLOOKUP($B$4,Data!$B$4:$N$23,12,FALSE)</f>
        <v>51718</v>
      </c>
      <c r="G12" s="507">
        <f>VLOOKUP($B$4,Data!$B$29:$N$48,12,FALSE)</f>
        <v>51497</v>
      </c>
      <c r="H12" s="506">
        <f>IF(ISERROR(G12/F12),"-",G12/F12)</f>
        <v>0.99572682625004838</v>
      </c>
      <c r="I12" s="507" t="str">
        <f>VLOOKUP($B$4,Data!$B$4:$N$23,11,FALSE)</f>
        <v>n/a</v>
      </c>
      <c r="J12" s="507" t="str">
        <f>VLOOKUP($B$4,Data!$B$29:$N$48,11,FALSE)</f>
        <v>n/a</v>
      </c>
      <c r="K12" s="506" t="str">
        <f>IF(ISERROR(J12/I12),"-",J12/I12)</f>
        <v>-</v>
      </c>
      <c r="L12" s="507">
        <f>VLOOKUP($B$4,Data!$B$4:$N$23,13,FALSE)</f>
        <v>68</v>
      </c>
      <c r="M12" s="507">
        <f>VLOOKUP($B$4,Data!$B$29:$N$48,13,FALSE)</f>
        <v>68</v>
      </c>
      <c r="N12" s="506">
        <f>IF(ISERROR(M12/L12),"-",M12/L12)</f>
        <v>1</v>
      </c>
      <c r="O12" s="536"/>
    </row>
  </sheetData>
  <sheetProtection password="C925" sheet="1" objects="1" scenarios="1"/>
  <mergeCells count="7">
    <mergeCell ref="B2:N2"/>
    <mergeCell ref="B4:D4"/>
    <mergeCell ref="B6:N6"/>
    <mergeCell ref="C8:E8"/>
    <mergeCell ref="F8:H8"/>
    <mergeCell ref="L8:N8"/>
    <mergeCell ref="I8:K8"/>
  </mergeCells>
  <dataValidations count="1">
    <dataValidation type="list" allowBlank="1" showInputMessage="1" showErrorMessage="1" sqref="B4" xr:uid="{00000000-0002-0000-2800-000000000000}">
      <formula1>Prg_Names</formula1>
    </dataValidation>
  </dataValidations>
  <pageMargins left="0.3" right="0.3" top="0.75" bottom="0.75" header="0.3" footer="0.3"/>
  <pageSetup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Q30"/>
  <sheetViews>
    <sheetView showGridLines="0" zoomScaleNormal="100" workbookViewId="0">
      <pane ySplit="2" topLeftCell="A37" activePane="bottomLeft" state="frozen"/>
      <selection pane="bottomLeft"/>
    </sheetView>
  </sheetViews>
  <sheetFormatPr defaultColWidth="9.1796875" defaultRowHeight="13" x14ac:dyDescent="0.3"/>
  <cols>
    <col min="1" max="1" width="1" style="2" customWidth="1"/>
    <col min="2" max="2" width="36" style="2" customWidth="1"/>
    <col min="3" max="3" width="21.1796875" style="2" customWidth="1"/>
    <col min="4" max="4" width="12.7265625" style="2" customWidth="1"/>
    <col min="5" max="5" width="13.7265625" style="2" bestFit="1" customWidth="1"/>
    <col min="6" max="6" width="5.81640625" style="2" bestFit="1" customWidth="1"/>
    <col min="7" max="8" width="12.7265625" style="2" customWidth="1"/>
    <col min="9" max="9" width="7.54296875" style="2" bestFit="1" customWidth="1"/>
    <col min="10" max="11" width="9.7265625" style="2" customWidth="1"/>
    <col min="12" max="12" width="5.81640625" style="2" bestFit="1" customWidth="1"/>
    <col min="13" max="13" width="7.54296875" style="2" customWidth="1"/>
    <col min="14" max="14" width="1.26953125" style="2" customWidth="1"/>
    <col min="15" max="16" width="9.1796875" style="2"/>
    <col min="17" max="17" width="4.1796875" style="2" hidden="1" customWidth="1"/>
    <col min="18" max="16384" width="9.1796875" style="2"/>
  </cols>
  <sheetData>
    <row r="1" spans="1:17" ht="5.15" customHeight="1" thickBot="1" x14ac:dyDescent="0.35"/>
    <row r="2" spans="1:17" ht="38.25" customHeight="1" thickBot="1" x14ac:dyDescent="0.35">
      <c r="B2" s="629" t="s">
        <v>594</v>
      </c>
      <c r="C2" s="629"/>
      <c r="D2" s="629"/>
      <c r="E2" s="629"/>
      <c r="F2" s="629"/>
      <c r="G2" s="629"/>
      <c r="H2" s="629"/>
      <c r="I2" s="629"/>
      <c r="J2" s="629"/>
      <c r="K2" s="629"/>
      <c r="L2" s="629"/>
      <c r="M2" s="629"/>
    </row>
    <row r="3" spans="1:17" ht="4.5" customHeight="1" x14ac:dyDescent="0.3"/>
    <row r="4" spans="1:17" ht="23" x14ac:dyDescent="0.5">
      <c r="B4" s="732" t="str">
        <f>Titles!F2&amp;" Portfolio Results Detail"</f>
        <v>2024 Portfolio Results Detail</v>
      </c>
      <c r="C4" s="732"/>
      <c r="D4" s="732"/>
      <c r="E4" s="732"/>
      <c r="F4" s="732"/>
      <c r="G4" s="732"/>
      <c r="H4" s="732"/>
      <c r="I4" s="732"/>
      <c r="J4" s="732"/>
      <c r="K4" s="732"/>
      <c r="L4" s="732"/>
      <c r="M4" s="732"/>
    </row>
    <row r="5" spans="1:17" ht="4.5" customHeight="1" thickBot="1" x14ac:dyDescent="0.35"/>
    <row r="6" spans="1:17" ht="14.25" customHeight="1" thickBot="1" x14ac:dyDescent="0.35">
      <c r="D6" s="735" t="s">
        <v>341</v>
      </c>
      <c r="E6" s="736"/>
      <c r="F6" s="737"/>
      <c r="G6" s="735" t="str">
        <f>"Savings ("&amp;Titles!F13&amp;")"</f>
        <v>Savings (Therms)</v>
      </c>
      <c r="H6" s="736"/>
      <c r="I6" s="737"/>
      <c r="J6" s="735" t="s">
        <v>163</v>
      </c>
      <c r="K6" s="736"/>
      <c r="L6" s="737"/>
      <c r="M6" s="733" t="s">
        <v>573</v>
      </c>
    </row>
    <row r="7" spans="1:17" ht="17.25" customHeight="1" thickBot="1" x14ac:dyDescent="0.35">
      <c r="A7" s="536"/>
      <c r="B7" s="201" t="s">
        <v>85</v>
      </c>
      <c r="C7" s="201" t="s">
        <v>86</v>
      </c>
      <c r="D7" s="244" t="s">
        <v>329</v>
      </c>
      <c r="E7" s="198" t="s">
        <v>330</v>
      </c>
      <c r="F7" s="199" t="s">
        <v>634</v>
      </c>
      <c r="G7" s="197" t="s">
        <v>331</v>
      </c>
      <c r="H7" s="198" t="s">
        <v>332</v>
      </c>
      <c r="I7" s="199" t="s">
        <v>634</v>
      </c>
      <c r="J7" s="197" t="s">
        <v>331</v>
      </c>
      <c r="K7" s="198" t="s">
        <v>330</v>
      </c>
      <c r="L7" s="199" t="s">
        <v>634</v>
      </c>
      <c r="M7" s="734"/>
      <c r="N7" s="536"/>
    </row>
    <row r="8" spans="1:17" x14ac:dyDescent="0.3">
      <c r="B8" s="200" t="str">
        <f ca="1">Tables!B58</f>
        <v>Income Qualified Program</v>
      </c>
      <c r="C8" s="221" t="str">
        <f ca="1">Tables!C58</f>
        <v>Residential</v>
      </c>
      <c r="D8" s="245">
        <f ca="1">Tables!D58</f>
        <v>211894.8</v>
      </c>
      <c r="E8" s="226">
        <f ca="1">Tables!E58</f>
        <v>168628.37</v>
      </c>
      <c r="F8" s="227">
        <f ca="1">IF(ISERROR(E8/D8),"-",E8/D8)</f>
        <v>0.79581174243067787</v>
      </c>
      <c r="G8" s="228">
        <f ca="1">Tables!F58</f>
        <v>51718</v>
      </c>
      <c r="H8" s="229">
        <f ca="1">Tables!G58</f>
        <v>51497</v>
      </c>
      <c r="I8" s="227">
        <f t="shared" ref="I8:I29" ca="1" si="0">IF(ISERROR(H8/G8),"-",H8/G8)</f>
        <v>0.99572682625004838</v>
      </c>
      <c r="J8" s="228">
        <f ca="1">Tables!H58</f>
        <v>68</v>
      </c>
      <c r="K8" s="229">
        <f ca="1">Tables!I58</f>
        <v>68</v>
      </c>
      <c r="L8" s="227">
        <f t="shared" ref="L8:L29" ca="1" si="1">IF(ISERROR(K8/J8),"-",K8/J8)</f>
        <v>1</v>
      </c>
      <c r="M8" s="230">
        <f ca="1">Tables!J58</f>
        <v>1.7524359367089535</v>
      </c>
      <c r="N8" s="536"/>
      <c r="Q8" s="2">
        <f ca="1">IF(B8="*Hide*",1)-IF(SUBTOTAL(103,B8)=1,0,1)</f>
        <v>0</v>
      </c>
    </row>
    <row r="9" spans="1:17" x14ac:dyDescent="0.3">
      <c r="B9" s="195" t="str">
        <f ca="1">Tables!B59</f>
        <v>Residential Solution Program</v>
      </c>
      <c r="C9" s="200" t="str">
        <f ca="1">Tables!C59</f>
        <v>Residential</v>
      </c>
      <c r="D9" s="508">
        <f ca="1">Tables!D59</f>
        <v>2504889.75</v>
      </c>
      <c r="E9" s="509">
        <f ca="1">Tables!E59</f>
        <v>2391297.14</v>
      </c>
      <c r="F9" s="192">
        <f ca="1">IF(ISERROR(E9/D9),"-",E9/D9)</f>
        <v>0.95465165283222553</v>
      </c>
      <c r="G9" s="193">
        <f ca="1">Tables!F59</f>
        <v>620027</v>
      </c>
      <c r="H9" s="504">
        <f ca="1">Tables!G59</f>
        <v>651784</v>
      </c>
      <c r="I9" s="192">
        <f t="shared" ca="1" si="0"/>
        <v>1.0512187372485391</v>
      </c>
      <c r="J9" s="193">
        <f ca="1">Tables!H59</f>
        <v>2225</v>
      </c>
      <c r="K9" s="504">
        <f ca="1">Tables!I59</f>
        <v>2225</v>
      </c>
      <c r="L9" s="192">
        <f t="shared" ca="1" si="1"/>
        <v>1</v>
      </c>
      <c r="M9" s="231">
        <f ca="1">Tables!J59</f>
        <v>2.1141019367831895</v>
      </c>
      <c r="N9" s="536"/>
      <c r="Q9" s="2">
        <f t="shared" ref="Q9:Q27" ca="1" si="2">IF(B9="*Hide*",1)-IF(SUBTOTAL(103,B9)=1,0,1)</f>
        <v>0</v>
      </c>
    </row>
    <row r="10" spans="1:17" x14ac:dyDescent="0.3">
      <c r="B10" s="195" t="str">
        <f ca="1">Tables!B60</f>
        <v>Commercial &amp; Industrial Solutions Program</v>
      </c>
      <c r="C10" s="200" t="str">
        <f ca="1">Tables!C60</f>
        <v>Commercial &amp; Industrial</v>
      </c>
      <c r="D10" s="508">
        <f ca="1">Tables!D60</f>
        <v>1425147.99</v>
      </c>
      <c r="E10" s="509">
        <f ca="1">Tables!E60</f>
        <v>1391947.99</v>
      </c>
      <c r="F10" s="192">
        <f ca="1">IF(ISERROR(E10/D10),"-",E10/D10)</f>
        <v>0.97670417371882901</v>
      </c>
      <c r="G10" s="193">
        <f ca="1">Tables!F60</f>
        <v>620044</v>
      </c>
      <c r="H10" s="504">
        <f ca="1">Tables!G60</f>
        <v>647132</v>
      </c>
      <c r="I10" s="192">
        <f t="shared" ca="1" si="0"/>
        <v>1.0436872221971345</v>
      </c>
      <c r="J10" s="193">
        <f ca="1">Tables!H60</f>
        <v>232</v>
      </c>
      <c r="K10" s="504">
        <f ca="1">Tables!I60</f>
        <v>232</v>
      </c>
      <c r="L10" s="192">
        <f t="shared" ca="1" si="1"/>
        <v>1</v>
      </c>
      <c r="M10" s="231">
        <f ca="1">Tables!J60</f>
        <v>1.2548274706959246</v>
      </c>
      <c r="N10" s="536"/>
      <c r="Q10" s="2">
        <f t="shared" ca="1" si="2"/>
        <v>0</v>
      </c>
    </row>
    <row r="11" spans="1:17" x14ac:dyDescent="0.3">
      <c r="B11" s="195" t="str">
        <f ca="1">Tables!B61</f>
        <v>Energy Efficiency Arkansas</v>
      </c>
      <c r="C11" s="200" t="str">
        <f ca="1">Tables!C61</f>
        <v>All Classes</v>
      </c>
      <c r="D11" s="508">
        <f ca="1">Tables!D61</f>
        <v>0</v>
      </c>
      <c r="E11" s="509">
        <f ca="1">Tables!E61</f>
        <v>0</v>
      </c>
      <c r="F11" s="192" t="str">
        <f t="shared" ref="F11:F29" ca="1" si="3">IF(ISERROR(E11/D11),"-",E11/D11)</f>
        <v>-</v>
      </c>
      <c r="G11" s="193">
        <f ca="1">Tables!F61</f>
        <v>0</v>
      </c>
      <c r="H11" s="504">
        <f ca="1">Tables!G61</f>
        <v>0</v>
      </c>
      <c r="I11" s="192" t="str">
        <f t="shared" ca="1" si="0"/>
        <v>-</v>
      </c>
      <c r="J11" s="193">
        <f ca="1">Tables!H61</f>
        <v>0</v>
      </c>
      <c r="K11" s="504">
        <f ca="1">Tables!I61</f>
        <v>0</v>
      </c>
      <c r="L11" s="192" t="str">
        <f t="shared" ca="1" si="1"/>
        <v>-</v>
      </c>
      <c r="M11" s="231" t="str">
        <f ca="1">Tables!J61</f>
        <v>n/a</v>
      </c>
      <c r="N11" s="536"/>
      <c r="Q11" s="2">
        <f t="shared" ca="1" si="2"/>
        <v>0</v>
      </c>
    </row>
    <row r="12" spans="1:17" hidden="1" x14ac:dyDescent="0.3">
      <c r="B12" s="195" t="str">
        <f ca="1">Tables!B62</f>
        <v>*Hide*</v>
      </c>
      <c r="C12" s="200" t="str">
        <f ca="1">Tables!C62</f>
        <v>-</v>
      </c>
      <c r="D12" s="508" t="str">
        <f ca="1">Tables!D62</f>
        <v>-</v>
      </c>
      <c r="E12" s="509" t="str">
        <f ca="1">Tables!E62</f>
        <v>-</v>
      </c>
      <c r="F12" s="192" t="str">
        <f t="shared" ca="1" si="3"/>
        <v>-</v>
      </c>
      <c r="G12" s="193" t="str">
        <f ca="1">Tables!F62</f>
        <v>-</v>
      </c>
      <c r="H12" s="504" t="str">
        <f ca="1">Tables!G62</f>
        <v>-</v>
      </c>
      <c r="I12" s="192" t="str">
        <f t="shared" ca="1" si="0"/>
        <v>-</v>
      </c>
      <c r="J12" s="193" t="str">
        <f ca="1">Tables!H62</f>
        <v>-</v>
      </c>
      <c r="K12" s="504" t="str">
        <f ca="1">Tables!I62</f>
        <v>-</v>
      </c>
      <c r="L12" s="192" t="str">
        <f t="shared" ca="1" si="1"/>
        <v>-</v>
      </c>
      <c r="M12" s="231" t="str">
        <f ca="1">Tables!J62</f>
        <v>-</v>
      </c>
      <c r="N12" s="536"/>
      <c r="Q12" s="2">
        <f t="shared" ca="1" si="2"/>
        <v>0</v>
      </c>
    </row>
    <row r="13" spans="1:17" hidden="1" x14ac:dyDescent="0.3">
      <c r="B13" s="195" t="str">
        <f ca="1">Tables!B63</f>
        <v>*Hide*</v>
      </c>
      <c r="C13" s="200" t="str">
        <f ca="1">Tables!C63</f>
        <v>-</v>
      </c>
      <c r="D13" s="508" t="str">
        <f ca="1">Tables!D63</f>
        <v>-</v>
      </c>
      <c r="E13" s="509" t="str">
        <f ca="1">Tables!E63</f>
        <v>-</v>
      </c>
      <c r="F13" s="192" t="str">
        <f t="shared" ca="1" si="3"/>
        <v>-</v>
      </c>
      <c r="G13" s="193" t="str">
        <f ca="1">Tables!F63</f>
        <v>-</v>
      </c>
      <c r="H13" s="504" t="str">
        <f ca="1">Tables!G63</f>
        <v>-</v>
      </c>
      <c r="I13" s="192" t="str">
        <f t="shared" ca="1" si="0"/>
        <v>-</v>
      </c>
      <c r="J13" s="193" t="str">
        <f ca="1">Tables!H63</f>
        <v>-</v>
      </c>
      <c r="K13" s="504" t="str">
        <f ca="1">Tables!I63</f>
        <v>-</v>
      </c>
      <c r="L13" s="192" t="str">
        <f t="shared" ca="1" si="1"/>
        <v>-</v>
      </c>
      <c r="M13" s="231" t="str">
        <f ca="1">Tables!J63</f>
        <v>-</v>
      </c>
      <c r="N13" s="536"/>
      <c r="Q13" s="2">
        <f t="shared" ca="1" si="2"/>
        <v>0</v>
      </c>
    </row>
    <row r="14" spans="1:17" hidden="1" x14ac:dyDescent="0.3">
      <c r="B14" s="195" t="str">
        <f ca="1">Tables!B64</f>
        <v>*Hide*</v>
      </c>
      <c r="C14" s="200" t="str">
        <f ca="1">Tables!C64</f>
        <v>-</v>
      </c>
      <c r="D14" s="508" t="str">
        <f ca="1">Tables!D64</f>
        <v>-</v>
      </c>
      <c r="E14" s="509" t="str">
        <f ca="1">Tables!E64</f>
        <v>-</v>
      </c>
      <c r="F14" s="192" t="str">
        <f t="shared" ca="1" si="3"/>
        <v>-</v>
      </c>
      <c r="G14" s="193" t="str">
        <f ca="1">Tables!F64</f>
        <v>-</v>
      </c>
      <c r="H14" s="504" t="str">
        <f ca="1">Tables!G64</f>
        <v>-</v>
      </c>
      <c r="I14" s="192" t="str">
        <f t="shared" ca="1" si="0"/>
        <v>-</v>
      </c>
      <c r="J14" s="193" t="str">
        <f ca="1">Tables!H64</f>
        <v>-</v>
      </c>
      <c r="K14" s="504" t="str">
        <f ca="1">Tables!I64</f>
        <v>-</v>
      </c>
      <c r="L14" s="192" t="str">
        <f t="shared" ca="1" si="1"/>
        <v>-</v>
      </c>
      <c r="M14" s="231" t="str">
        <f ca="1">Tables!J64</f>
        <v>-</v>
      </c>
      <c r="N14" s="536"/>
      <c r="Q14" s="2">
        <f t="shared" ca="1" si="2"/>
        <v>0</v>
      </c>
    </row>
    <row r="15" spans="1:17" hidden="1" x14ac:dyDescent="0.3">
      <c r="B15" s="195" t="str">
        <f ca="1">Tables!B65</f>
        <v>*Hide*</v>
      </c>
      <c r="C15" s="200" t="str">
        <f ca="1">Tables!C65</f>
        <v>-</v>
      </c>
      <c r="D15" s="508" t="str">
        <f ca="1">Tables!D65</f>
        <v>-</v>
      </c>
      <c r="E15" s="509" t="str">
        <f ca="1">Tables!E65</f>
        <v>-</v>
      </c>
      <c r="F15" s="192" t="str">
        <f t="shared" ca="1" si="3"/>
        <v>-</v>
      </c>
      <c r="G15" s="193" t="str">
        <f ca="1">Tables!F65</f>
        <v>-</v>
      </c>
      <c r="H15" s="504" t="str">
        <f ca="1">Tables!G65</f>
        <v>-</v>
      </c>
      <c r="I15" s="192" t="str">
        <f t="shared" ca="1" si="0"/>
        <v>-</v>
      </c>
      <c r="J15" s="193" t="str">
        <f ca="1">Tables!H65</f>
        <v>-</v>
      </c>
      <c r="K15" s="504" t="str">
        <f ca="1">Tables!I65</f>
        <v>-</v>
      </c>
      <c r="L15" s="192" t="str">
        <f t="shared" ca="1" si="1"/>
        <v>-</v>
      </c>
      <c r="M15" s="231" t="str">
        <f ca="1">Tables!J65</f>
        <v>-</v>
      </c>
      <c r="N15" s="536"/>
      <c r="Q15" s="2">
        <f t="shared" ca="1" si="2"/>
        <v>0</v>
      </c>
    </row>
    <row r="16" spans="1:17" hidden="1" x14ac:dyDescent="0.3">
      <c r="B16" s="195" t="str">
        <f ca="1">Tables!B66</f>
        <v>*Hide*</v>
      </c>
      <c r="C16" s="200" t="str">
        <f ca="1">Tables!C66</f>
        <v>-</v>
      </c>
      <c r="D16" s="508" t="str">
        <f ca="1">Tables!D66</f>
        <v>-</v>
      </c>
      <c r="E16" s="509" t="str">
        <f ca="1">Tables!E66</f>
        <v>-</v>
      </c>
      <c r="F16" s="192" t="str">
        <f t="shared" ca="1" si="3"/>
        <v>-</v>
      </c>
      <c r="G16" s="193" t="str">
        <f ca="1">Tables!F66</f>
        <v>-</v>
      </c>
      <c r="H16" s="504" t="str">
        <f ca="1">Tables!G66</f>
        <v>-</v>
      </c>
      <c r="I16" s="192" t="str">
        <f t="shared" ca="1" si="0"/>
        <v>-</v>
      </c>
      <c r="J16" s="193" t="str">
        <f ca="1">Tables!H66</f>
        <v>-</v>
      </c>
      <c r="K16" s="504" t="str">
        <f ca="1">Tables!I66</f>
        <v>-</v>
      </c>
      <c r="L16" s="192" t="str">
        <f t="shared" ca="1" si="1"/>
        <v>-</v>
      </c>
      <c r="M16" s="231" t="str">
        <f ca="1">Tables!J66</f>
        <v>-</v>
      </c>
      <c r="N16" s="536"/>
      <c r="Q16" s="2">
        <f t="shared" ca="1" si="2"/>
        <v>0</v>
      </c>
    </row>
    <row r="17" spans="2:17" hidden="1" x14ac:dyDescent="0.3">
      <c r="B17" s="195" t="str">
        <f ca="1">Tables!B67</f>
        <v>*Hide*</v>
      </c>
      <c r="C17" s="200" t="str">
        <f ca="1">Tables!C67</f>
        <v>-</v>
      </c>
      <c r="D17" s="508" t="str">
        <f ca="1">Tables!D67</f>
        <v>-</v>
      </c>
      <c r="E17" s="509" t="str">
        <f ca="1">Tables!E67</f>
        <v>-</v>
      </c>
      <c r="F17" s="192" t="str">
        <f t="shared" ca="1" si="3"/>
        <v>-</v>
      </c>
      <c r="G17" s="193" t="str">
        <f ca="1">Tables!F67</f>
        <v>-</v>
      </c>
      <c r="H17" s="504" t="str">
        <f ca="1">Tables!G67</f>
        <v>-</v>
      </c>
      <c r="I17" s="192" t="str">
        <f t="shared" ca="1" si="0"/>
        <v>-</v>
      </c>
      <c r="J17" s="193" t="str">
        <f ca="1">Tables!H67</f>
        <v>-</v>
      </c>
      <c r="K17" s="504" t="str">
        <f ca="1">Tables!I67</f>
        <v>-</v>
      </c>
      <c r="L17" s="192" t="str">
        <f t="shared" ca="1" si="1"/>
        <v>-</v>
      </c>
      <c r="M17" s="231" t="str">
        <f ca="1">Tables!J67</f>
        <v>-</v>
      </c>
      <c r="Q17" s="2">
        <f t="shared" ca="1" si="2"/>
        <v>0</v>
      </c>
    </row>
    <row r="18" spans="2:17" hidden="1" x14ac:dyDescent="0.3">
      <c r="B18" s="195" t="str">
        <f ca="1">Tables!B68</f>
        <v>*Hide*</v>
      </c>
      <c r="C18" s="200" t="str">
        <f ca="1">Tables!C68</f>
        <v>-</v>
      </c>
      <c r="D18" s="508" t="str">
        <f ca="1">Tables!D68</f>
        <v>-</v>
      </c>
      <c r="E18" s="509" t="str">
        <f ca="1">Tables!E68</f>
        <v>-</v>
      </c>
      <c r="F18" s="192" t="str">
        <f t="shared" ca="1" si="3"/>
        <v>-</v>
      </c>
      <c r="G18" s="193" t="str">
        <f ca="1">Tables!F68</f>
        <v>-</v>
      </c>
      <c r="H18" s="504" t="str">
        <f ca="1">Tables!G68</f>
        <v>-</v>
      </c>
      <c r="I18" s="192" t="str">
        <f t="shared" ca="1" si="0"/>
        <v>-</v>
      </c>
      <c r="J18" s="193" t="str">
        <f ca="1">Tables!H68</f>
        <v>-</v>
      </c>
      <c r="K18" s="504" t="str">
        <f ca="1">Tables!I68</f>
        <v>-</v>
      </c>
      <c r="L18" s="192" t="str">
        <f t="shared" ca="1" si="1"/>
        <v>-</v>
      </c>
      <c r="M18" s="231" t="str">
        <f ca="1">Tables!J68</f>
        <v>-</v>
      </c>
      <c r="Q18" s="2">
        <f t="shared" ca="1" si="2"/>
        <v>0</v>
      </c>
    </row>
    <row r="19" spans="2:17" hidden="1" x14ac:dyDescent="0.3">
      <c r="B19" s="195" t="str">
        <f ca="1">Tables!B69</f>
        <v>*Hide*</v>
      </c>
      <c r="C19" s="200" t="str">
        <f ca="1">Tables!C69</f>
        <v>-</v>
      </c>
      <c r="D19" s="508" t="str">
        <f ca="1">Tables!D69</f>
        <v>-</v>
      </c>
      <c r="E19" s="509" t="str">
        <f ca="1">Tables!E69</f>
        <v>-</v>
      </c>
      <c r="F19" s="192" t="str">
        <f t="shared" ca="1" si="3"/>
        <v>-</v>
      </c>
      <c r="G19" s="193" t="str">
        <f ca="1">Tables!F69</f>
        <v>-</v>
      </c>
      <c r="H19" s="504" t="str">
        <f ca="1">Tables!G69</f>
        <v>-</v>
      </c>
      <c r="I19" s="192" t="str">
        <f t="shared" ca="1" si="0"/>
        <v>-</v>
      </c>
      <c r="J19" s="193" t="str">
        <f ca="1">Tables!H69</f>
        <v>-</v>
      </c>
      <c r="K19" s="504" t="str">
        <f ca="1">Tables!I69</f>
        <v>-</v>
      </c>
      <c r="L19" s="192" t="str">
        <f t="shared" ca="1" si="1"/>
        <v>-</v>
      </c>
      <c r="M19" s="231" t="str">
        <f ca="1">Tables!J69</f>
        <v>-</v>
      </c>
      <c r="Q19" s="2">
        <f t="shared" ca="1" si="2"/>
        <v>0</v>
      </c>
    </row>
    <row r="20" spans="2:17" hidden="1" x14ac:dyDescent="0.3">
      <c r="B20" s="195" t="str">
        <f ca="1">Tables!B70</f>
        <v>*Hide*</v>
      </c>
      <c r="C20" s="200" t="str">
        <f ca="1">Tables!C70</f>
        <v>-</v>
      </c>
      <c r="D20" s="508" t="str">
        <f ca="1">Tables!D70</f>
        <v>-</v>
      </c>
      <c r="E20" s="509" t="str">
        <f ca="1">Tables!E70</f>
        <v>-</v>
      </c>
      <c r="F20" s="192" t="str">
        <f t="shared" ca="1" si="3"/>
        <v>-</v>
      </c>
      <c r="G20" s="193" t="str">
        <f ca="1">Tables!F70</f>
        <v>-</v>
      </c>
      <c r="H20" s="504" t="str">
        <f ca="1">Tables!G70</f>
        <v>-</v>
      </c>
      <c r="I20" s="192" t="str">
        <f t="shared" ca="1" si="0"/>
        <v>-</v>
      </c>
      <c r="J20" s="193" t="str">
        <f ca="1">Tables!H70</f>
        <v>-</v>
      </c>
      <c r="K20" s="504" t="str">
        <f ca="1">Tables!I70</f>
        <v>-</v>
      </c>
      <c r="L20" s="192" t="str">
        <f t="shared" ca="1" si="1"/>
        <v>-</v>
      </c>
      <c r="M20" s="231" t="str">
        <f ca="1">Tables!J70</f>
        <v>-</v>
      </c>
      <c r="Q20" s="2">
        <f t="shared" ca="1" si="2"/>
        <v>0</v>
      </c>
    </row>
    <row r="21" spans="2:17" hidden="1" x14ac:dyDescent="0.3">
      <c r="B21" s="195" t="str">
        <f ca="1">Tables!B71</f>
        <v>*Hide*</v>
      </c>
      <c r="C21" s="200" t="str">
        <f ca="1">Tables!C71</f>
        <v>-</v>
      </c>
      <c r="D21" s="508" t="str">
        <f ca="1">Tables!D71</f>
        <v>-</v>
      </c>
      <c r="E21" s="509" t="str">
        <f ca="1">Tables!E71</f>
        <v>-</v>
      </c>
      <c r="F21" s="192" t="str">
        <f t="shared" ca="1" si="3"/>
        <v>-</v>
      </c>
      <c r="G21" s="193" t="str">
        <f ca="1">Tables!F71</f>
        <v>-</v>
      </c>
      <c r="H21" s="504" t="str">
        <f ca="1">Tables!G71</f>
        <v>-</v>
      </c>
      <c r="I21" s="192" t="str">
        <f t="shared" ca="1" si="0"/>
        <v>-</v>
      </c>
      <c r="J21" s="193" t="str">
        <f ca="1">Tables!H71</f>
        <v>-</v>
      </c>
      <c r="K21" s="504" t="str">
        <f ca="1">Tables!I71</f>
        <v>-</v>
      </c>
      <c r="L21" s="192" t="str">
        <f t="shared" ca="1" si="1"/>
        <v>-</v>
      </c>
      <c r="M21" s="231" t="str">
        <f ca="1">Tables!J71</f>
        <v>-</v>
      </c>
      <c r="Q21" s="2">
        <f t="shared" ca="1" si="2"/>
        <v>0</v>
      </c>
    </row>
    <row r="22" spans="2:17" hidden="1" x14ac:dyDescent="0.3">
      <c r="B22" s="195" t="str">
        <f ca="1">Tables!B72</f>
        <v>*Hide*</v>
      </c>
      <c r="C22" s="200" t="str">
        <f ca="1">Tables!C72</f>
        <v>-</v>
      </c>
      <c r="D22" s="508" t="str">
        <f ca="1">Tables!D72</f>
        <v>-</v>
      </c>
      <c r="E22" s="509" t="str">
        <f ca="1">Tables!E72</f>
        <v>-</v>
      </c>
      <c r="F22" s="192" t="str">
        <f t="shared" ca="1" si="3"/>
        <v>-</v>
      </c>
      <c r="G22" s="193" t="str">
        <f ca="1">Tables!F72</f>
        <v>-</v>
      </c>
      <c r="H22" s="504" t="str">
        <f ca="1">Tables!G72</f>
        <v>-</v>
      </c>
      <c r="I22" s="192" t="str">
        <f t="shared" ca="1" si="0"/>
        <v>-</v>
      </c>
      <c r="J22" s="193" t="str">
        <f ca="1">Tables!H72</f>
        <v>-</v>
      </c>
      <c r="K22" s="504" t="str">
        <f ca="1">Tables!I72</f>
        <v>-</v>
      </c>
      <c r="L22" s="192" t="str">
        <f t="shared" ca="1" si="1"/>
        <v>-</v>
      </c>
      <c r="M22" s="231" t="str">
        <f ca="1">Tables!J72</f>
        <v>-</v>
      </c>
      <c r="Q22" s="2">
        <f t="shared" ca="1" si="2"/>
        <v>0</v>
      </c>
    </row>
    <row r="23" spans="2:17" hidden="1" x14ac:dyDescent="0.3">
      <c r="B23" s="195" t="str">
        <f ca="1">Tables!B73</f>
        <v>*Hide*</v>
      </c>
      <c r="C23" s="200" t="str">
        <f ca="1">Tables!C73</f>
        <v>-</v>
      </c>
      <c r="D23" s="508" t="str">
        <f ca="1">Tables!D73</f>
        <v>-</v>
      </c>
      <c r="E23" s="509" t="str">
        <f ca="1">Tables!E73</f>
        <v>-</v>
      </c>
      <c r="F23" s="192" t="str">
        <f t="shared" ca="1" si="3"/>
        <v>-</v>
      </c>
      <c r="G23" s="193" t="str">
        <f ca="1">Tables!F73</f>
        <v>-</v>
      </c>
      <c r="H23" s="504" t="str">
        <f ca="1">Tables!G73</f>
        <v>-</v>
      </c>
      <c r="I23" s="192" t="str">
        <f t="shared" ca="1" si="0"/>
        <v>-</v>
      </c>
      <c r="J23" s="193" t="str">
        <f ca="1">Tables!H73</f>
        <v>-</v>
      </c>
      <c r="K23" s="504" t="str">
        <f ca="1">Tables!I73</f>
        <v>-</v>
      </c>
      <c r="L23" s="192" t="str">
        <f t="shared" ca="1" si="1"/>
        <v>-</v>
      </c>
      <c r="M23" s="231" t="str">
        <f ca="1">Tables!J73</f>
        <v>-</v>
      </c>
      <c r="Q23" s="2">
        <f t="shared" ca="1" si="2"/>
        <v>0</v>
      </c>
    </row>
    <row r="24" spans="2:17" hidden="1" x14ac:dyDescent="0.3">
      <c r="B24" s="195" t="str">
        <f ca="1">Tables!B74</f>
        <v>*Hide*</v>
      </c>
      <c r="C24" s="200" t="str">
        <f ca="1">Tables!C74</f>
        <v>-</v>
      </c>
      <c r="D24" s="508" t="str">
        <f ca="1">Tables!D74</f>
        <v>-</v>
      </c>
      <c r="E24" s="509" t="str">
        <f ca="1">Tables!E74</f>
        <v>-</v>
      </c>
      <c r="F24" s="192" t="str">
        <f t="shared" ca="1" si="3"/>
        <v>-</v>
      </c>
      <c r="G24" s="193" t="str">
        <f ca="1">Tables!F74</f>
        <v>-</v>
      </c>
      <c r="H24" s="504" t="str">
        <f ca="1">Tables!G74</f>
        <v>-</v>
      </c>
      <c r="I24" s="192" t="str">
        <f t="shared" ca="1" si="0"/>
        <v>-</v>
      </c>
      <c r="J24" s="193" t="str">
        <f ca="1">Tables!H74</f>
        <v>-</v>
      </c>
      <c r="K24" s="504" t="str">
        <f ca="1">Tables!I74</f>
        <v>-</v>
      </c>
      <c r="L24" s="192" t="str">
        <f t="shared" ca="1" si="1"/>
        <v>-</v>
      </c>
      <c r="M24" s="231" t="str">
        <f ca="1">Tables!J74</f>
        <v>-</v>
      </c>
      <c r="Q24" s="2">
        <f t="shared" ca="1" si="2"/>
        <v>0</v>
      </c>
    </row>
    <row r="25" spans="2:17" hidden="1" x14ac:dyDescent="0.3">
      <c r="B25" s="195" t="str">
        <f ca="1">Tables!B75</f>
        <v>*Hide*</v>
      </c>
      <c r="C25" s="200" t="str">
        <f ca="1">Tables!C75</f>
        <v>-</v>
      </c>
      <c r="D25" s="508" t="str">
        <f ca="1">Tables!D75</f>
        <v>-</v>
      </c>
      <c r="E25" s="509" t="str">
        <f ca="1">Tables!E75</f>
        <v>-</v>
      </c>
      <c r="F25" s="192" t="str">
        <f t="shared" ca="1" si="3"/>
        <v>-</v>
      </c>
      <c r="G25" s="193" t="str">
        <f ca="1">Tables!F75</f>
        <v>-</v>
      </c>
      <c r="H25" s="504" t="str">
        <f ca="1">Tables!G75</f>
        <v>-</v>
      </c>
      <c r="I25" s="192" t="str">
        <f t="shared" ca="1" si="0"/>
        <v>-</v>
      </c>
      <c r="J25" s="193" t="str">
        <f ca="1">Tables!H75</f>
        <v>-</v>
      </c>
      <c r="K25" s="504" t="str">
        <f ca="1">Tables!I75</f>
        <v>-</v>
      </c>
      <c r="L25" s="192" t="str">
        <f t="shared" ca="1" si="1"/>
        <v>-</v>
      </c>
      <c r="M25" s="231" t="str">
        <f ca="1">Tables!J75</f>
        <v>-</v>
      </c>
      <c r="Q25" s="2">
        <f t="shared" ca="1" si="2"/>
        <v>0</v>
      </c>
    </row>
    <row r="26" spans="2:17" hidden="1" x14ac:dyDescent="0.3">
      <c r="B26" s="195" t="str">
        <f ca="1">Tables!B76</f>
        <v>*Hide*</v>
      </c>
      <c r="C26" s="200" t="str">
        <f ca="1">Tables!C76</f>
        <v>-</v>
      </c>
      <c r="D26" s="508" t="str">
        <f ca="1">Tables!D76</f>
        <v>-</v>
      </c>
      <c r="E26" s="509" t="str">
        <f ca="1">Tables!E76</f>
        <v>-</v>
      </c>
      <c r="F26" s="192" t="str">
        <f t="shared" ca="1" si="3"/>
        <v>-</v>
      </c>
      <c r="G26" s="193" t="str">
        <f ca="1">Tables!F76</f>
        <v>-</v>
      </c>
      <c r="H26" s="504" t="str">
        <f ca="1">Tables!G76</f>
        <v>-</v>
      </c>
      <c r="I26" s="192" t="str">
        <f t="shared" ca="1" si="0"/>
        <v>-</v>
      </c>
      <c r="J26" s="193" t="str">
        <f ca="1">Tables!H76</f>
        <v>-</v>
      </c>
      <c r="K26" s="504" t="str">
        <f ca="1">Tables!I76</f>
        <v>-</v>
      </c>
      <c r="L26" s="192" t="str">
        <f t="shared" ca="1" si="1"/>
        <v>-</v>
      </c>
      <c r="M26" s="231" t="str">
        <f ca="1">Tables!J76</f>
        <v>-</v>
      </c>
      <c r="Q26" s="2">
        <f t="shared" ca="1" si="2"/>
        <v>0</v>
      </c>
    </row>
    <row r="27" spans="2:17" hidden="1" x14ac:dyDescent="0.3">
      <c r="B27" s="195" t="str">
        <f ca="1">Tables!B77</f>
        <v>*Hide*</v>
      </c>
      <c r="C27" s="195" t="str">
        <f ca="1">Tables!C77</f>
        <v>-</v>
      </c>
      <c r="D27" s="510" t="str">
        <f ca="1">Tables!D77</f>
        <v>-</v>
      </c>
      <c r="E27" s="511" t="str">
        <f ca="1">Tables!E77</f>
        <v>-</v>
      </c>
      <c r="F27" s="223" t="str">
        <f t="shared" ca="1" si="3"/>
        <v>-</v>
      </c>
      <c r="G27" s="224" t="str">
        <f ca="1">Tables!F77</f>
        <v>-</v>
      </c>
      <c r="H27" s="512" t="str">
        <f ca="1">Tables!G77</f>
        <v>-</v>
      </c>
      <c r="I27" s="223" t="str">
        <f t="shared" ca="1" si="0"/>
        <v>-</v>
      </c>
      <c r="J27" s="224" t="str">
        <f ca="1">Tables!H77</f>
        <v>-</v>
      </c>
      <c r="K27" s="512" t="str">
        <f ca="1">Tables!I77</f>
        <v>-</v>
      </c>
      <c r="L27" s="223" t="str">
        <f t="shared" ca="1" si="1"/>
        <v>-</v>
      </c>
      <c r="M27" s="232" t="str">
        <f ca="1">Tables!J77</f>
        <v>-</v>
      </c>
      <c r="Q27" s="2">
        <f t="shared" ca="1" si="2"/>
        <v>0</v>
      </c>
    </row>
    <row r="28" spans="2:17" ht="13.5" thickBot="1" x14ac:dyDescent="0.35">
      <c r="B28" s="246" t="str">
        <f>Budgets!H26</f>
        <v>Regulatory</v>
      </c>
      <c r="C28" s="196"/>
      <c r="D28" s="510">
        <f>Budgets!I26</f>
        <v>27917</v>
      </c>
      <c r="E28" s="511">
        <f>'Actual Expenses'!I91</f>
        <v>9751.39</v>
      </c>
      <c r="F28" s="223"/>
      <c r="G28" s="224"/>
      <c r="H28" s="512"/>
      <c r="I28" s="223"/>
      <c r="J28" s="224"/>
      <c r="K28" s="512"/>
      <c r="L28" s="223"/>
      <c r="M28" s="232"/>
      <c r="Q28" s="2">
        <f>IF(SUBTOTAL(103,B28)=1,0,-1)</f>
        <v>0</v>
      </c>
    </row>
    <row r="29" spans="2:17" ht="14.5" thickBot="1" x14ac:dyDescent="0.35">
      <c r="C29" s="242" t="s">
        <v>635</v>
      </c>
      <c r="D29" s="236">
        <f ca="1">SUM(D8:D28)</f>
        <v>4169849.54</v>
      </c>
      <c r="E29" s="237">
        <f ca="1">SUM(E8:E28)</f>
        <v>3961624.89</v>
      </c>
      <c r="F29" s="238">
        <f t="shared" ca="1" si="3"/>
        <v>0.95006422941581725</v>
      </c>
      <c r="G29" s="239">
        <f ca="1">SUM(G8:G27)</f>
        <v>1291789</v>
      </c>
      <c r="H29" s="240">
        <f ca="1">SUM(H8:H27)</f>
        <v>1350413</v>
      </c>
      <c r="I29" s="238">
        <f t="shared" ca="1" si="0"/>
        <v>1.0453820244637475</v>
      </c>
      <c r="J29" s="239">
        <f ca="1">SUM(J8:J27)</f>
        <v>2525</v>
      </c>
      <c r="K29" s="240">
        <f ca="1">SUM(K8:K27)</f>
        <v>2525</v>
      </c>
      <c r="L29" s="238">
        <f t="shared" ca="1" si="1"/>
        <v>1</v>
      </c>
      <c r="M29" s="241">
        <f>'Cost-Benefits'!J27</f>
        <v>1.7739993210814422</v>
      </c>
      <c r="Q29" s="2">
        <f ca="1">SUM(Q8:Q28)</f>
        <v>0</v>
      </c>
    </row>
    <row r="30" spans="2:17" ht="15.75" customHeight="1" x14ac:dyDescent="0.3">
      <c r="B30" s="337" t="str">
        <f ca="1">IF(Q29&gt;0,"Select all cells in the 'Program Name' column that contain *Hide* and press Ctrl+9 to hide rows.",IF(Q29&lt;0,"Select all cells in Program Name column and press Shift+Ctrl+9 to unhide all rows.",""))</f>
        <v/>
      </c>
    </row>
  </sheetData>
  <sheetProtection password="C925" sheet="1" objects="1" scenarios="1" formatColumns="0" formatRows="0"/>
  <mergeCells count="6">
    <mergeCell ref="B2:M2"/>
    <mergeCell ref="B4:M4"/>
    <mergeCell ref="M6:M7"/>
    <mergeCell ref="D6:F6"/>
    <mergeCell ref="J6:L6"/>
    <mergeCell ref="G6:I6"/>
  </mergeCells>
  <conditionalFormatting sqref="B8:M27">
    <cfRule type="expression" dxfId="3" priority="1">
      <formula>$B8="*Hide*"</formula>
    </cfRule>
  </conditionalFormatting>
  <pageMargins left="0.25" right="0.25" top="0.75" bottom="0.75" header="0.3" footer="0.3"/>
  <pageSetup scale="87"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M25"/>
  <sheetViews>
    <sheetView showGridLines="0" zoomScaleNormal="100" workbookViewId="0">
      <pane ySplit="2" topLeftCell="A3" activePane="bottomLeft" state="frozen"/>
      <selection pane="bottomLeft"/>
    </sheetView>
  </sheetViews>
  <sheetFormatPr defaultColWidth="9.1796875" defaultRowHeight="13" x14ac:dyDescent="0.3"/>
  <cols>
    <col min="1" max="1" width="1" style="2" customWidth="1"/>
    <col min="2" max="2" width="36" style="2" customWidth="1"/>
    <col min="3" max="4" width="12.26953125" style="2" bestFit="1" customWidth="1"/>
    <col min="5" max="5" width="5.81640625" style="2" bestFit="1" customWidth="1"/>
    <col min="6" max="6" width="12" style="2" bestFit="1" customWidth="1"/>
    <col min="7" max="7" width="11.7265625" style="2" bestFit="1" customWidth="1"/>
    <col min="8" max="8" width="5.81640625" style="2" bestFit="1" customWidth="1"/>
    <col min="9" max="10" width="10.453125" style="2" bestFit="1" customWidth="1"/>
    <col min="11" max="11" width="5.81640625" style="2" bestFit="1" customWidth="1"/>
    <col min="12" max="12" width="7.54296875" style="2" customWidth="1"/>
    <col min="13" max="13" width="1.26953125" style="2" customWidth="1"/>
    <col min="14" max="16384" width="9.1796875" style="2"/>
  </cols>
  <sheetData>
    <row r="1" spans="1:13" ht="5.15" customHeight="1" thickBot="1" x14ac:dyDescent="0.35"/>
    <row r="2" spans="1:13" ht="38.25" customHeight="1" thickBot="1" x14ac:dyDescent="0.35">
      <c r="B2" s="629" t="s">
        <v>596</v>
      </c>
      <c r="C2" s="629"/>
      <c r="D2" s="629"/>
      <c r="E2" s="629"/>
      <c r="F2" s="629"/>
      <c r="G2" s="629"/>
      <c r="H2" s="629"/>
      <c r="I2" s="629"/>
      <c r="J2" s="629"/>
      <c r="K2" s="629"/>
      <c r="L2" s="629"/>
    </row>
    <row r="3" spans="1:13" ht="4.5" customHeight="1" x14ac:dyDescent="0.3"/>
    <row r="4" spans="1:13" ht="23" x14ac:dyDescent="0.5">
      <c r="B4" s="732" t="str">
        <f>Titles!F2&amp;" Portfolio Results Detail by Target Sector"</f>
        <v>2024 Portfolio Results Detail by Target Sector</v>
      </c>
      <c r="C4" s="732"/>
      <c r="D4" s="732"/>
      <c r="E4" s="732"/>
      <c r="F4" s="732"/>
      <c r="G4" s="732"/>
      <c r="H4" s="732"/>
      <c r="I4" s="732"/>
      <c r="J4" s="732"/>
      <c r="K4" s="732"/>
      <c r="L4" s="732"/>
    </row>
    <row r="5" spans="1:13" ht="4.5" customHeight="1" thickBot="1" x14ac:dyDescent="0.35"/>
    <row r="6" spans="1:13" ht="14.25" customHeight="1" thickBot="1" x14ac:dyDescent="0.35">
      <c r="C6" s="735" t="s">
        <v>341</v>
      </c>
      <c r="D6" s="736"/>
      <c r="E6" s="737"/>
      <c r="F6" s="735" t="str">
        <f>"Savings ("&amp;Titles!F13&amp;")"</f>
        <v>Savings (Therms)</v>
      </c>
      <c r="G6" s="736"/>
      <c r="H6" s="737"/>
      <c r="I6" s="735" t="s">
        <v>163</v>
      </c>
      <c r="J6" s="736"/>
      <c r="K6" s="737"/>
      <c r="L6" s="733" t="s">
        <v>573</v>
      </c>
    </row>
    <row r="7" spans="1:13" ht="17.25" customHeight="1" thickBot="1" x14ac:dyDescent="0.35">
      <c r="A7" s="536"/>
      <c r="B7" s="235" t="s">
        <v>86</v>
      </c>
      <c r="C7" s="233" t="s">
        <v>329</v>
      </c>
      <c r="D7" s="513" t="s">
        <v>330</v>
      </c>
      <c r="E7" s="234" t="s">
        <v>634</v>
      </c>
      <c r="F7" s="233" t="s">
        <v>331</v>
      </c>
      <c r="G7" s="513" t="s">
        <v>332</v>
      </c>
      <c r="H7" s="234" t="s">
        <v>634</v>
      </c>
      <c r="I7" s="233" t="s">
        <v>331</v>
      </c>
      <c r="J7" s="513" t="s">
        <v>330</v>
      </c>
      <c r="K7" s="234" t="s">
        <v>634</v>
      </c>
      <c r="L7" s="738"/>
      <c r="M7" s="536"/>
    </row>
    <row r="8" spans="1:13" x14ac:dyDescent="0.3">
      <c r="B8" s="218" t="str">
        <f>Tables!B82</f>
        <v>Residential</v>
      </c>
      <c r="C8" s="191">
        <f ca="1">Tables!D82</f>
        <v>2716784.55</v>
      </c>
      <c r="D8" s="509">
        <f ca="1">Tables!E82</f>
        <v>2559925.5100000002</v>
      </c>
      <c r="E8" s="192">
        <f ca="1">IF(ISERROR(D8/C8),"-",D8/C8)</f>
        <v>0.94226298143516773</v>
      </c>
      <c r="F8" s="193">
        <f ca="1">Tables!F82</f>
        <v>671745</v>
      </c>
      <c r="G8" s="504">
        <f ca="1">Tables!G82</f>
        <v>703281</v>
      </c>
      <c r="H8" s="192">
        <f t="shared" ref="H8:H21" ca="1" si="0">IF(ISERROR(G8/F8),"-",G8/F8)</f>
        <v>1.0469463859053658</v>
      </c>
      <c r="I8" s="193">
        <f ca="1">Tables!H82</f>
        <v>2293</v>
      </c>
      <c r="J8" s="504">
        <f ca="1">Tables!I82</f>
        <v>2293</v>
      </c>
      <c r="K8" s="192">
        <f t="shared" ref="K8:K21" ca="1" si="1">IF(ISERROR(J8/I8),"-",J8/I8)</f>
        <v>1</v>
      </c>
      <c r="L8" s="194">
        <f ca="1">Tables!M82</f>
        <v>2.1033395394440944</v>
      </c>
      <c r="M8" s="536"/>
    </row>
    <row r="9" spans="1:13" x14ac:dyDescent="0.3">
      <c r="B9" s="218" t="str">
        <f>Tables!B83</f>
        <v>Small Business</v>
      </c>
      <c r="C9" s="191">
        <f ca="1">Tables!D83</f>
        <v>0</v>
      </c>
      <c r="D9" s="509">
        <f ca="1">Tables!E83</f>
        <v>0</v>
      </c>
      <c r="E9" s="192" t="str">
        <f ca="1">IF(ISERROR(D9/C9),"-",D9/C9)</f>
        <v>-</v>
      </c>
      <c r="F9" s="193">
        <f ca="1">Tables!F83</f>
        <v>0</v>
      </c>
      <c r="G9" s="504">
        <f ca="1">Tables!G83</f>
        <v>0</v>
      </c>
      <c r="H9" s="192" t="str">
        <f t="shared" ca="1" si="0"/>
        <v>-</v>
      </c>
      <c r="I9" s="193">
        <f ca="1">Tables!H83</f>
        <v>0</v>
      </c>
      <c r="J9" s="504">
        <f ca="1">Tables!I83</f>
        <v>0</v>
      </c>
      <c r="K9" s="192" t="str">
        <f t="shared" ca="1" si="1"/>
        <v>-</v>
      </c>
      <c r="L9" s="194" t="str">
        <f ca="1">Tables!M83</f>
        <v>n/a</v>
      </c>
      <c r="M9" s="536"/>
    </row>
    <row r="10" spans="1:13" x14ac:dyDescent="0.3">
      <c r="B10" s="218" t="str">
        <f>Tables!B84</f>
        <v>Commercial &amp; Industrial</v>
      </c>
      <c r="C10" s="191">
        <f ca="1">Tables!D84</f>
        <v>1425147.99</v>
      </c>
      <c r="D10" s="509">
        <f ca="1">Tables!E84</f>
        <v>1391947.99</v>
      </c>
      <c r="E10" s="192">
        <f ca="1">IF(ISERROR(D10/C10),"-",D10/C10)</f>
        <v>0.97670417371882901</v>
      </c>
      <c r="F10" s="193">
        <f ca="1">Tables!F84</f>
        <v>620044</v>
      </c>
      <c r="G10" s="504">
        <f ca="1">Tables!G84</f>
        <v>647132</v>
      </c>
      <c r="H10" s="192">
        <f t="shared" ca="1" si="0"/>
        <v>1.0436872221971345</v>
      </c>
      <c r="I10" s="193">
        <f ca="1">Tables!H84</f>
        <v>232</v>
      </c>
      <c r="J10" s="504">
        <f ca="1">Tables!I84</f>
        <v>232</v>
      </c>
      <c r="K10" s="192">
        <f t="shared" ca="1" si="1"/>
        <v>1</v>
      </c>
      <c r="L10" s="194">
        <f ca="1">Tables!M84</f>
        <v>1.2548274706959246</v>
      </c>
      <c r="M10" s="536"/>
    </row>
    <row r="11" spans="1:13" x14ac:dyDescent="0.3">
      <c r="B11" s="218" t="str">
        <f>Tables!B85</f>
        <v>Municipalities/Schools</v>
      </c>
      <c r="C11" s="191">
        <f ca="1">Tables!D85</f>
        <v>0</v>
      </c>
      <c r="D11" s="509">
        <f ca="1">Tables!E85</f>
        <v>0</v>
      </c>
      <c r="E11" s="192" t="str">
        <f t="shared" ref="E11:E21" ca="1" si="2">IF(ISERROR(D11/C11),"-",D11/C11)</f>
        <v>-</v>
      </c>
      <c r="F11" s="193">
        <f ca="1">Tables!F85</f>
        <v>0</v>
      </c>
      <c r="G11" s="504">
        <f ca="1">Tables!G85</f>
        <v>0</v>
      </c>
      <c r="H11" s="192" t="str">
        <f t="shared" ca="1" si="0"/>
        <v>-</v>
      </c>
      <c r="I11" s="193">
        <f ca="1">Tables!H85</f>
        <v>0</v>
      </c>
      <c r="J11" s="504">
        <f ca="1">Tables!I85</f>
        <v>0</v>
      </c>
      <c r="K11" s="192" t="str">
        <f t="shared" ca="1" si="1"/>
        <v>-</v>
      </c>
      <c r="L11" s="194" t="str">
        <f ca="1">Tables!M85</f>
        <v>n/a</v>
      </c>
      <c r="M11" s="536"/>
    </row>
    <row r="12" spans="1:13" x14ac:dyDescent="0.3">
      <c r="B12" s="218" t="str">
        <f>Tables!B86</f>
        <v>Agriculture</v>
      </c>
      <c r="C12" s="191">
        <f ca="1">Tables!D86</f>
        <v>0</v>
      </c>
      <c r="D12" s="509">
        <f ca="1">Tables!E86</f>
        <v>0</v>
      </c>
      <c r="E12" s="192" t="str">
        <f t="shared" ca="1" si="2"/>
        <v>-</v>
      </c>
      <c r="F12" s="193">
        <f ca="1">Tables!F86</f>
        <v>0</v>
      </c>
      <c r="G12" s="504">
        <f ca="1">Tables!G86</f>
        <v>0</v>
      </c>
      <c r="H12" s="192" t="str">
        <f t="shared" ca="1" si="0"/>
        <v>-</v>
      </c>
      <c r="I12" s="193">
        <f ca="1">Tables!H86</f>
        <v>0</v>
      </c>
      <c r="J12" s="504">
        <f ca="1">Tables!I86</f>
        <v>0</v>
      </c>
      <c r="K12" s="192" t="str">
        <f t="shared" ca="1" si="1"/>
        <v>-</v>
      </c>
      <c r="L12" s="194" t="str">
        <f ca="1">Tables!M86</f>
        <v>n/a</v>
      </c>
      <c r="M12" s="536"/>
    </row>
    <row r="13" spans="1:13" x14ac:dyDescent="0.3">
      <c r="B13" s="218" t="str">
        <f>Tables!B87</f>
        <v>Other</v>
      </c>
      <c r="C13" s="191">
        <f ca="1">Tables!D87</f>
        <v>0</v>
      </c>
      <c r="D13" s="509">
        <f ca="1">Tables!E87</f>
        <v>0</v>
      </c>
      <c r="E13" s="192" t="str">
        <f t="shared" ca="1" si="2"/>
        <v>-</v>
      </c>
      <c r="F13" s="193">
        <f ca="1">Tables!F87</f>
        <v>0</v>
      </c>
      <c r="G13" s="504">
        <f ca="1">Tables!G87</f>
        <v>0</v>
      </c>
      <c r="H13" s="192" t="str">
        <f t="shared" ca="1" si="0"/>
        <v>-</v>
      </c>
      <c r="I13" s="193">
        <f ca="1">Tables!H87</f>
        <v>0</v>
      </c>
      <c r="J13" s="504">
        <f ca="1">Tables!I87</f>
        <v>0</v>
      </c>
      <c r="K13" s="192" t="str">
        <f t="shared" ca="1" si="1"/>
        <v>-</v>
      </c>
      <c r="L13" s="194" t="str">
        <f ca="1">Tables!M87</f>
        <v>n/a</v>
      </c>
      <c r="M13" s="536"/>
    </row>
    <row r="14" spans="1:13" x14ac:dyDescent="0.3">
      <c r="B14" s="219"/>
      <c r="C14" s="191"/>
      <c r="D14" s="509"/>
      <c r="E14" s="192"/>
      <c r="F14" s="193"/>
      <c r="G14" s="504"/>
      <c r="H14" s="192"/>
      <c r="I14" s="193"/>
      <c r="J14" s="504"/>
      <c r="K14" s="192"/>
      <c r="L14" s="194"/>
      <c r="M14" s="536"/>
    </row>
    <row r="15" spans="1:13" x14ac:dyDescent="0.3">
      <c r="B15" s="219" t="str">
        <f>Tables!B88</f>
        <v>Res/Small Business</v>
      </c>
      <c r="C15" s="191">
        <f ca="1">Tables!D88</f>
        <v>0</v>
      </c>
      <c r="D15" s="509">
        <f ca="1">Tables!E88</f>
        <v>0</v>
      </c>
      <c r="E15" s="192" t="str">
        <f t="shared" ca="1" si="2"/>
        <v>-</v>
      </c>
      <c r="F15" s="193">
        <f ca="1">Tables!F88</f>
        <v>0</v>
      </c>
      <c r="G15" s="504">
        <f ca="1">Tables!G88</f>
        <v>0</v>
      </c>
      <c r="H15" s="192" t="str">
        <f t="shared" ca="1" si="0"/>
        <v>-</v>
      </c>
      <c r="I15" s="193">
        <f ca="1">Tables!H88</f>
        <v>0</v>
      </c>
      <c r="J15" s="504">
        <f ca="1">Tables!I88</f>
        <v>0</v>
      </c>
      <c r="K15" s="192" t="str">
        <f t="shared" ca="1" si="1"/>
        <v>-</v>
      </c>
      <c r="L15" s="194" t="str">
        <f ca="1">Tables!M88</f>
        <v>n/a</v>
      </c>
      <c r="M15" s="536"/>
    </row>
    <row r="16" spans="1:13" x14ac:dyDescent="0.3">
      <c r="B16" s="219" t="str">
        <f>Tables!B89</f>
        <v>Res/C&amp;I</v>
      </c>
      <c r="C16" s="191">
        <f ca="1">Tables!D89</f>
        <v>0</v>
      </c>
      <c r="D16" s="509">
        <f ca="1">Tables!E89</f>
        <v>0</v>
      </c>
      <c r="E16" s="192" t="str">
        <f t="shared" ca="1" si="2"/>
        <v>-</v>
      </c>
      <c r="F16" s="193">
        <f ca="1">Tables!F89</f>
        <v>0</v>
      </c>
      <c r="G16" s="504">
        <f ca="1">Tables!G89</f>
        <v>0</v>
      </c>
      <c r="H16" s="192" t="str">
        <f t="shared" ca="1" si="0"/>
        <v>-</v>
      </c>
      <c r="I16" s="193">
        <f ca="1">Tables!H89</f>
        <v>0</v>
      </c>
      <c r="J16" s="504">
        <f ca="1">Tables!I89</f>
        <v>0</v>
      </c>
      <c r="K16" s="192" t="str">
        <f t="shared" ca="1" si="1"/>
        <v>-</v>
      </c>
      <c r="L16" s="194" t="str">
        <f ca="1">Tables!M89</f>
        <v>n/a</v>
      </c>
      <c r="M16" s="536"/>
    </row>
    <row r="17" spans="2:12" x14ac:dyDescent="0.3">
      <c r="B17" s="219" t="str">
        <f>Tables!B90</f>
        <v>Small Business/C&amp;I</v>
      </c>
      <c r="C17" s="191">
        <f ca="1">Tables!D90</f>
        <v>0</v>
      </c>
      <c r="D17" s="509">
        <f ca="1">Tables!E90</f>
        <v>0</v>
      </c>
      <c r="E17" s="192" t="str">
        <f t="shared" ca="1" si="2"/>
        <v>-</v>
      </c>
      <c r="F17" s="193">
        <f ca="1">Tables!F90</f>
        <v>0</v>
      </c>
      <c r="G17" s="504">
        <f ca="1">Tables!G90</f>
        <v>0</v>
      </c>
      <c r="H17" s="192" t="str">
        <f t="shared" ca="1" si="0"/>
        <v>-</v>
      </c>
      <c r="I17" s="193">
        <f ca="1">Tables!H90</f>
        <v>0</v>
      </c>
      <c r="J17" s="504">
        <f ca="1">Tables!I90</f>
        <v>0</v>
      </c>
      <c r="K17" s="192" t="str">
        <f t="shared" ca="1" si="1"/>
        <v>-</v>
      </c>
      <c r="L17" s="194" t="str">
        <f ca="1">Tables!M90</f>
        <v>n/a</v>
      </c>
    </row>
    <row r="18" spans="2:12" x14ac:dyDescent="0.3">
      <c r="B18" s="219"/>
      <c r="C18" s="191"/>
      <c r="D18" s="509"/>
      <c r="E18" s="192"/>
      <c r="F18" s="193"/>
      <c r="G18" s="504"/>
      <c r="H18" s="192"/>
      <c r="I18" s="193"/>
      <c r="J18" s="504"/>
      <c r="K18" s="192"/>
      <c r="L18" s="194"/>
    </row>
    <row r="19" spans="2:12" x14ac:dyDescent="0.3">
      <c r="B19" s="219" t="str">
        <f>Tables!B91</f>
        <v>All Classes</v>
      </c>
      <c r="C19" s="191">
        <f ca="1">Tables!D91</f>
        <v>0</v>
      </c>
      <c r="D19" s="509">
        <f ca="1">Tables!E91</f>
        <v>0</v>
      </c>
      <c r="E19" s="192" t="str">
        <f t="shared" ca="1" si="2"/>
        <v>-</v>
      </c>
      <c r="F19" s="193">
        <f ca="1">Tables!F91</f>
        <v>0</v>
      </c>
      <c r="G19" s="504">
        <f ca="1">Tables!G91</f>
        <v>0</v>
      </c>
      <c r="H19" s="192" t="str">
        <f t="shared" ca="1" si="0"/>
        <v>-</v>
      </c>
      <c r="I19" s="193">
        <f ca="1">Tables!H91</f>
        <v>0</v>
      </c>
      <c r="J19" s="504">
        <f ca="1">Tables!I91</f>
        <v>0</v>
      </c>
      <c r="K19" s="192" t="str">
        <f t="shared" ca="1" si="1"/>
        <v>-</v>
      </c>
      <c r="L19" s="194" t="str">
        <f ca="1">Tables!M91</f>
        <v>n/a</v>
      </c>
    </row>
    <row r="20" spans="2:12" ht="13.5" thickBot="1" x14ac:dyDescent="0.35">
      <c r="B20" s="220"/>
      <c r="C20" s="222" t="str">
        <f ca="1">Tables!D77</f>
        <v>-</v>
      </c>
      <c r="D20" s="511" t="str">
        <f ca="1">Tables!E77</f>
        <v>-</v>
      </c>
      <c r="E20" s="223" t="str">
        <f t="shared" ca="1" si="2"/>
        <v>-</v>
      </c>
      <c r="F20" s="224" t="str">
        <f ca="1">Tables!F77</f>
        <v>-</v>
      </c>
      <c r="G20" s="512" t="str">
        <f ca="1">Tables!G77</f>
        <v>-</v>
      </c>
      <c r="H20" s="223" t="str">
        <f t="shared" ca="1" si="0"/>
        <v>-</v>
      </c>
      <c r="I20" s="224" t="str">
        <f ca="1">Tables!H77</f>
        <v>-</v>
      </c>
      <c r="J20" s="512" t="str">
        <f ca="1">Tables!I77</f>
        <v>-</v>
      </c>
      <c r="K20" s="223" t="str">
        <f t="shared" ca="1" si="1"/>
        <v>-</v>
      </c>
      <c r="L20" s="225" t="str">
        <f ca="1">Tables!J77</f>
        <v>-</v>
      </c>
    </row>
    <row r="21" spans="2:12" ht="14.5" thickBot="1" x14ac:dyDescent="0.35">
      <c r="B21" s="242" t="s">
        <v>636</v>
      </c>
      <c r="C21" s="236">
        <f ca="1">SUM(C8:C20)</f>
        <v>4141932.54</v>
      </c>
      <c r="D21" s="237">
        <f ca="1">SUM(D8:D20)</f>
        <v>3951873.5</v>
      </c>
      <c r="E21" s="238">
        <f t="shared" ca="1" si="2"/>
        <v>0.95411343903732437</v>
      </c>
      <c r="F21" s="239">
        <f ca="1">SUM(F8:F20)</f>
        <v>1291789</v>
      </c>
      <c r="G21" s="240">
        <f ca="1">SUM(G8:G20)</f>
        <v>1350413</v>
      </c>
      <c r="H21" s="238">
        <f t="shared" ca="1" si="0"/>
        <v>1.0453820244637475</v>
      </c>
      <c r="I21" s="239">
        <f ca="1">SUM(I8:I20)</f>
        <v>2525</v>
      </c>
      <c r="J21" s="240">
        <f ca="1">SUM(J8:J20)</f>
        <v>2525</v>
      </c>
      <c r="K21" s="238">
        <f t="shared" ca="1" si="1"/>
        <v>1</v>
      </c>
      <c r="L21" s="241">
        <f>'Cost-Benefits'!J27</f>
        <v>1.7739993210814422</v>
      </c>
    </row>
    <row r="23" spans="2:12" x14ac:dyDescent="0.3">
      <c r="B23" s="2" t="s">
        <v>637</v>
      </c>
    </row>
    <row r="24" spans="2:12" x14ac:dyDescent="0.3">
      <c r="B24" s="180" t="s">
        <v>638</v>
      </c>
      <c r="D24" s="2" t="s">
        <v>639</v>
      </c>
    </row>
    <row r="25" spans="2:12" x14ac:dyDescent="0.3">
      <c r="D25" s="2" t="str">
        <f>F6</f>
        <v>Savings (Therms)</v>
      </c>
    </row>
  </sheetData>
  <sheetProtection password="C925" sheet="1" objects="1" scenarios="1" formatColumns="0" formatRows="0"/>
  <mergeCells count="6">
    <mergeCell ref="B2:L2"/>
    <mergeCell ref="B4:L4"/>
    <mergeCell ref="C6:E6"/>
    <mergeCell ref="F6:H6"/>
    <mergeCell ref="I6:K6"/>
    <mergeCell ref="L6:L7"/>
  </mergeCells>
  <dataValidations count="1">
    <dataValidation type="list" allowBlank="1" showInputMessage="1" showErrorMessage="1" sqref="B24" xr:uid="{00000000-0002-0000-2A00-000000000000}">
      <formula1>G_List</formula1>
    </dataValidation>
  </dataValidations>
  <pageMargins left="0.25" right="0.25" top="0.75" bottom="0.75" header="0.3" footer="0.3"/>
  <pageSetup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O23"/>
  <sheetViews>
    <sheetView showGridLines="0" zoomScale="110" zoomScaleNormal="110" workbookViewId="0"/>
  </sheetViews>
  <sheetFormatPr defaultRowHeight="12.5" x14ac:dyDescent="0.25"/>
  <cols>
    <col min="1" max="1" width="1.453125" customWidth="1"/>
    <col min="2" max="2" width="1.7265625" customWidth="1"/>
    <col min="3" max="7" width="10.7265625" customWidth="1"/>
    <col min="8" max="8" width="12.54296875" customWidth="1"/>
    <col min="9" max="14" width="10.7265625" customWidth="1"/>
    <col min="15" max="15" width="2.7265625" customWidth="1"/>
  </cols>
  <sheetData>
    <row r="1" spans="2:15" ht="5.15" customHeight="1" thickBot="1" x14ac:dyDescent="0.3"/>
    <row r="2" spans="2:15" ht="38.25" customHeight="1" x14ac:dyDescent="0.25">
      <c r="B2" s="745" t="s">
        <v>640</v>
      </c>
      <c r="C2" s="746"/>
      <c r="D2" s="746"/>
      <c r="E2" s="746"/>
      <c r="F2" s="746"/>
      <c r="G2" s="746"/>
      <c r="H2" s="746"/>
      <c r="I2" s="746"/>
      <c r="J2" s="746"/>
      <c r="K2" s="746"/>
      <c r="L2" s="746"/>
      <c r="M2" s="746"/>
      <c r="N2" s="746"/>
      <c r="O2" s="747"/>
    </row>
    <row r="3" spans="2:15" ht="23" x14ac:dyDescent="0.5">
      <c r="B3" s="748" t="s">
        <v>641</v>
      </c>
      <c r="C3" s="749"/>
      <c r="D3" s="749"/>
      <c r="E3" s="749"/>
      <c r="F3" s="749"/>
      <c r="G3" s="749"/>
      <c r="H3" s="749"/>
      <c r="I3" s="749"/>
      <c r="J3" s="749"/>
      <c r="K3" s="749"/>
      <c r="L3" s="749"/>
      <c r="M3" s="749"/>
      <c r="N3" s="749"/>
      <c r="O3" s="750"/>
    </row>
    <row r="4" spans="2:15" x14ac:dyDescent="0.25">
      <c r="B4" s="8"/>
      <c r="O4" s="19"/>
    </row>
    <row r="5" spans="2:15" ht="13" thickBot="1" x14ac:dyDescent="0.3">
      <c r="B5" s="8"/>
      <c r="O5" s="19"/>
    </row>
    <row r="6" spans="2:15" ht="13" x14ac:dyDescent="0.3">
      <c r="B6" s="8"/>
      <c r="C6" s="41" t="s">
        <v>642</v>
      </c>
      <c r="D6" s="44" t="s">
        <v>643</v>
      </c>
      <c r="E6" s="36"/>
      <c r="F6" s="41" t="s">
        <v>644</v>
      </c>
      <c r="G6" s="41" t="s">
        <v>645</v>
      </c>
      <c r="H6" s="50"/>
      <c r="I6" s="44" t="s">
        <v>646</v>
      </c>
      <c r="J6" s="36"/>
      <c r="K6" s="44" t="s">
        <v>647</v>
      </c>
      <c r="L6" s="36"/>
      <c r="M6" s="40" t="s">
        <v>648</v>
      </c>
      <c r="N6" s="36"/>
      <c r="O6" s="19"/>
    </row>
    <row r="7" spans="2:15" ht="55.5" customHeight="1" x14ac:dyDescent="0.25">
      <c r="B7" s="8"/>
      <c r="C7" s="319" t="s">
        <v>74</v>
      </c>
      <c r="D7" s="45" t="s">
        <v>649</v>
      </c>
      <c r="E7" s="46" t="s">
        <v>650</v>
      </c>
      <c r="F7" s="48" t="s">
        <v>651</v>
      </c>
      <c r="G7" s="48" t="s">
        <v>652</v>
      </c>
      <c r="H7" s="51" t="s">
        <v>653</v>
      </c>
      <c r="I7" s="53" t="s">
        <v>654</v>
      </c>
      <c r="J7" s="37" t="s">
        <v>655</v>
      </c>
      <c r="K7" s="45" t="s">
        <v>656</v>
      </c>
      <c r="L7" s="37" t="s">
        <v>655</v>
      </c>
      <c r="M7" s="514" t="s">
        <v>657</v>
      </c>
      <c r="N7" s="37" t="s">
        <v>655</v>
      </c>
      <c r="O7" s="19"/>
    </row>
    <row r="8" spans="2:15" ht="13.5" thickBot="1" x14ac:dyDescent="0.35">
      <c r="B8" s="8"/>
      <c r="C8" s="42"/>
      <c r="D8" s="38"/>
      <c r="E8" s="47"/>
      <c r="F8" s="42"/>
      <c r="G8" s="42"/>
      <c r="H8" s="52" t="s">
        <v>224</v>
      </c>
      <c r="I8" s="54" t="s">
        <v>224</v>
      </c>
      <c r="J8" s="39" t="s">
        <v>658</v>
      </c>
      <c r="K8" s="54" t="s">
        <v>224</v>
      </c>
      <c r="L8" s="39" t="s">
        <v>659</v>
      </c>
      <c r="M8" s="49" t="s">
        <v>224</v>
      </c>
      <c r="N8" s="39" t="s">
        <v>660</v>
      </c>
      <c r="O8" s="19"/>
    </row>
    <row r="9" spans="2:15" ht="13.5" thickBot="1" x14ac:dyDescent="0.35">
      <c r="B9" s="8"/>
      <c r="C9" s="43">
        <f>Prg_Year</f>
        <v>2024</v>
      </c>
      <c r="D9" s="212">
        <f>'Utility Information'!D13</f>
        <v>1</v>
      </c>
      <c r="E9" s="60">
        <f>IF(ISERROR(D9/(H9/1000)),"-",(D9/(H9/1000)))</f>
        <v>0.25242167740924104</v>
      </c>
      <c r="F9" s="315">
        <f>Training!D6</f>
        <v>13</v>
      </c>
      <c r="G9" s="315">
        <f>Training!F6</f>
        <v>1412</v>
      </c>
      <c r="H9" s="312">
        <f>'Table 3'!F15/1000</f>
        <v>3961.6248899999996</v>
      </c>
      <c r="I9" s="313">
        <f>'Table 3'!F9/1000</f>
        <v>0</v>
      </c>
      <c r="J9" s="61">
        <f>IF(ISERROR(I9/$H9),"-",(I9/$H9))</f>
        <v>0</v>
      </c>
      <c r="K9" s="62">
        <f>H9-I9-M9</f>
        <v>3771.8344099999995</v>
      </c>
      <c r="L9" s="61">
        <f>IF(ISERROR(K9/$H9),"-",(K9/$H9))</f>
        <v>0.95209276868209491</v>
      </c>
      <c r="M9" s="314">
        <f>'Table 3'!F12/1000</f>
        <v>189.79047999999997</v>
      </c>
      <c r="N9" s="61">
        <f>IF(ISERROR(M9/$H9),"-",(M9/$H9))</f>
        <v>4.7907231317905009E-2</v>
      </c>
      <c r="O9" s="19"/>
    </row>
    <row r="10" spans="2:15" ht="13" x14ac:dyDescent="0.3">
      <c r="B10" s="8"/>
      <c r="C10" s="2"/>
      <c r="D10" s="2"/>
      <c r="E10" s="2"/>
      <c r="F10" s="2"/>
      <c r="G10" s="2"/>
      <c r="H10" s="2"/>
      <c r="I10" s="2"/>
      <c r="J10" s="2"/>
      <c r="K10" s="2"/>
      <c r="L10" s="2"/>
      <c r="M10" s="2"/>
      <c r="N10" s="2"/>
      <c r="O10" s="19"/>
    </row>
    <row r="11" spans="2:15" ht="13.5" thickBot="1" x14ac:dyDescent="0.35">
      <c r="B11" s="8"/>
      <c r="C11" s="2"/>
      <c r="D11" s="2"/>
      <c r="E11" s="2"/>
      <c r="F11" s="2"/>
      <c r="G11" s="2"/>
      <c r="H11" s="2"/>
      <c r="I11" s="2"/>
      <c r="J11" s="2"/>
      <c r="K11" s="2"/>
      <c r="L11" s="2"/>
      <c r="M11" s="2"/>
      <c r="N11" s="2"/>
      <c r="O11" s="19"/>
    </row>
    <row r="12" spans="2:15" ht="15" thickBot="1" x14ac:dyDescent="0.4">
      <c r="B12" s="8"/>
      <c r="C12" s="2"/>
      <c r="D12" s="739" t="s">
        <v>661</v>
      </c>
      <c r="E12" s="740"/>
      <c r="F12" s="740"/>
      <c r="G12" s="740"/>
      <c r="H12" s="740"/>
      <c r="I12" s="740"/>
      <c r="J12" s="740"/>
      <c r="K12" s="740"/>
      <c r="L12" s="740"/>
      <c r="M12" s="741"/>
      <c r="N12" s="2"/>
      <c r="O12" s="19"/>
    </row>
    <row r="13" spans="2:15" ht="13.5" thickBot="1" x14ac:dyDescent="0.35">
      <c r="B13" s="8"/>
      <c r="C13" s="2"/>
      <c r="D13" s="80" t="s">
        <v>642</v>
      </c>
      <c r="E13" s="742" t="s">
        <v>662</v>
      </c>
      <c r="F13" s="743"/>
      <c r="G13" s="743"/>
      <c r="H13" s="743"/>
      <c r="I13" s="743"/>
      <c r="J13" s="743"/>
      <c r="K13" s="744"/>
      <c r="L13" s="742" t="s">
        <v>663</v>
      </c>
      <c r="M13" s="744"/>
      <c r="N13" s="2"/>
      <c r="O13" s="19"/>
    </row>
    <row r="14" spans="2:15" ht="13" x14ac:dyDescent="0.3">
      <c r="B14" s="8"/>
      <c r="C14" s="2"/>
      <c r="D14" s="81">
        <v>1</v>
      </c>
      <c r="E14" s="84" t="s">
        <v>664</v>
      </c>
      <c r="F14" s="6"/>
      <c r="G14" s="6"/>
      <c r="H14" s="6"/>
      <c r="I14" s="6"/>
      <c r="J14" s="6"/>
      <c r="K14" s="85"/>
      <c r="L14" s="84" t="s">
        <v>665</v>
      </c>
      <c r="M14" s="85"/>
      <c r="N14" s="2"/>
      <c r="O14" s="19"/>
    </row>
    <row r="15" spans="2:15" ht="13" x14ac:dyDescent="0.3">
      <c r="B15" s="8"/>
      <c r="C15" s="2"/>
      <c r="D15" s="82">
        <v>2</v>
      </c>
      <c r="E15" s="86" t="s">
        <v>666</v>
      </c>
      <c r="F15" s="457"/>
      <c r="G15" s="457"/>
      <c r="H15" s="457"/>
      <c r="I15" s="457"/>
      <c r="J15" s="457"/>
      <c r="K15" s="87"/>
      <c r="L15" s="86" t="s">
        <v>665</v>
      </c>
      <c r="M15" s="87"/>
      <c r="N15" s="2"/>
      <c r="O15" s="19"/>
    </row>
    <row r="16" spans="2:15" ht="13" x14ac:dyDescent="0.3">
      <c r="B16" s="8"/>
      <c r="C16" s="2"/>
      <c r="D16" s="82">
        <v>3</v>
      </c>
      <c r="E16" s="86" t="s">
        <v>667</v>
      </c>
      <c r="F16" s="457"/>
      <c r="G16" s="457"/>
      <c r="H16" s="457"/>
      <c r="I16" s="457"/>
      <c r="J16" s="457"/>
      <c r="K16" s="87"/>
      <c r="L16" s="86" t="s">
        <v>665</v>
      </c>
      <c r="M16" s="87"/>
      <c r="N16" s="2"/>
      <c r="O16" s="19"/>
    </row>
    <row r="17" spans="2:15" ht="13" x14ac:dyDescent="0.3">
      <c r="B17" s="8"/>
      <c r="C17" s="2"/>
      <c r="D17" s="82">
        <v>4</v>
      </c>
      <c r="E17" s="86" t="s">
        <v>668</v>
      </c>
      <c r="F17" s="457"/>
      <c r="G17" s="457"/>
      <c r="H17" s="457"/>
      <c r="I17" s="457"/>
      <c r="J17" s="457"/>
      <c r="K17" s="87"/>
      <c r="L17" s="86" t="s">
        <v>669</v>
      </c>
      <c r="M17" s="87"/>
      <c r="N17" s="2"/>
      <c r="O17" s="19"/>
    </row>
    <row r="18" spans="2:15" ht="13" x14ac:dyDescent="0.3">
      <c r="B18" s="8"/>
      <c r="C18" s="2"/>
      <c r="D18" s="82">
        <v>5</v>
      </c>
      <c r="E18" s="86" t="s">
        <v>670</v>
      </c>
      <c r="F18" s="457"/>
      <c r="G18" s="457"/>
      <c r="H18" s="457"/>
      <c r="I18" s="457"/>
      <c r="J18" s="457"/>
      <c r="K18" s="87"/>
      <c r="L18" s="86" t="s">
        <v>671</v>
      </c>
      <c r="M18" s="87"/>
      <c r="N18" s="2"/>
      <c r="O18" s="19"/>
    </row>
    <row r="19" spans="2:15" ht="13" x14ac:dyDescent="0.3">
      <c r="B19" s="8"/>
      <c r="C19" s="2"/>
      <c r="D19" s="82">
        <v>6</v>
      </c>
      <c r="E19" s="86" t="s">
        <v>672</v>
      </c>
      <c r="F19" s="457"/>
      <c r="G19" s="457"/>
      <c r="H19" s="457"/>
      <c r="I19" s="457"/>
      <c r="J19" s="457"/>
      <c r="K19" s="87"/>
      <c r="L19" s="86" t="s">
        <v>669</v>
      </c>
      <c r="M19" s="87"/>
      <c r="N19" s="2"/>
      <c r="O19" s="19"/>
    </row>
    <row r="20" spans="2:15" ht="13" x14ac:dyDescent="0.3">
      <c r="B20" s="8"/>
      <c r="C20" s="2"/>
      <c r="D20" s="82">
        <v>7</v>
      </c>
      <c r="E20" s="86" t="s">
        <v>673</v>
      </c>
      <c r="F20" s="457"/>
      <c r="G20" s="457"/>
      <c r="H20" s="457"/>
      <c r="I20" s="457"/>
      <c r="J20" s="457"/>
      <c r="K20" s="87"/>
      <c r="L20" s="86" t="s">
        <v>674</v>
      </c>
      <c r="M20" s="87"/>
      <c r="N20" s="2"/>
      <c r="O20" s="19"/>
    </row>
    <row r="21" spans="2:15" ht="13.5" thickBot="1" x14ac:dyDescent="0.35">
      <c r="B21" s="8"/>
      <c r="C21" s="2"/>
      <c r="D21" s="83">
        <v>8</v>
      </c>
      <c r="E21" s="88" t="s">
        <v>675</v>
      </c>
      <c r="F21" s="89"/>
      <c r="G21" s="89"/>
      <c r="H21" s="89"/>
      <c r="I21" s="89"/>
      <c r="J21" s="89"/>
      <c r="K21" s="90"/>
      <c r="L21" s="88" t="s">
        <v>674</v>
      </c>
      <c r="M21" s="90"/>
      <c r="N21" s="2"/>
      <c r="O21" s="19"/>
    </row>
    <row r="22" spans="2:15" x14ac:dyDescent="0.25">
      <c r="B22" s="8"/>
      <c r="O22" s="19"/>
    </row>
    <row r="23" spans="2:15" x14ac:dyDescent="0.25">
      <c r="B23" s="316"/>
      <c r="C23" s="317"/>
      <c r="D23" s="317"/>
      <c r="E23" s="317"/>
      <c r="F23" s="317"/>
      <c r="G23" s="317"/>
      <c r="H23" s="317"/>
      <c r="I23" s="317"/>
      <c r="J23" s="317"/>
      <c r="K23" s="317"/>
      <c r="L23" s="317"/>
      <c r="M23" s="317"/>
      <c r="N23" s="317"/>
      <c r="O23" s="318"/>
    </row>
  </sheetData>
  <sheetProtection password="C925" sheet="1" objects="1" scenarios="1"/>
  <mergeCells count="5">
    <mergeCell ref="D12:M12"/>
    <mergeCell ref="E13:K13"/>
    <mergeCell ref="L13:M13"/>
    <mergeCell ref="B2:O2"/>
    <mergeCell ref="B3:O3"/>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W27"/>
  <sheetViews>
    <sheetView showGridLines="0" zoomScale="75" zoomScaleNormal="75" workbookViewId="0">
      <pane xSplit="5" ySplit="2" topLeftCell="F6" activePane="bottomRight" state="frozen"/>
      <selection pane="topRight" activeCell="F1" sqref="F1"/>
      <selection pane="bottomLeft" activeCell="A2" sqref="A2"/>
      <selection pane="bottomRight" activeCell="H8" sqref="H8"/>
    </sheetView>
  </sheetViews>
  <sheetFormatPr defaultColWidth="9.1796875" defaultRowHeight="13" x14ac:dyDescent="0.3"/>
  <cols>
    <col min="1" max="1" width="1" style="2" customWidth="1"/>
    <col min="2" max="2" width="36" style="2" customWidth="1"/>
    <col min="3" max="3" width="20.26953125" style="2" bestFit="1" customWidth="1"/>
    <col min="4" max="4" width="26.453125" style="2" bestFit="1" customWidth="1"/>
    <col min="5" max="5" width="28.1796875" style="2" bestFit="1" customWidth="1"/>
    <col min="6" max="6" width="11.54296875" style="2" customWidth="1"/>
    <col min="7" max="7" width="12" style="2" bestFit="1" customWidth="1"/>
    <col min="8" max="11" width="13.7265625" style="2" customWidth="1"/>
    <col min="12" max="13" width="10.453125" style="2" bestFit="1" customWidth="1"/>
    <col min="14" max="14" width="18" style="2" bestFit="1" customWidth="1"/>
    <col min="15" max="15" width="18" style="2" customWidth="1"/>
    <col min="16" max="16" width="15.7265625" style="2" bestFit="1" customWidth="1"/>
    <col min="17" max="18" width="15.7265625" style="2" customWidth="1"/>
    <col min="19" max="19" width="15.7265625" style="2" bestFit="1" customWidth="1"/>
    <col min="20" max="20" width="1.26953125" style="2" customWidth="1"/>
    <col min="21" max="16384" width="9.1796875" style="2"/>
  </cols>
  <sheetData>
    <row r="1" spans="1:23" ht="5.15" customHeight="1" thickBot="1" x14ac:dyDescent="0.35"/>
    <row r="2" spans="1:23" ht="38.25" customHeight="1" thickBot="1" x14ac:dyDescent="0.35">
      <c r="B2" s="629" t="s">
        <v>15</v>
      </c>
      <c r="C2" s="629"/>
      <c r="D2" s="629"/>
      <c r="E2" s="629"/>
      <c r="F2" s="629"/>
      <c r="G2" s="629"/>
      <c r="H2" s="629"/>
      <c r="I2" s="629"/>
      <c r="J2" s="629"/>
      <c r="K2" s="629"/>
      <c r="L2" s="629"/>
      <c r="M2" s="629"/>
      <c r="N2" s="629"/>
      <c r="O2" s="629"/>
      <c r="P2" s="629"/>
      <c r="Q2" s="629"/>
      <c r="R2" s="629"/>
      <c r="S2" s="629"/>
    </row>
    <row r="3" spans="1:23" ht="4.5" customHeight="1" x14ac:dyDescent="0.3"/>
    <row r="4" spans="1:23" ht="23" x14ac:dyDescent="0.5">
      <c r="B4" s="732" t="str">
        <f>Titles!F2&amp;" Portfolio Data"</f>
        <v>2024 Portfolio Data</v>
      </c>
      <c r="C4" s="732"/>
      <c r="D4" s="732"/>
      <c r="E4" s="732"/>
      <c r="F4" s="732"/>
      <c r="G4" s="732"/>
      <c r="H4" s="732"/>
      <c r="I4" s="732"/>
      <c r="J4" s="732"/>
      <c r="K4" s="732"/>
      <c r="L4" s="732"/>
      <c r="M4" s="732"/>
      <c r="N4" s="732"/>
      <c r="O4" s="732"/>
      <c r="P4" s="732"/>
      <c r="Q4" s="732"/>
      <c r="R4" s="732"/>
      <c r="S4" s="732"/>
    </row>
    <row r="5" spans="1:23" ht="4.5" customHeight="1" x14ac:dyDescent="0.3"/>
    <row r="6" spans="1:23" ht="15.75" customHeight="1" x14ac:dyDescent="0.3">
      <c r="F6" s="751" t="s">
        <v>676</v>
      </c>
      <c r="G6" s="751"/>
      <c r="H6" s="751" t="str">
        <f>"Energy Savings ("&amp;Titles!F13&amp;")"</f>
        <v>Energy Savings (Therms)</v>
      </c>
      <c r="I6" s="751"/>
      <c r="J6" s="751" t="str">
        <f>"Demand Savings ("&amp;Titles!F15&amp;")"</f>
        <v>Demand Savings (Therms)</v>
      </c>
      <c r="K6" s="751"/>
      <c r="L6" s="751" t="s">
        <v>163</v>
      </c>
      <c r="M6" s="751"/>
      <c r="N6" s="751" t="s">
        <v>220</v>
      </c>
      <c r="O6" s="751"/>
      <c r="P6" s="751"/>
      <c r="Q6" s="751"/>
      <c r="R6" s="751"/>
      <c r="S6" s="751"/>
      <c r="W6" s="248"/>
    </row>
    <row r="7" spans="1:23" ht="24.75" customHeight="1" x14ac:dyDescent="0.3">
      <c r="A7" s="536"/>
      <c r="B7" s="485" t="s">
        <v>85</v>
      </c>
      <c r="C7" s="485" t="s">
        <v>86</v>
      </c>
      <c r="D7" s="485" t="s">
        <v>87</v>
      </c>
      <c r="E7" s="485" t="s">
        <v>88</v>
      </c>
      <c r="F7" s="485" t="s">
        <v>329</v>
      </c>
      <c r="G7" s="485" t="s">
        <v>330</v>
      </c>
      <c r="H7" s="485" t="s">
        <v>331</v>
      </c>
      <c r="I7" s="485" t="s">
        <v>332</v>
      </c>
      <c r="J7" s="485" t="s">
        <v>331</v>
      </c>
      <c r="K7" s="485" t="s">
        <v>332</v>
      </c>
      <c r="L7" s="485" t="s">
        <v>331</v>
      </c>
      <c r="M7" s="485" t="s">
        <v>330</v>
      </c>
      <c r="N7" s="485" t="str">
        <f>"Lifetime Savings ("&amp;Titles!F14&amp;")"</f>
        <v>Lifetime Savings (Therms)</v>
      </c>
      <c r="O7" s="485" t="s">
        <v>677</v>
      </c>
      <c r="P7" s="485" t="s">
        <v>218</v>
      </c>
      <c r="Q7" s="485" t="s">
        <v>376</v>
      </c>
      <c r="R7" s="485" t="s">
        <v>223</v>
      </c>
      <c r="S7" s="485" t="s">
        <v>678</v>
      </c>
      <c r="T7" s="536"/>
      <c r="U7" s="250"/>
      <c r="V7" s="250"/>
      <c r="W7" s="250"/>
    </row>
    <row r="8" spans="1:23" x14ac:dyDescent="0.3">
      <c r="B8" s="515" t="str">
        <f>Data!B4</f>
        <v>Commercial &amp; Industrial Solutions Program</v>
      </c>
      <c r="C8" s="515" t="str">
        <f>Data!C4</f>
        <v>Commercial &amp; Industrial</v>
      </c>
      <c r="D8" s="515" t="str">
        <f>Data!D4</f>
        <v>Custom</v>
      </c>
      <c r="E8" s="515" t="str">
        <f>Data!E4</f>
        <v>Implementing Contractor</v>
      </c>
      <c r="F8" s="509">
        <f>Data!K4</f>
        <v>1425147.99</v>
      </c>
      <c r="G8" s="509">
        <f>Data!K29</f>
        <v>1391947.99</v>
      </c>
      <c r="H8" s="504">
        <f>Data!M4</f>
        <v>620044</v>
      </c>
      <c r="I8" s="504">
        <f>Data!M29</f>
        <v>647132</v>
      </c>
      <c r="J8" s="504" t="str">
        <f>Data!L4</f>
        <v>n/a</v>
      </c>
      <c r="K8" s="504" t="str">
        <f>Data!L29</f>
        <v>n/a</v>
      </c>
      <c r="L8" s="504">
        <f>Data!N4</f>
        <v>232</v>
      </c>
      <c r="M8" s="504">
        <f>Data!N29</f>
        <v>232</v>
      </c>
      <c r="N8" s="504">
        <f>Data!O29</f>
        <v>6279634.2029731134</v>
      </c>
      <c r="O8" s="509">
        <f>Data!P29</f>
        <v>1859.4380756108976</v>
      </c>
      <c r="P8" s="509">
        <f>Data!Q29</f>
        <v>2333.2739773345202</v>
      </c>
      <c r="Q8" s="509">
        <f>Data!R29</f>
        <v>473.83590172362256</v>
      </c>
      <c r="R8" s="516">
        <f>Data!S29</f>
        <v>1.2548274706959246</v>
      </c>
      <c r="S8" s="517">
        <f>Data!T29</f>
        <v>0.39219872945361184</v>
      </c>
      <c r="T8" s="536"/>
      <c r="U8" s="251"/>
      <c r="V8" s="249"/>
    </row>
    <row r="9" spans="1:23" x14ac:dyDescent="0.3">
      <c r="B9" s="515" t="str">
        <f>Data!B5</f>
        <v>Energy Efficiency Arkansas</v>
      </c>
      <c r="C9" s="515" t="str">
        <f>Data!C5</f>
        <v>All Classes</v>
      </c>
      <c r="D9" s="515" t="str">
        <f>Data!D5</f>
        <v>Behavior/Education</v>
      </c>
      <c r="E9" s="515" t="str">
        <f>Data!E5</f>
        <v>Statewide Administrator</v>
      </c>
      <c r="F9" s="509">
        <f>Data!K5</f>
        <v>0</v>
      </c>
      <c r="G9" s="509">
        <f>Data!K30</f>
        <v>0</v>
      </c>
      <c r="H9" s="504">
        <f>Data!M5</f>
        <v>0</v>
      </c>
      <c r="I9" s="504">
        <f>Data!M30</f>
        <v>0</v>
      </c>
      <c r="J9" s="504" t="str">
        <f>Data!L5</f>
        <v>n/a</v>
      </c>
      <c r="K9" s="504" t="str">
        <f>Data!L30</f>
        <v>n/a</v>
      </c>
      <c r="L9" s="504">
        <f>Data!N5</f>
        <v>0</v>
      </c>
      <c r="M9" s="504">
        <f>Data!N30</f>
        <v>0</v>
      </c>
      <c r="N9" s="504">
        <f>Data!O30</f>
        <v>0</v>
      </c>
      <c r="O9" s="509">
        <f>Data!P30</f>
        <v>0</v>
      </c>
      <c r="P9" s="509">
        <f>Data!Q30</f>
        <v>0</v>
      </c>
      <c r="Q9" s="509">
        <f>Data!R30</f>
        <v>0</v>
      </c>
      <c r="R9" s="516" t="str">
        <f>Data!S30</f>
        <v>n/a</v>
      </c>
      <c r="S9" s="517" t="str">
        <f>Data!T30</f>
        <v>n/a</v>
      </c>
      <c r="T9" s="536"/>
      <c r="U9" s="251"/>
      <c r="V9" s="249"/>
    </row>
    <row r="10" spans="1:23" x14ac:dyDescent="0.3">
      <c r="B10" s="515" t="str">
        <f>Data!B6</f>
        <v>Residential Solution Program</v>
      </c>
      <c r="C10" s="515" t="str">
        <f>Data!C6</f>
        <v>Residential</v>
      </c>
      <c r="D10" s="515" t="str">
        <f>Data!D6</f>
        <v>Other</v>
      </c>
      <c r="E10" s="515" t="str">
        <f>Data!E6</f>
        <v>Implementing Contractor</v>
      </c>
      <c r="F10" s="509">
        <f>Data!K6</f>
        <v>2504889.75</v>
      </c>
      <c r="G10" s="509">
        <f>Data!K31</f>
        <v>2391297.14</v>
      </c>
      <c r="H10" s="504">
        <f>Data!M6</f>
        <v>620027</v>
      </c>
      <c r="I10" s="504">
        <f>Data!M31</f>
        <v>651784</v>
      </c>
      <c r="J10" s="504" t="str">
        <f>Data!L6</f>
        <v>n/a</v>
      </c>
      <c r="K10" s="504" t="str">
        <f>Data!L31</f>
        <v>n/a</v>
      </c>
      <c r="L10" s="504">
        <f>Data!N6</f>
        <v>2225</v>
      </c>
      <c r="M10" s="504">
        <f>Data!N31</f>
        <v>2225</v>
      </c>
      <c r="N10" s="504">
        <f>Data!O31</f>
        <v>12231280.675202576</v>
      </c>
      <c r="O10" s="509">
        <f>Data!P31</f>
        <v>2894.9541341324025</v>
      </c>
      <c r="P10" s="509">
        <f>Data!Q31</f>
        <v>6120.2281418678131</v>
      </c>
      <c r="Q10" s="509">
        <f>Data!R31</f>
        <v>3225.2740077354106</v>
      </c>
      <c r="R10" s="516">
        <f>Data!S31</f>
        <v>2.1141019367831895</v>
      </c>
      <c r="S10" s="517">
        <f>Data!T31</f>
        <v>0.3890616006236251</v>
      </c>
      <c r="T10" s="536"/>
      <c r="U10" s="251"/>
      <c r="V10" s="249"/>
    </row>
    <row r="11" spans="1:23" x14ac:dyDescent="0.3">
      <c r="B11" s="515" t="str">
        <f>Data!B7</f>
        <v>Income Qualified Program</v>
      </c>
      <c r="C11" s="515" t="str">
        <f>Data!C7</f>
        <v>Residential</v>
      </c>
      <c r="D11" s="515" t="str">
        <f>Data!D7</f>
        <v>Market Specific/Hard to Reach</v>
      </c>
      <c r="E11" s="515" t="str">
        <f>Data!E7</f>
        <v>Coupon Redemption</v>
      </c>
      <c r="F11" s="509">
        <f>Data!K7</f>
        <v>211894.8</v>
      </c>
      <c r="G11" s="509">
        <f>Data!K32</f>
        <v>168628.37</v>
      </c>
      <c r="H11" s="504">
        <f>Data!M7</f>
        <v>51718</v>
      </c>
      <c r="I11" s="504">
        <f>Data!M32</f>
        <v>51497</v>
      </c>
      <c r="J11" s="504" t="str">
        <f>Data!L7</f>
        <v>n/a</v>
      </c>
      <c r="K11" s="504" t="str">
        <f>Data!L32</f>
        <v>n/a</v>
      </c>
      <c r="L11" s="504">
        <f>Data!N7</f>
        <v>68</v>
      </c>
      <c r="M11" s="504">
        <f>Data!N32</f>
        <v>68</v>
      </c>
      <c r="N11" s="504">
        <f>Data!O32</f>
        <v>411742.19854689221</v>
      </c>
      <c r="O11" s="509">
        <f>Data!P32</f>
        <v>88.789760000000015</v>
      </c>
      <c r="P11" s="509">
        <f>Data!Q32</f>
        <v>155.59836623576319</v>
      </c>
      <c r="Q11" s="509">
        <f>Data!R32</f>
        <v>66.808606235763179</v>
      </c>
      <c r="R11" s="516">
        <f>Data!S32</f>
        <v>1.7524359367089535</v>
      </c>
      <c r="S11" s="517">
        <f>Data!T32</f>
        <v>0.27361663496558081</v>
      </c>
      <c r="T11" s="536"/>
      <c r="U11" s="251"/>
      <c r="V11" s="249"/>
    </row>
    <row r="12" spans="1:23" x14ac:dyDescent="0.3">
      <c r="B12" s="515" t="str">
        <f>Data!B8</f>
        <v>Empty</v>
      </c>
      <c r="C12" s="515" t="str">
        <f>Data!C8</f>
        <v/>
      </c>
      <c r="D12" s="515" t="str">
        <f>Data!D8</f>
        <v/>
      </c>
      <c r="E12" s="515" t="str">
        <f>Data!E8</f>
        <v/>
      </c>
      <c r="F12" s="509">
        <f>Data!K8</f>
        <v>0</v>
      </c>
      <c r="G12" s="509">
        <f>Data!K33</f>
        <v>0</v>
      </c>
      <c r="H12" s="504">
        <f>Data!M8</f>
        <v>0</v>
      </c>
      <c r="I12" s="504">
        <f>Data!M33</f>
        <v>0</v>
      </c>
      <c r="J12" s="504" t="str">
        <f>Data!L8</f>
        <v>n/a</v>
      </c>
      <c r="K12" s="504" t="str">
        <f>Data!L33</f>
        <v>n/a</v>
      </c>
      <c r="L12" s="504">
        <f>Data!N8</f>
        <v>0</v>
      </c>
      <c r="M12" s="504">
        <f>Data!N33</f>
        <v>0</v>
      </c>
      <c r="N12" s="504">
        <f>Data!O33</f>
        <v>0</v>
      </c>
      <c r="O12" s="509">
        <f>Data!P33</f>
        <v>0</v>
      </c>
      <c r="P12" s="509">
        <f>Data!Q33</f>
        <v>0</v>
      </c>
      <c r="Q12" s="509">
        <f>Data!R33</f>
        <v>0</v>
      </c>
      <c r="R12" s="516" t="str">
        <f>Data!S33</f>
        <v>n/a</v>
      </c>
      <c r="S12" s="517" t="str">
        <f>Data!T33</f>
        <v>n/a</v>
      </c>
      <c r="T12" s="536"/>
      <c r="U12" s="251"/>
      <c r="V12" s="249"/>
    </row>
    <row r="13" spans="1:23" x14ac:dyDescent="0.3">
      <c r="B13" s="515" t="str">
        <f>Data!B9</f>
        <v>Empty</v>
      </c>
      <c r="C13" s="515" t="str">
        <f>Data!C9</f>
        <v/>
      </c>
      <c r="D13" s="515" t="str">
        <f>Data!D9</f>
        <v/>
      </c>
      <c r="E13" s="515" t="str">
        <f>Data!E9</f>
        <v/>
      </c>
      <c r="F13" s="509">
        <f>Data!K9</f>
        <v>0</v>
      </c>
      <c r="G13" s="509">
        <f>Data!K34</f>
        <v>0</v>
      </c>
      <c r="H13" s="504">
        <f>Data!M9</f>
        <v>0</v>
      </c>
      <c r="I13" s="504">
        <f>Data!M34</f>
        <v>0</v>
      </c>
      <c r="J13" s="504" t="str">
        <f>Data!L9</f>
        <v>n/a</v>
      </c>
      <c r="K13" s="504" t="str">
        <f>Data!L34</f>
        <v>n/a</v>
      </c>
      <c r="L13" s="504">
        <f>Data!N9</f>
        <v>0</v>
      </c>
      <c r="M13" s="504">
        <f>Data!N34</f>
        <v>0</v>
      </c>
      <c r="N13" s="504">
        <f>Data!O34</f>
        <v>0</v>
      </c>
      <c r="O13" s="509">
        <f>Data!P34</f>
        <v>0</v>
      </c>
      <c r="P13" s="509">
        <f>Data!Q34</f>
        <v>0</v>
      </c>
      <c r="Q13" s="509">
        <f>Data!R34</f>
        <v>0</v>
      </c>
      <c r="R13" s="516" t="str">
        <f>Data!S34</f>
        <v>n/a</v>
      </c>
      <c r="S13" s="517" t="str">
        <f>Data!T34</f>
        <v>n/a</v>
      </c>
      <c r="T13" s="536"/>
      <c r="U13" s="251"/>
      <c r="V13" s="249"/>
    </row>
    <row r="14" spans="1:23" x14ac:dyDescent="0.3">
      <c r="B14" s="515" t="str">
        <f>Data!B10</f>
        <v>Empty</v>
      </c>
      <c r="C14" s="515" t="str">
        <f>Data!C10</f>
        <v/>
      </c>
      <c r="D14" s="515" t="str">
        <f>Data!D10</f>
        <v/>
      </c>
      <c r="E14" s="515" t="str">
        <f>Data!E10</f>
        <v/>
      </c>
      <c r="F14" s="509">
        <f>Data!K10</f>
        <v>0</v>
      </c>
      <c r="G14" s="509">
        <f>Data!K35</f>
        <v>0</v>
      </c>
      <c r="H14" s="504">
        <f>Data!M10</f>
        <v>0</v>
      </c>
      <c r="I14" s="504">
        <f>Data!M35</f>
        <v>0</v>
      </c>
      <c r="J14" s="504" t="str">
        <f>Data!L10</f>
        <v>n/a</v>
      </c>
      <c r="K14" s="504" t="str">
        <f>Data!L35</f>
        <v>n/a</v>
      </c>
      <c r="L14" s="504">
        <f>Data!N10</f>
        <v>0</v>
      </c>
      <c r="M14" s="504">
        <f>Data!N35</f>
        <v>0</v>
      </c>
      <c r="N14" s="504">
        <f>Data!O35</f>
        <v>0</v>
      </c>
      <c r="O14" s="509">
        <f>Data!P35</f>
        <v>0</v>
      </c>
      <c r="P14" s="509">
        <f>Data!Q35</f>
        <v>0</v>
      </c>
      <c r="Q14" s="509">
        <f>Data!R35</f>
        <v>0</v>
      </c>
      <c r="R14" s="516" t="str">
        <f>Data!S35</f>
        <v>n/a</v>
      </c>
      <c r="S14" s="517" t="str">
        <f>Data!T35</f>
        <v>n/a</v>
      </c>
      <c r="T14" s="536"/>
      <c r="U14" s="251"/>
      <c r="V14" s="249"/>
    </row>
    <row r="15" spans="1:23" x14ac:dyDescent="0.3">
      <c r="B15" s="515" t="str">
        <f>Data!B11</f>
        <v>Empty</v>
      </c>
      <c r="C15" s="515" t="str">
        <f>Data!C11</f>
        <v/>
      </c>
      <c r="D15" s="515" t="str">
        <f>Data!D11</f>
        <v/>
      </c>
      <c r="E15" s="515" t="str">
        <f>Data!E11</f>
        <v/>
      </c>
      <c r="F15" s="509">
        <f>Data!K11</f>
        <v>0</v>
      </c>
      <c r="G15" s="509">
        <f>Data!K36</f>
        <v>0</v>
      </c>
      <c r="H15" s="504">
        <f>Data!M11</f>
        <v>0</v>
      </c>
      <c r="I15" s="504">
        <f>Data!M36</f>
        <v>0</v>
      </c>
      <c r="J15" s="504" t="str">
        <f>Data!L11</f>
        <v>n/a</v>
      </c>
      <c r="K15" s="504" t="str">
        <f>Data!L36</f>
        <v>n/a</v>
      </c>
      <c r="L15" s="504">
        <f>Data!N11</f>
        <v>0</v>
      </c>
      <c r="M15" s="504">
        <f>Data!N36</f>
        <v>0</v>
      </c>
      <c r="N15" s="504">
        <f>Data!O36</f>
        <v>0</v>
      </c>
      <c r="O15" s="509">
        <f>Data!P36</f>
        <v>0</v>
      </c>
      <c r="P15" s="509">
        <f>Data!Q36</f>
        <v>0</v>
      </c>
      <c r="Q15" s="509">
        <f>Data!R36</f>
        <v>0</v>
      </c>
      <c r="R15" s="516" t="str">
        <f>Data!S36</f>
        <v>n/a</v>
      </c>
      <c r="S15" s="517" t="str">
        <f>Data!T36</f>
        <v>n/a</v>
      </c>
      <c r="T15" s="536"/>
      <c r="U15" s="251"/>
      <c r="V15" s="249"/>
    </row>
    <row r="16" spans="1:23" x14ac:dyDescent="0.3">
      <c r="B16" s="515" t="str">
        <f>Data!B12</f>
        <v>Empty</v>
      </c>
      <c r="C16" s="515" t="str">
        <f>Data!C12</f>
        <v/>
      </c>
      <c r="D16" s="515" t="str">
        <f>Data!D12</f>
        <v/>
      </c>
      <c r="E16" s="515" t="str">
        <f>Data!E12</f>
        <v/>
      </c>
      <c r="F16" s="509">
        <f>Data!K12</f>
        <v>0</v>
      </c>
      <c r="G16" s="509">
        <f>Data!K37</f>
        <v>0</v>
      </c>
      <c r="H16" s="504">
        <f>Data!M12</f>
        <v>0</v>
      </c>
      <c r="I16" s="504">
        <f>Data!M37</f>
        <v>0</v>
      </c>
      <c r="J16" s="504" t="str">
        <f>Data!L12</f>
        <v>n/a</v>
      </c>
      <c r="K16" s="504" t="str">
        <f>Data!L37</f>
        <v>n/a</v>
      </c>
      <c r="L16" s="504">
        <f>Data!N12</f>
        <v>0</v>
      </c>
      <c r="M16" s="504">
        <f>Data!N37</f>
        <v>0</v>
      </c>
      <c r="N16" s="504">
        <f>Data!O37</f>
        <v>0</v>
      </c>
      <c r="O16" s="509">
        <f>Data!P37</f>
        <v>0</v>
      </c>
      <c r="P16" s="509">
        <f>Data!Q37</f>
        <v>0</v>
      </c>
      <c r="Q16" s="509">
        <f>Data!R37</f>
        <v>0</v>
      </c>
      <c r="R16" s="516" t="str">
        <f>Data!S37</f>
        <v>n/a</v>
      </c>
      <c r="S16" s="517" t="str">
        <f>Data!T37</f>
        <v>n/a</v>
      </c>
      <c r="T16" s="536"/>
      <c r="U16" s="251"/>
      <c r="V16" s="249"/>
    </row>
    <row r="17" spans="2:22" x14ac:dyDescent="0.3">
      <c r="B17" s="515" t="str">
        <f>Data!B13</f>
        <v>Empty</v>
      </c>
      <c r="C17" s="515" t="str">
        <f>Data!C13</f>
        <v/>
      </c>
      <c r="D17" s="515" t="str">
        <f>Data!D13</f>
        <v/>
      </c>
      <c r="E17" s="515" t="str">
        <f>Data!E13</f>
        <v/>
      </c>
      <c r="F17" s="509">
        <f>Data!K13</f>
        <v>0</v>
      </c>
      <c r="G17" s="509">
        <f>Data!K38</f>
        <v>0</v>
      </c>
      <c r="H17" s="504">
        <f>Data!M13</f>
        <v>0</v>
      </c>
      <c r="I17" s="504">
        <f>Data!M38</f>
        <v>0</v>
      </c>
      <c r="J17" s="504" t="str">
        <f>Data!L13</f>
        <v>n/a</v>
      </c>
      <c r="K17" s="504" t="str">
        <f>Data!L38</f>
        <v>n/a</v>
      </c>
      <c r="L17" s="504">
        <f>Data!N13</f>
        <v>0</v>
      </c>
      <c r="M17" s="504">
        <f>Data!N38</f>
        <v>0</v>
      </c>
      <c r="N17" s="504">
        <f>Data!O38</f>
        <v>0</v>
      </c>
      <c r="O17" s="509">
        <f>Data!P38</f>
        <v>0</v>
      </c>
      <c r="P17" s="509">
        <f>Data!Q38</f>
        <v>0</v>
      </c>
      <c r="Q17" s="509">
        <f>Data!R38</f>
        <v>0</v>
      </c>
      <c r="R17" s="516" t="str">
        <f>Data!S38</f>
        <v>n/a</v>
      </c>
      <c r="S17" s="517" t="str">
        <f>Data!T38</f>
        <v>n/a</v>
      </c>
      <c r="U17" s="251"/>
      <c r="V17" s="249"/>
    </row>
    <row r="18" spans="2:22" x14ac:dyDescent="0.3">
      <c r="B18" s="515" t="str">
        <f>Data!B14</f>
        <v>Empty</v>
      </c>
      <c r="C18" s="515" t="str">
        <f>Data!C14</f>
        <v/>
      </c>
      <c r="D18" s="515" t="str">
        <f>Data!D14</f>
        <v/>
      </c>
      <c r="E18" s="515" t="str">
        <f>Data!E14</f>
        <v/>
      </c>
      <c r="F18" s="509">
        <f>Data!K14</f>
        <v>0</v>
      </c>
      <c r="G18" s="509">
        <f>Data!K39</f>
        <v>0</v>
      </c>
      <c r="H18" s="504">
        <f>Data!M14</f>
        <v>0</v>
      </c>
      <c r="I18" s="504">
        <f>Data!M39</f>
        <v>0</v>
      </c>
      <c r="J18" s="504" t="str">
        <f>Data!L14</f>
        <v>n/a</v>
      </c>
      <c r="K18" s="504" t="str">
        <f>Data!L39</f>
        <v>n/a</v>
      </c>
      <c r="L18" s="504">
        <f>Data!N14</f>
        <v>0</v>
      </c>
      <c r="M18" s="504">
        <f>Data!N39</f>
        <v>0</v>
      </c>
      <c r="N18" s="504">
        <f>Data!O39</f>
        <v>0</v>
      </c>
      <c r="O18" s="509">
        <f>Data!P39</f>
        <v>0</v>
      </c>
      <c r="P18" s="509">
        <f>Data!Q39</f>
        <v>0</v>
      </c>
      <c r="Q18" s="509">
        <f>Data!R39</f>
        <v>0</v>
      </c>
      <c r="R18" s="516" t="str">
        <f>Data!S39</f>
        <v>n/a</v>
      </c>
      <c r="S18" s="517" t="str">
        <f>Data!T39</f>
        <v>n/a</v>
      </c>
      <c r="U18" s="251"/>
      <c r="V18" s="249"/>
    </row>
    <row r="19" spans="2:22" x14ac:dyDescent="0.3">
      <c r="B19" s="515" t="str">
        <f>Data!B15</f>
        <v>Empty</v>
      </c>
      <c r="C19" s="515" t="str">
        <f>Data!C15</f>
        <v/>
      </c>
      <c r="D19" s="515" t="str">
        <f>Data!D15</f>
        <v/>
      </c>
      <c r="E19" s="515" t="str">
        <f>Data!E15</f>
        <v/>
      </c>
      <c r="F19" s="509">
        <f>Data!K15</f>
        <v>0</v>
      </c>
      <c r="G19" s="509">
        <f>Data!K40</f>
        <v>0</v>
      </c>
      <c r="H19" s="504">
        <f>Data!M15</f>
        <v>0</v>
      </c>
      <c r="I19" s="504">
        <f>Data!M40</f>
        <v>0</v>
      </c>
      <c r="J19" s="504" t="str">
        <f>Data!L15</f>
        <v>n/a</v>
      </c>
      <c r="K19" s="504" t="str">
        <f>Data!L40</f>
        <v>n/a</v>
      </c>
      <c r="L19" s="504">
        <f>Data!N15</f>
        <v>0</v>
      </c>
      <c r="M19" s="504">
        <f>Data!N40</f>
        <v>0</v>
      </c>
      <c r="N19" s="504">
        <f>Data!O40</f>
        <v>0</v>
      </c>
      <c r="O19" s="509">
        <f>Data!P40</f>
        <v>0</v>
      </c>
      <c r="P19" s="509">
        <f>Data!Q40</f>
        <v>0</v>
      </c>
      <c r="Q19" s="509">
        <f>Data!R40</f>
        <v>0</v>
      </c>
      <c r="R19" s="516" t="str">
        <f>Data!S40</f>
        <v>n/a</v>
      </c>
      <c r="S19" s="517" t="str">
        <f>Data!T40</f>
        <v>n/a</v>
      </c>
      <c r="U19" s="251"/>
      <c r="V19" s="249"/>
    </row>
    <row r="20" spans="2:22" x14ac:dyDescent="0.3">
      <c r="B20" s="515" t="str">
        <f>Data!B16</f>
        <v>Empty</v>
      </c>
      <c r="C20" s="515" t="str">
        <f>Data!C16</f>
        <v/>
      </c>
      <c r="D20" s="515" t="str">
        <f>Data!D16</f>
        <v/>
      </c>
      <c r="E20" s="515" t="str">
        <f>Data!E16</f>
        <v/>
      </c>
      <c r="F20" s="509">
        <f>Data!K16</f>
        <v>0</v>
      </c>
      <c r="G20" s="509">
        <f>Data!K41</f>
        <v>0</v>
      </c>
      <c r="H20" s="504">
        <f>Data!M16</f>
        <v>0</v>
      </c>
      <c r="I20" s="504">
        <f>Data!M41</f>
        <v>0</v>
      </c>
      <c r="J20" s="504" t="str">
        <f>Data!L16</f>
        <v>n/a</v>
      </c>
      <c r="K20" s="504" t="str">
        <f>Data!L41</f>
        <v>n/a</v>
      </c>
      <c r="L20" s="504">
        <f>Data!N16</f>
        <v>0</v>
      </c>
      <c r="M20" s="504">
        <f>Data!N41</f>
        <v>0</v>
      </c>
      <c r="N20" s="504">
        <f>Data!O41</f>
        <v>0</v>
      </c>
      <c r="O20" s="509">
        <f>Data!P41</f>
        <v>0</v>
      </c>
      <c r="P20" s="509">
        <f>Data!Q41</f>
        <v>0</v>
      </c>
      <c r="Q20" s="509">
        <f>Data!R41</f>
        <v>0</v>
      </c>
      <c r="R20" s="516" t="str">
        <f>Data!S41</f>
        <v>n/a</v>
      </c>
      <c r="S20" s="517" t="str">
        <f>Data!T41</f>
        <v>n/a</v>
      </c>
      <c r="U20" s="251"/>
      <c r="V20" s="249"/>
    </row>
    <row r="21" spans="2:22" x14ac:dyDescent="0.3">
      <c r="B21" s="515" t="str">
        <f>Data!B17</f>
        <v>Empty</v>
      </c>
      <c r="C21" s="515" t="str">
        <f>Data!C17</f>
        <v/>
      </c>
      <c r="D21" s="515" t="str">
        <f>Data!D17</f>
        <v/>
      </c>
      <c r="E21" s="515" t="str">
        <f>Data!E17</f>
        <v/>
      </c>
      <c r="F21" s="509">
        <f>Data!K17</f>
        <v>0</v>
      </c>
      <c r="G21" s="509">
        <f>Data!K42</f>
        <v>0</v>
      </c>
      <c r="H21" s="504">
        <f>Data!M17</f>
        <v>0</v>
      </c>
      <c r="I21" s="504">
        <f>Data!M42</f>
        <v>0</v>
      </c>
      <c r="J21" s="504" t="str">
        <f>Data!L17</f>
        <v>n/a</v>
      </c>
      <c r="K21" s="504" t="str">
        <f>Data!L42</f>
        <v>n/a</v>
      </c>
      <c r="L21" s="504">
        <f>Data!N17</f>
        <v>0</v>
      </c>
      <c r="M21" s="504">
        <f>Data!N42</f>
        <v>0</v>
      </c>
      <c r="N21" s="504">
        <f>Data!O42</f>
        <v>0</v>
      </c>
      <c r="O21" s="509">
        <f>Data!P42</f>
        <v>0</v>
      </c>
      <c r="P21" s="509">
        <f>Data!Q42</f>
        <v>0</v>
      </c>
      <c r="Q21" s="509">
        <f>Data!R42</f>
        <v>0</v>
      </c>
      <c r="R21" s="516" t="str">
        <f>Data!S42</f>
        <v>n/a</v>
      </c>
      <c r="S21" s="517" t="str">
        <f>Data!T42</f>
        <v>n/a</v>
      </c>
      <c r="U21" s="251"/>
      <c r="V21" s="249"/>
    </row>
    <row r="22" spans="2:22" x14ac:dyDescent="0.3">
      <c r="B22" s="515" t="str">
        <f>Data!B18</f>
        <v>Empty</v>
      </c>
      <c r="C22" s="515" t="str">
        <f>Data!C18</f>
        <v/>
      </c>
      <c r="D22" s="515" t="str">
        <f>Data!D18</f>
        <v/>
      </c>
      <c r="E22" s="515" t="str">
        <f>Data!E18</f>
        <v/>
      </c>
      <c r="F22" s="509">
        <f>Data!K18</f>
        <v>0</v>
      </c>
      <c r="G22" s="509">
        <f>Data!K43</f>
        <v>0</v>
      </c>
      <c r="H22" s="504">
        <f>Data!M18</f>
        <v>0</v>
      </c>
      <c r="I22" s="504">
        <f>Data!M43</f>
        <v>0</v>
      </c>
      <c r="J22" s="504" t="str">
        <f>Data!L18</f>
        <v>n/a</v>
      </c>
      <c r="K22" s="504" t="str">
        <f>Data!L43</f>
        <v>n/a</v>
      </c>
      <c r="L22" s="504">
        <f>Data!N18</f>
        <v>0</v>
      </c>
      <c r="M22" s="504">
        <f>Data!N43</f>
        <v>0</v>
      </c>
      <c r="N22" s="504">
        <f>Data!O43</f>
        <v>0</v>
      </c>
      <c r="O22" s="509">
        <f>Data!P43</f>
        <v>0</v>
      </c>
      <c r="P22" s="509">
        <f>Data!Q43</f>
        <v>0</v>
      </c>
      <c r="Q22" s="509">
        <f>Data!R43</f>
        <v>0</v>
      </c>
      <c r="R22" s="516" t="str">
        <f>Data!S43</f>
        <v>n/a</v>
      </c>
      <c r="S22" s="517" t="str">
        <f>Data!T43</f>
        <v>n/a</v>
      </c>
      <c r="U22" s="251"/>
      <c r="V22" s="249"/>
    </row>
    <row r="23" spans="2:22" x14ac:dyDescent="0.3">
      <c r="B23" s="515" t="str">
        <f>Data!B19</f>
        <v>Empty</v>
      </c>
      <c r="C23" s="515" t="str">
        <f>Data!C19</f>
        <v/>
      </c>
      <c r="D23" s="515" t="str">
        <f>Data!D19</f>
        <v/>
      </c>
      <c r="E23" s="515" t="str">
        <f>Data!E19</f>
        <v/>
      </c>
      <c r="F23" s="509">
        <f>Data!K19</f>
        <v>0</v>
      </c>
      <c r="G23" s="509">
        <f>Data!K44</f>
        <v>0</v>
      </c>
      <c r="H23" s="504">
        <f>Data!M19</f>
        <v>0</v>
      </c>
      <c r="I23" s="504">
        <f>Data!M44</f>
        <v>0</v>
      </c>
      <c r="J23" s="504" t="str">
        <f>Data!L19</f>
        <v>n/a</v>
      </c>
      <c r="K23" s="504" t="str">
        <f>Data!L44</f>
        <v>n/a</v>
      </c>
      <c r="L23" s="504">
        <f>Data!N19</f>
        <v>0</v>
      </c>
      <c r="M23" s="504">
        <f>Data!N44</f>
        <v>0</v>
      </c>
      <c r="N23" s="504">
        <f>Data!O44</f>
        <v>0</v>
      </c>
      <c r="O23" s="509">
        <f>Data!P44</f>
        <v>0</v>
      </c>
      <c r="P23" s="509">
        <f>Data!Q44</f>
        <v>0</v>
      </c>
      <c r="Q23" s="509">
        <f>Data!R44</f>
        <v>0</v>
      </c>
      <c r="R23" s="516" t="str">
        <f>Data!S44</f>
        <v>n/a</v>
      </c>
      <c r="S23" s="517" t="str">
        <f>Data!T44</f>
        <v>n/a</v>
      </c>
      <c r="U23" s="251"/>
      <c r="V23" s="249"/>
    </row>
    <row r="24" spans="2:22" x14ac:dyDescent="0.3">
      <c r="B24" s="515" t="str">
        <f>Data!B20</f>
        <v>Empty</v>
      </c>
      <c r="C24" s="515" t="str">
        <f>Data!C20</f>
        <v/>
      </c>
      <c r="D24" s="515" t="str">
        <f>Data!D20</f>
        <v/>
      </c>
      <c r="E24" s="515" t="str">
        <f>Data!E20</f>
        <v/>
      </c>
      <c r="F24" s="509">
        <f>Data!K20</f>
        <v>0</v>
      </c>
      <c r="G24" s="509">
        <f>Data!K45</f>
        <v>0</v>
      </c>
      <c r="H24" s="504">
        <f>Data!M20</f>
        <v>0</v>
      </c>
      <c r="I24" s="504">
        <f>Data!M45</f>
        <v>0</v>
      </c>
      <c r="J24" s="504" t="str">
        <f>Data!L20</f>
        <v>n/a</v>
      </c>
      <c r="K24" s="504" t="str">
        <f>Data!L45</f>
        <v>n/a</v>
      </c>
      <c r="L24" s="504">
        <f>Data!N20</f>
        <v>0</v>
      </c>
      <c r="M24" s="504">
        <f>Data!N45</f>
        <v>0</v>
      </c>
      <c r="N24" s="504">
        <f>Data!O45</f>
        <v>0</v>
      </c>
      <c r="O24" s="509">
        <f>Data!P45</f>
        <v>0</v>
      </c>
      <c r="P24" s="509">
        <f>Data!Q45</f>
        <v>0</v>
      </c>
      <c r="Q24" s="509">
        <f>Data!R45</f>
        <v>0</v>
      </c>
      <c r="R24" s="516" t="str">
        <f>Data!S45</f>
        <v>n/a</v>
      </c>
      <c r="S24" s="517" t="str">
        <f>Data!T45</f>
        <v>n/a</v>
      </c>
      <c r="U24" s="251"/>
      <c r="V24" s="249"/>
    </row>
    <row r="25" spans="2:22" x14ac:dyDescent="0.3">
      <c r="B25" s="515" t="str">
        <f>Data!B21</f>
        <v>Empty</v>
      </c>
      <c r="C25" s="515" t="str">
        <f>Data!C21</f>
        <v/>
      </c>
      <c r="D25" s="515" t="str">
        <f>Data!D21</f>
        <v/>
      </c>
      <c r="E25" s="515" t="str">
        <f>Data!E21</f>
        <v/>
      </c>
      <c r="F25" s="509">
        <f>Data!K21</f>
        <v>0</v>
      </c>
      <c r="G25" s="509">
        <f>Data!K46</f>
        <v>0</v>
      </c>
      <c r="H25" s="504">
        <f>Data!M21</f>
        <v>0</v>
      </c>
      <c r="I25" s="504">
        <f>Data!M46</f>
        <v>0</v>
      </c>
      <c r="J25" s="504" t="str">
        <f>Data!L21</f>
        <v>n/a</v>
      </c>
      <c r="K25" s="504" t="str">
        <f>Data!L46</f>
        <v>n/a</v>
      </c>
      <c r="L25" s="504">
        <f>Data!N21</f>
        <v>0</v>
      </c>
      <c r="M25" s="504">
        <f>Data!N46</f>
        <v>0</v>
      </c>
      <c r="N25" s="504">
        <f>Data!O46</f>
        <v>0</v>
      </c>
      <c r="O25" s="509">
        <f>Data!P46</f>
        <v>0</v>
      </c>
      <c r="P25" s="509">
        <f>Data!Q46</f>
        <v>0</v>
      </c>
      <c r="Q25" s="509">
        <f>Data!R46</f>
        <v>0</v>
      </c>
      <c r="R25" s="516" t="str">
        <f>Data!S46</f>
        <v>n/a</v>
      </c>
      <c r="S25" s="517" t="str">
        <f>Data!T46</f>
        <v>n/a</v>
      </c>
      <c r="U25" s="251"/>
      <c r="V25" s="249"/>
    </row>
    <row r="26" spans="2:22" x14ac:dyDescent="0.3">
      <c r="B26" s="515" t="str">
        <f>Data!B22</f>
        <v>Empty</v>
      </c>
      <c r="C26" s="515" t="str">
        <f>Data!C22</f>
        <v/>
      </c>
      <c r="D26" s="515" t="str">
        <f>Data!D22</f>
        <v/>
      </c>
      <c r="E26" s="515" t="str">
        <f>Data!E22</f>
        <v/>
      </c>
      <c r="F26" s="509">
        <f>Data!K22</f>
        <v>0</v>
      </c>
      <c r="G26" s="509">
        <f>Data!K47</f>
        <v>0</v>
      </c>
      <c r="H26" s="504">
        <f>Data!M22</f>
        <v>0</v>
      </c>
      <c r="I26" s="504">
        <f>Data!M47</f>
        <v>0</v>
      </c>
      <c r="J26" s="504" t="str">
        <f>Data!L22</f>
        <v>n/a</v>
      </c>
      <c r="K26" s="504" t="str">
        <f>Data!L47</f>
        <v>n/a</v>
      </c>
      <c r="L26" s="504">
        <f>Data!N22</f>
        <v>0</v>
      </c>
      <c r="M26" s="504">
        <f>Data!N47</f>
        <v>0</v>
      </c>
      <c r="N26" s="504">
        <f>Data!O47</f>
        <v>0</v>
      </c>
      <c r="O26" s="509">
        <f>Data!P47</f>
        <v>0</v>
      </c>
      <c r="P26" s="509">
        <f>Data!Q47</f>
        <v>0</v>
      </c>
      <c r="Q26" s="509">
        <f>Data!R47</f>
        <v>0</v>
      </c>
      <c r="R26" s="516" t="str">
        <f>Data!S47</f>
        <v>n/a</v>
      </c>
      <c r="S26" s="517" t="str">
        <f>Data!T47</f>
        <v>n/a</v>
      </c>
      <c r="U26" s="251"/>
      <c r="V26" s="249"/>
    </row>
    <row r="27" spans="2:22" x14ac:dyDescent="0.3">
      <c r="B27" s="515" t="str">
        <f>Data!B23</f>
        <v>Empty</v>
      </c>
      <c r="C27" s="515" t="str">
        <f>Data!C23</f>
        <v/>
      </c>
      <c r="D27" s="515" t="str">
        <f>Data!D23</f>
        <v/>
      </c>
      <c r="E27" s="515" t="str">
        <f>Data!E23</f>
        <v/>
      </c>
      <c r="F27" s="509">
        <f>Data!K23</f>
        <v>0</v>
      </c>
      <c r="G27" s="509">
        <f>Data!K48</f>
        <v>0</v>
      </c>
      <c r="H27" s="504">
        <f>Data!M23</f>
        <v>0</v>
      </c>
      <c r="I27" s="504">
        <f>Data!M48</f>
        <v>0</v>
      </c>
      <c r="J27" s="504" t="str">
        <f>Data!L23</f>
        <v>n/a</v>
      </c>
      <c r="K27" s="504" t="str">
        <f>Data!L48</f>
        <v>n/a</v>
      </c>
      <c r="L27" s="504">
        <f>Data!N23</f>
        <v>0</v>
      </c>
      <c r="M27" s="504">
        <f>Data!N48</f>
        <v>0</v>
      </c>
      <c r="N27" s="504">
        <f>Data!O48</f>
        <v>0</v>
      </c>
      <c r="O27" s="509">
        <f>Data!P48</f>
        <v>0</v>
      </c>
      <c r="P27" s="509">
        <f>Data!Q48</f>
        <v>0</v>
      </c>
      <c r="Q27" s="509">
        <f>Data!R48</f>
        <v>0</v>
      </c>
      <c r="R27" s="516" t="str">
        <f>Data!S48</f>
        <v>n/a</v>
      </c>
      <c r="S27" s="517" t="str">
        <f>Data!T48</f>
        <v>n/a</v>
      </c>
      <c r="U27" s="251"/>
      <c r="V27" s="249"/>
    </row>
  </sheetData>
  <sheetProtection password="C925" sheet="1" objects="1" scenarios="1" formatColumns="0" formatRows="0"/>
  <mergeCells count="7">
    <mergeCell ref="B2:S2"/>
    <mergeCell ref="B4:S4"/>
    <mergeCell ref="F6:G6"/>
    <mergeCell ref="H6:I6"/>
    <mergeCell ref="L6:M6"/>
    <mergeCell ref="J6:K6"/>
    <mergeCell ref="N6:S6"/>
  </mergeCells>
  <pageMargins left="0.5" right="0.5" top="0.75" bottom="0.75" header="0.3" footer="0.3"/>
  <pageSetup scale="95" orientation="landscape" r:id="rId1"/>
  <colBreaks count="2" manualBreakCount="2">
    <brk id="5" max="1048575" man="1"/>
    <brk id="13" min="1" max="26"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U44"/>
  <sheetViews>
    <sheetView showGridLines="0" showRowColHeaders="0" zoomScale="110" zoomScaleNormal="110" workbookViewId="0">
      <pane ySplit="2" topLeftCell="A5" activePane="bottomLeft" state="frozen"/>
      <selection pane="bottomLeft" activeCell="H8" sqref="H8:H11"/>
    </sheetView>
  </sheetViews>
  <sheetFormatPr defaultColWidth="9.1796875" defaultRowHeight="13" x14ac:dyDescent="0.3"/>
  <cols>
    <col min="1" max="1" width="1" style="2" customWidth="1"/>
    <col min="2" max="2" width="4" style="2" customWidth="1"/>
    <col min="3" max="3" width="36.26953125" style="2" bestFit="1" customWidth="1"/>
    <col min="4" max="4" width="21.81640625" style="2" customWidth="1"/>
    <col min="5" max="5" width="1.7265625" style="2" customWidth="1"/>
    <col min="6" max="9" width="13.7265625" style="2" customWidth="1"/>
    <col min="10" max="10" width="1.7265625" style="2" customWidth="1"/>
    <col min="11" max="14" width="10.7265625" style="2" customWidth="1"/>
    <col min="15" max="15" width="1.7265625" style="2" customWidth="1"/>
    <col min="16" max="19" width="10.7265625" style="2" customWidth="1"/>
    <col min="20" max="20" width="3.453125" style="2" customWidth="1"/>
    <col min="21" max="21" width="3.1796875" style="2" customWidth="1"/>
    <col min="22" max="22" width="1" style="2" customWidth="1"/>
    <col min="23" max="16384" width="9.1796875" style="2"/>
  </cols>
  <sheetData>
    <row r="1" spans="2:21" ht="5.15" customHeight="1" thickBot="1" x14ac:dyDescent="0.35"/>
    <row r="2" spans="2:21" ht="38.25" customHeight="1" x14ac:dyDescent="0.3">
      <c r="B2" s="674" t="s">
        <v>679</v>
      </c>
      <c r="C2" s="674"/>
      <c r="D2" s="674"/>
      <c r="E2" s="674"/>
      <c r="F2" s="674"/>
      <c r="G2" s="674"/>
      <c r="H2" s="674"/>
      <c r="I2" s="674"/>
      <c r="J2" s="674"/>
      <c r="K2" s="674"/>
      <c r="L2" s="674"/>
      <c r="M2" s="674"/>
      <c r="N2" s="674"/>
      <c r="O2" s="674"/>
      <c r="P2" s="674"/>
      <c r="Q2" s="674"/>
      <c r="R2" s="674"/>
      <c r="S2" s="674"/>
      <c r="T2" s="674"/>
      <c r="U2" s="674"/>
    </row>
    <row r="3" spans="2:21" x14ac:dyDescent="0.3">
      <c r="B3" s="459"/>
      <c r="C3" s="351"/>
      <c r="D3" s="351"/>
      <c r="E3" s="351"/>
      <c r="F3" s="351"/>
      <c r="G3" s="351"/>
      <c r="H3" s="351"/>
      <c r="I3" s="351"/>
      <c r="J3" s="351"/>
      <c r="K3" s="351"/>
      <c r="L3" s="351"/>
      <c r="M3" s="351"/>
      <c r="N3" s="351"/>
      <c r="O3" s="351"/>
      <c r="P3" s="351"/>
      <c r="Q3" s="351"/>
      <c r="R3" s="351"/>
      <c r="S3" s="351"/>
      <c r="T3" s="351"/>
      <c r="U3" s="460"/>
    </row>
    <row r="4" spans="2:21" x14ac:dyDescent="0.3">
      <c r="B4" s="3"/>
      <c r="U4" s="4"/>
    </row>
    <row r="5" spans="2:21" ht="16" thickBot="1" x14ac:dyDescent="0.4">
      <c r="B5" s="3"/>
      <c r="F5" s="685" t="s">
        <v>680</v>
      </c>
      <c r="G5" s="685"/>
      <c r="H5" s="685"/>
      <c r="I5" s="685"/>
      <c r="K5" s="685" t="str">
        <f>"Annual Net Energy Savings ("&amp;Energy_1&amp;")"</f>
        <v>Annual Net Energy Savings (Therms)</v>
      </c>
      <c r="L5" s="685"/>
      <c r="M5" s="685"/>
      <c r="N5" s="685"/>
      <c r="P5" s="685" t="str">
        <f>"Annual Net Demand Savings ("&amp;Demand_1&amp;")"</f>
        <v>Annual Net Demand Savings (Therms)</v>
      </c>
      <c r="Q5" s="685"/>
      <c r="R5" s="685"/>
      <c r="S5" s="685"/>
      <c r="U5" s="4"/>
    </row>
    <row r="6" spans="2:21" x14ac:dyDescent="0.3">
      <c r="B6" s="3"/>
      <c r="F6" s="686">
        <f>Titles!F2-1</f>
        <v>2023</v>
      </c>
      <c r="G6" s="687"/>
      <c r="H6" s="686">
        <f>F6+1</f>
        <v>2024</v>
      </c>
      <c r="I6" s="687"/>
      <c r="K6" s="686">
        <f>F6</f>
        <v>2023</v>
      </c>
      <c r="L6" s="687"/>
      <c r="M6" s="686">
        <f>H6</f>
        <v>2024</v>
      </c>
      <c r="N6" s="687"/>
      <c r="P6" s="686">
        <f>K6</f>
        <v>2023</v>
      </c>
      <c r="Q6" s="687"/>
      <c r="R6" s="686">
        <f>M6</f>
        <v>2024</v>
      </c>
      <c r="S6" s="687"/>
      <c r="U6" s="4"/>
    </row>
    <row r="7" spans="2:21" ht="12.75" customHeight="1" thickBot="1" x14ac:dyDescent="0.4">
      <c r="B7" s="8"/>
      <c r="C7" s="9" t="s">
        <v>85</v>
      </c>
      <c r="D7" s="9" t="s">
        <v>86</v>
      </c>
      <c r="E7" s="9"/>
      <c r="F7" s="133" t="s">
        <v>329</v>
      </c>
      <c r="G7" s="134" t="s">
        <v>330</v>
      </c>
      <c r="H7" s="133" t="s">
        <v>329</v>
      </c>
      <c r="I7" s="134" t="s">
        <v>330</v>
      </c>
      <c r="J7" s="9"/>
      <c r="K7" s="133" t="s">
        <v>331</v>
      </c>
      <c r="L7" s="134" t="s">
        <v>332</v>
      </c>
      <c r="M7" s="133" t="s">
        <v>331</v>
      </c>
      <c r="N7" s="134" t="s">
        <v>332</v>
      </c>
      <c r="O7" s="9"/>
      <c r="P7" s="133" t="s">
        <v>331</v>
      </c>
      <c r="Q7" s="134" t="s">
        <v>332</v>
      </c>
      <c r="R7" s="133" t="s">
        <v>331</v>
      </c>
      <c r="S7" s="134" t="s">
        <v>332</v>
      </c>
      <c r="T7" s="9"/>
      <c r="U7" s="4"/>
    </row>
    <row r="8" spans="2:21" ht="12.75" customHeight="1" x14ac:dyDescent="0.35">
      <c r="B8" s="276">
        <v>1</v>
      </c>
      <c r="C8" s="277" t="str">
        <f>'Program Descriptions'!C5</f>
        <v>Commercial &amp; Industrial Solutions Program</v>
      </c>
      <c r="D8" s="277" t="str">
        <f>IF(ISBLANK('Program Descriptions'!E5),"",'Program Descriptions'!E5)</f>
        <v>Commercial &amp; Industrial</v>
      </c>
      <c r="E8" s="277"/>
      <c r="F8" s="202">
        <f>'Prior Year Progam'!H9</f>
        <v>1552279</v>
      </c>
      <c r="G8" s="214">
        <f>'Prior Year Progam'!I9</f>
        <v>1674089.2699999998</v>
      </c>
      <c r="H8" s="202">
        <f>Data!K4</f>
        <v>1425147.99</v>
      </c>
      <c r="I8" s="203">
        <f>Data!K29</f>
        <v>1391947.99</v>
      </c>
      <c r="J8" s="9"/>
      <c r="K8" s="208">
        <f>'Prior Year Progam'!M9</f>
        <v>723540</v>
      </c>
      <c r="L8" s="216">
        <f>'Prior Year Progam'!N9</f>
        <v>792445</v>
      </c>
      <c r="M8" s="208">
        <f>Data!M4</f>
        <v>620044</v>
      </c>
      <c r="N8" s="209">
        <f>Data!M29</f>
        <v>647132</v>
      </c>
      <c r="O8" s="9"/>
      <c r="P8" s="208">
        <f>'Prior Year Progam'!R9</f>
        <v>0</v>
      </c>
      <c r="Q8" s="216">
        <f>'Prior Year Progam'!S9</f>
        <v>0</v>
      </c>
      <c r="R8" s="208" t="str">
        <f>Data!L4</f>
        <v>n/a</v>
      </c>
      <c r="S8" s="209" t="str">
        <f>Data!L29</f>
        <v>n/a</v>
      </c>
      <c r="T8" s="9"/>
      <c r="U8" s="4"/>
    </row>
    <row r="9" spans="2:21" ht="12.75" customHeight="1" x14ac:dyDescent="0.35">
      <c r="B9" s="276">
        <v>2</v>
      </c>
      <c r="C9" s="277" t="str">
        <f>'Program Descriptions'!C6</f>
        <v>Energy Efficiency Arkansas</v>
      </c>
      <c r="D9" s="277" t="str">
        <f>IF(ISBLANK('Program Descriptions'!E6),"",'Program Descriptions'!E6)</f>
        <v>All Classes</v>
      </c>
      <c r="E9" s="277"/>
      <c r="F9" s="204">
        <f>'Prior Year Progam'!H10</f>
        <v>56317</v>
      </c>
      <c r="G9" s="518">
        <f>'Prior Year Progam'!I10</f>
        <v>600</v>
      </c>
      <c r="H9" s="204">
        <f>Data!K5</f>
        <v>0</v>
      </c>
      <c r="I9" s="205">
        <f>Data!K30</f>
        <v>0</v>
      </c>
      <c r="J9" s="9"/>
      <c r="K9" s="210">
        <f>'Prior Year Progam'!M10</f>
        <v>0</v>
      </c>
      <c r="L9" s="519">
        <f>'Prior Year Progam'!N10</f>
        <v>0</v>
      </c>
      <c r="M9" s="210">
        <f>Data!M5</f>
        <v>0</v>
      </c>
      <c r="N9" s="211">
        <f>Data!M30</f>
        <v>0</v>
      </c>
      <c r="O9" s="9"/>
      <c r="P9" s="210">
        <f>'Prior Year Progam'!R10</f>
        <v>0</v>
      </c>
      <c r="Q9" s="519">
        <f>'Prior Year Progam'!S10</f>
        <v>0</v>
      </c>
      <c r="R9" s="210" t="str">
        <f>Data!L5</f>
        <v>n/a</v>
      </c>
      <c r="S9" s="211" t="str">
        <f>Data!L30</f>
        <v>n/a</v>
      </c>
      <c r="T9" s="9"/>
      <c r="U9" s="4"/>
    </row>
    <row r="10" spans="2:21" ht="12.75" customHeight="1" x14ac:dyDescent="0.35">
      <c r="B10" s="276">
        <v>3</v>
      </c>
      <c r="C10" s="277" t="str">
        <f>'Program Descriptions'!C7</f>
        <v>Residential Solution Program</v>
      </c>
      <c r="D10" s="277" t="str">
        <f>IF(ISBLANK('Program Descriptions'!E7),"",'Program Descriptions'!E7)</f>
        <v>Residential</v>
      </c>
      <c r="E10" s="277"/>
      <c r="F10" s="204">
        <f>'Prior Year Progam'!H11</f>
        <v>2699719</v>
      </c>
      <c r="G10" s="518">
        <f>'Prior Year Progam'!I11</f>
        <v>2688538.1900000004</v>
      </c>
      <c r="H10" s="204">
        <f>Data!K6</f>
        <v>2504889.75</v>
      </c>
      <c r="I10" s="205">
        <f>Data!K31</f>
        <v>2391297.14</v>
      </c>
      <c r="J10" s="9"/>
      <c r="K10" s="210">
        <f>'Prior Year Progam'!M11</f>
        <v>755139</v>
      </c>
      <c r="L10" s="519">
        <f>'Prior Year Progam'!N11</f>
        <v>726434</v>
      </c>
      <c r="M10" s="210">
        <f>Data!M6</f>
        <v>620027</v>
      </c>
      <c r="N10" s="211">
        <f>Data!M31</f>
        <v>651784</v>
      </c>
      <c r="O10" s="9"/>
      <c r="P10" s="210">
        <f>'Prior Year Progam'!R11</f>
        <v>0</v>
      </c>
      <c r="Q10" s="519">
        <f>'Prior Year Progam'!S11</f>
        <v>0</v>
      </c>
      <c r="R10" s="210" t="str">
        <f>Data!L6</f>
        <v>n/a</v>
      </c>
      <c r="S10" s="211" t="str">
        <f>Data!L31</f>
        <v>n/a</v>
      </c>
      <c r="T10" s="9"/>
      <c r="U10" s="4"/>
    </row>
    <row r="11" spans="2:21" ht="12.75" customHeight="1" x14ac:dyDescent="0.35">
      <c r="B11" s="276">
        <v>4</v>
      </c>
      <c r="C11" s="277" t="str">
        <f>'Program Descriptions'!C8</f>
        <v>Income Qualified Program</v>
      </c>
      <c r="D11" s="277" t="str">
        <f>IF(ISBLANK('Program Descriptions'!E8),"",'Program Descriptions'!E8)</f>
        <v>Residential</v>
      </c>
      <c r="E11" s="277"/>
      <c r="F11" s="204">
        <f>'Prior Year Progam'!H12</f>
        <v>87959</v>
      </c>
      <c r="G11" s="518">
        <f>'Prior Year Progam'!I12</f>
        <v>86236.41</v>
      </c>
      <c r="H11" s="204">
        <f>Data!K7</f>
        <v>211894.8</v>
      </c>
      <c r="I11" s="205">
        <f>Data!K32</f>
        <v>168628.37</v>
      </c>
      <c r="J11" s="9"/>
      <c r="K11" s="210">
        <f>'Prior Year Progam'!M12</f>
        <v>31698</v>
      </c>
      <c r="L11" s="519">
        <f>'Prior Year Progam'!N12</f>
        <v>24150</v>
      </c>
      <c r="M11" s="210">
        <f>Data!M7</f>
        <v>51718</v>
      </c>
      <c r="N11" s="211">
        <f>Data!M32</f>
        <v>51497</v>
      </c>
      <c r="O11" s="9"/>
      <c r="P11" s="210">
        <f>'Prior Year Progam'!R12</f>
        <v>0</v>
      </c>
      <c r="Q11" s="519">
        <f>'Prior Year Progam'!S12</f>
        <v>0</v>
      </c>
      <c r="R11" s="210" t="str">
        <f>Data!L7</f>
        <v>n/a</v>
      </c>
      <c r="S11" s="211" t="str">
        <f>Data!L32</f>
        <v>n/a</v>
      </c>
      <c r="T11" s="9"/>
      <c r="U11" s="4"/>
    </row>
    <row r="12" spans="2:21" ht="12.75" customHeight="1" x14ac:dyDescent="0.35">
      <c r="B12" s="276">
        <v>5</v>
      </c>
      <c r="C12" s="277" t="str">
        <f>'Program Descriptions'!C9</f>
        <v>Empty</v>
      </c>
      <c r="D12" s="277" t="str">
        <f>IF(ISBLANK('Program Descriptions'!E9),"",'Program Descriptions'!E9)</f>
        <v/>
      </c>
      <c r="E12" s="277"/>
      <c r="F12" s="204">
        <f>'Prior Year Progam'!H13</f>
        <v>0</v>
      </c>
      <c r="G12" s="518">
        <f>'Prior Year Progam'!I13</f>
        <v>0</v>
      </c>
      <c r="H12" s="204">
        <f>Data!K8</f>
        <v>0</v>
      </c>
      <c r="I12" s="205">
        <f>Data!K33</f>
        <v>0</v>
      </c>
      <c r="J12" s="9"/>
      <c r="K12" s="210">
        <f>'Prior Year Progam'!M13</f>
        <v>0</v>
      </c>
      <c r="L12" s="519">
        <f>'Prior Year Progam'!N13</f>
        <v>0</v>
      </c>
      <c r="M12" s="210">
        <f>Data!M8</f>
        <v>0</v>
      </c>
      <c r="N12" s="211">
        <f>Data!M33</f>
        <v>0</v>
      </c>
      <c r="O12" s="9"/>
      <c r="P12" s="210">
        <f>'Prior Year Progam'!R13</f>
        <v>0</v>
      </c>
      <c r="Q12" s="519">
        <f>'Prior Year Progam'!S13</f>
        <v>0</v>
      </c>
      <c r="R12" s="210" t="str">
        <f>Data!L8</f>
        <v>n/a</v>
      </c>
      <c r="S12" s="211" t="str">
        <f>Data!L33</f>
        <v>n/a</v>
      </c>
      <c r="T12" s="9"/>
      <c r="U12" s="4"/>
    </row>
    <row r="13" spans="2:21" ht="12.75" customHeight="1" x14ac:dyDescent="0.35">
      <c r="B13" s="276">
        <v>6</v>
      </c>
      <c r="C13" s="277" t="str">
        <f>'Program Descriptions'!C10</f>
        <v>Empty</v>
      </c>
      <c r="D13" s="277" t="str">
        <f>IF(ISBLANK('Program Descriptions'!E10),"",'Program Descriptions'!E10)</f>
        <v/>
      </c>
      <c r="E13" s="277"/>
      <c r="F13" s="204">
        <f>'Prior Year Progam'!H14</f>
        <v>0</v>
      </c>
      <c r="G13" s="518">
        <f>'Prior Year Progam'!I14</f>
        <v>0</v>
      </c>
      <c r="H13" s="204">
        <f>Data!K9</f>
        <v>0</v>
      </c>
      <c r="I13" s="205">
        <f>Data!K34</f>
        <v>0</v>
      </c>
      <c r="J13" s="9"/>
      <c r="K13" s="210">
        <f>'Prior Year Progam'!M14</f>
        <v>0</v>
      </c>
      <c r="L13" s="519">
        <f>'Prior Year Progam'!N14</f>
        <v>0</v>
      </c>
      <c r="M13" s="210">
        <f>Data!M9</f>
        <v>0</v>
      </c>
      <c r="N13" s="211">
        <f>Data!M34</f>
        <v>0</v>
      </c>
      <c r="O13" s="9"/>
      <c r="P13" s="210">
        <f>'Prior Year Progam'!R14</f>
        <v>0</v>
      </c>
      <c r="Q13" s="519">
        <f>'Prior Year Progam'!S14</f>
        <v>0</v>
      </c>
      <c r="R13" s="210" t="str">
        <f>Data!L9</f>
        <v>n/a</v>
      </c>
      <c r="S13" s="211" t="str">
        <f>Data!L34</f>
        <v>n/a</v>
      </c>
      <c r="T13" s="9"/>
      <c r="U13" s="4"/>
    </row>
    <row r="14" spans="2:21" ht="12.75" customHeight="1" x14ac:dyDescent="0.35">
      <c r="B14" s="276">
        <v>7</v>
      </c>
      <c r="C14" s="277" t="str">
        <f>'Program Descriptions'!C11</f>
        <v>Empty</v>
      </c>
      <c r="D14" s="277" t="str">
        <f>IF(ISBLANK('Program Descriptions'!E11),"",'Program Descriptions'!E11)</f>
        <v/>
      </c>
      <c r="E14" s="277"/>
      <c r="F14" s="204">
        <f>'Prior Year Progam'!H15</f>
        <v>0</v>
      </c>
      <c r="G14" s="518">
        <f>'Prior Year Progam'!I15</f>
        <v>0</v>
      </c>
      <c r="H14" s="204">
        <f>Data!K10</f>
        <v>0</v>
      </c>
      <c r="I14" s="205">
        <f>Data!K35</f>
        <v>0</v>
      </c>
      <c r="J14" s="9"/>
      <c r="K14" s="210">
        <f>'Prior Year Progam'!M15</f>
        <v>0</v>
      </c>
      <c r="L14" s="519">
        <f>'Prior Year Progam'!N15</f>
        <v>0</v>
      </c>
      <c r="M14" s="210">
        <f>Data!M10</f>
        <v>0</v>
      </c>
      <c r="N14" s="211">
        <f>Data!M35</f>
        <v>0</v>
      </c>
      <c r="O14" s="9"/>
      <c r="P14" s="210">
        <f>'Prior Year Progam'!R15</f>
        <v>0</v>
      </c>
      <c r="Q14" s="519">
        <f>'Prior Year Progam'!S15</f>
        <v>0</v>
      </c>
      <c r="R14" s="210" t="str">
        <f>Data!L10</f>
        <v>n/a</v>
      </c>
      <c r="S14" s="211" t="str">
        <f>Data!L35</f>
        <v>n/a</v>
      </c>
      <c r="T14" s="9"/>
      <c r="U14" s="4"/>
    </row>
    <row r="15" spans="2:21" ht="12.75" customHeight="1" x14ac:dyDescent="0.35">
      <c r="B15" s="276">
        <v>8</v>
      </c>
      <c r="C15" s="277" t="str">
        <f>'Program Descriptions'!C12</f>
        <v>Empty</v>
      </c>
      <c r="D15" s="277" t="str">
        <f>IF(ISBLANK('Program Descriptions'!E12),"",'Program Descriptions'!E12)</f>
        <v/>
      </c>
      <c r="E15" s="277"/>
      <c r="F15" s="204">
        <f>'Prior Year Progam'!H16</f>
        <v>0</v>
      </c>
      <c r="G15" s="518">
        <f>'Prior Year Progam'!I16</f>
        <v>0</v>
      </c>
      <c r="H15" s="204">
        <f>Data!K11</f>
        <v>0</v>
      </c>
      <c r="I15" s="205">
        <f>Data!K36</f>
        <v>0</v>
      </c>
      <c r="J15" s="9"/>
      <c r="K15" s="210">
        <f>'Prior Year Progam'!M16</f>
        <v>0</v>
      </c>
      <c r="L15" s="519">
        <f>'Prior Year Progam'!N16</f>
        <v>0</v>
      </c>
      <c r="M15" s="210">
        <f>Data!M11</f>
        <v>0</v>
      </c>
      <c r="N15" s="211">
        <f>Data!M36</f>
        <v>0</v>
      </c>
      <c r="O15" s="9"/>
      <c r="P15" s="210">
        <f>'Prior Year Progam'!R16</f>
        <v>0</v>
      </c>
      <c r="Q15" s="519">
        <f>'Prior Year Progam'!S16</f>
        <v>0</v>
      </c>
      <c r="R15" s="210" t="str">
        <f>Data!L11</f>
        <v>n/a</v>
      </c>
      <c r="S15" s="211" t="str">
        <f>Data!L36</f>
        <v>n/a</v>
      </c>
      <c r="T15" s="9"/>
      <c r="U15" s="4"/>
    </row>
    <row r="16" spans="2:21" ht="12.75" customHeight="1" x14ac:dyDescent="0.35">
      <c r="B16" s="276">
        <v>9</v>
      </c>
      <c r="C16" s="277" t="str">
        <f>'Program Descriptions'!C13</f>
        <v>Empty</v>
      </c>
      <c r="D16" s="277" t="str">
        <f>IF(ISBLANK('Program Descriptions'!E13),"",'Program Descriptions'!E13)</f>
        <v/>
      </c>
      <c r="E16" s="277"/>
      <c r="F16" s="204">
        <f>'Prior Year Progam'!H17</f>
        <v>0</v>
      </c>
      <c r="G16" s="518">
        <f>'Prior Year Progam'!I17</f>
        <v>0</v>
      </c>
      <c r="H16" s="204">
        <f>Data!K12</f>
        <v>0</v>
      </c>
      <c r="I16" s="205">
        <f>Data!K37</f>
        <v>0</v>
      </c>
      <c r="J16" s="9"/>
      <c r="K16" s="210">
        <f>'Prior Year Progam'!M17</f>
        <v>0</v>
      </c>
      <c r="L16" s="519">
        <f>'Prior Year Progam'!N17</f>
        <v>0</v>
      </c>
      <c r="M16" s="210">
        <f>Data!M12</f>
        <v>0</v>
      </c>
      <c r="N16" s="211">
        <f>Data!M37</f>
        <v>0</v>
      </c>
      <c r="O16" s="9"/>
      <c r="P16" s="210">
        <f>'Prior Year Progam'!R17</f>
        <v>0</v>
      </c>
      <c r="Q16" s="519">
        <f>'Prior Year Progam'!S17</f>
        <v>0</v>
      </c>
      <c r="R16" s="210" t="str">
        <f>Data!L12</f>
        <v>n/a</v>
      </c>
      <c r="S16" s="211" t="str">
        <f>Data!L37</f>
        <v>n/a</v>
      </c>
      <c r="T16" s="9"/>
      <c r="U16" s="4"/>
    </row>
    <row r="17" spans="2:21" ht="12.75" customHeight="1" x14ac:dyDescent="0.35">
      <c r="B17" s="276">
        <v>10</v>
      </c>
      <c r="C17" s="277" t="str">
        <f>'Program Descriptions'!C14</f>
        <v>Empty</v>
      </c>
      <c r="D17" s="277" t="str">
        <f>IF(ISBLANK('Program Descriptions'!E14),"",'Program Descriptions'!E14)</f>
        <v/>
      </c>
      <c r="E17" s="277"/>
      <c r="F17" s="204">
        <f>'Prior Year Progam'!H18</f>
        <v>0</v>
      </c>
      <c r="G17" s="518">
        <f>'Prior Year Progam'!I18</f>
        <v>0</v>
      </c>
      <c r="H17" s="204">
        <f>Data!K13</f>
        <v>0</v>
      </c>
      <c r="I17" s="205">
        <f>Data!K38</f>
        <v>0</v>
      </c>
      <c r="J17" s="9"/>
      <c r="K17" s="210">
        <f>'Prior Year Progam'!M18</f>
        <v>0</v>
      </c>
      <c r="L17" s="519">
        <f>'Prior Year Progam'!N18</f>
        <v>0</v>
      </c>
      <c r="M17" s="210">
        <f>Data!M13</f>
        <v>0</v>
      </c>
      <c r="N17" s="211">
        <f>Data!M38</f>
        <v>0</v>
      </c>
      <c r="O17" s="9"/>
      <c r="P17" s="210">
        <f>'Prior Year Progam'!R18</f>
        <v>0</v>
      </c>
      <c r="Q17" s="519">
        <f>'Prior Year Progam'!S18</f>
        <v>0</v>
      </c>
      <c r="R17" s="210" t="str">
        <f>Data!L13</f>
        <v>n/a</v>
      </c>
      <c r="S17" s="211" t="str">
        <f>Data!L38</f>
        <v>n/a</v>
      </c>
      <c r="T17" s="9"/>
      <c r="U17" s="4"/>
    </row>
    <row r="18" spans="2:21" ht="12.75" customHeight="1" x14ac:dyDescent="0.35">
      <c r="B18" s="276">
        <v>11</v>
      </c>
      <c r="C18" s="277" t="str">
        <f>'Program Descriptions'!C15</f>
        <v>Empty</v>
      </c>
      <c r="D18" s="277" t="str">
        <f>IF(ISBLANK('Program Descriptions'!E15),"",'Program Descriptions'!E15)</f>
        <v/>
      </c>
      <c r="E18" s="277"/>
      <c r="F18" s="204">
        <f>'Prior Year Progam'!H19</f>
        <v>0</v>
      </c>
      <c r="G18" s="518">
        <f>'Prior Year Progam'!I19</f>
        <v>0</v>
      </c>
      <c r="H18" s="204">
        <f>Data!K14</f>
        <v>0</v>
      </c>
      <c r="I18" s="205">
        <f>Data!K39</f>
        <v>0</v>
      </c>
      <c r="J18" s="9"/>
      <c r="K18" s="210">
        <f>'Prior Year Progam'!M19</f>
        <v>0</v>
      </c>
      <c r="L18" s="519">
        <f>'Prior Year Progam'!N19</f>
        <v>0</v>
      </c>
      <c r="M18" s="210">
        <f>Data!M14</f>
        <v>0</v>
      </c>
      <c r="N18" s="211">
        <f>Data!M39</f>
        <v>0</v>
      </c>
      <c r="O18" s="9"/>
      <c r="P18" s="210">
        <f>'Prior Year Progam'!R19</f>
        <v>0</v>
      </c>
      <c r="Q18" s="519">
        <f>'Prior Year Progam'!S19</f>
        <v>0</v>
      </c>
      <c r="R18" s="210" t="str">
        <f>Data!L14</f>
        <v>n/a</v>
      </c>
      <c r="S18" s="211" t="str">
        <f>Data!L39</f>
        <v>n/a</v>
      </c>
      <c r="T18" s="9"/>
      <c r="U18" s="4"/>
    </row>
    <row r="19" spans="2:21" ht="12.75" customHeight="1" x14ac:dyDescent="0.35">
      <c r="B19" s="276">
        <v>12</v>
      </c>
      <c r="C19" s="277" t="str">
        <f>'Program Descriptions'!C16</f>
        <v>Empty</v>
      </c>
      <c r="D19" s="277" t="str">
        <f>IF(ISBLANK('Program Descriptions'!E16),"",'Program Descriptions'!E16)</f>
        <v/>
      </c>
      <c r="E19" s="277"/>
      <c r="F19" s="204">
        <f>'Prior Year Progam'!H20</f>
        <v>0</v>
      </c>
      <c r="G19" s="518">
        <f>'Prior Year Progam'!I20</f>
        <v>0</v>
      </c>
      <c r="H19" s="204">
        <f>Data!K15</f>
        <v>0</v>
      </c>
      <c r="I19" s="205">
        <f>Data!K40</f>
        <v>0</v>
      </c>
      <c r="J19" s="9"/>
      <c r="K19" s="210">
        <f>'Prior Year Progam'!M20</f>
        <v>0</v>
      </c>
      <c r="L19" s="519">
        <f>'Prior Year Progam'!N20</f>
        <v>0</v>
      </c>
      <c r="M19" s="210">
        <f>Data!M15</f>
        <v>0</v>
      </c>
      <c r="N19" s="211">
        <f>Data!M40</f>
        <v>0</v>
      </c>
      <c r="O19" s="9"/>
      <c r="P19" s="210">
        <f>'Prior Year Progam'!R20</f>
        <v>0</v>
      </c>
      <c r="Q19" s="519">
        <f>'Prior Year Progam'!S20</f>
        <v>0</v>
      </c>
      <c r="R19" s="210" t="str">
        <f>Data!L15</f>
        <v>n/a</v>
      </c>
      <c r="S19" s="211" t="str">
        <f>Data!L40</f>
        <v>n/a</v>
      </c>
      <c r="T19" s="9"/>
      <c r="U19" s="4"/>
    </row>
    <row r="20" spans="2:21" ht="12.75" customHeight="1" x14ac:dyDescent="0.35">
      <c r="B20" s="276">
        <v>13</v>
      </c>
      <c r="C20" s="277" t="str">
        <f>'Program Descriptions'!C17</f>
        <v>Empty</v>
      </c>
      <c r="D20" s="277" t="str">
        <f>IF(ISBLANK('Program Descriptions'!E17),"",'Program Descriptions'!E17)</f>
        <v/>
      </c>
      <c r="E20" s="277"/>
      <c r="F20" s="204">
        <f>'Prior Year Progam'!H21</f>
        <v>0</v>
      </c>
      <c r="G20" s="518">
        <f>'Prior Year Progam'!I21</f>
        <v>0</v>
      </c>
      <c r="H20" s="204">
        <f>Data!K16</f>
        <v>0</v>
      </c>
      <c r="I20" s="205">
        <f>Data!K41</f>
        <v>0</v>
      </c>
      <c r="J20" s="9"/>
      <c r="K20" s="210">
        <f>'Prior Year Progam'!M21</f>
        <v>0</v>
      </c>
      <c r="L20" s="519">
        <f>'Prior Year Progam'!N21</f>
        <v>0</v>
      </c>
      <c r="M20" s="210">
        <f>Data!M16</f>
        <v>0</v>
      </c>
      <c r="N20" s="211">
        <f>Data!M41</f>
        <v>0</v>
      </c>
      <c r="O20" s="9"/>
      <c r="P20" s="210">
        <f>'Prior Year Progam'!R21</f>
        <v>0</v>
      </c>
      <c r="Q20" s="519">
        <f>'Prior Year Progam'!S21</f>
        <v>0</v>
      </c>
      <c r="R20" s="210" t="str">
        <f>Data!L16</f>
        <v>n/a</v>
      </c>
      <c r="S20" s="211" t="str">
        <f>Data!L41</f>
        <v>n/a</v>
      </c>
      <c r="T20" s="9"/>
      <c r="U20" s="4"/>
    </row>
    <row r="21" spans="2:21" ht="12.75" customHeight="1" x14ac:dyDescent="0.35">
      <c r="B21" s="276">
        <v>14</v>
      </c>
      <c r="C21" s="277" t="str">
        <f>'Program Descriptions'!C18</f>
        <v>Empty</v>
      </c>
      <c r="D21" s="277" t="str">
        <f>IF(ISBLANK('Program Descriptions'!E18),"",'Program Descriptions'!E18)</f>
        <v/>
      </c>
      <c r="E21" s="277"/>
      <c r="F21" s="204">
        <f>'Prior Year Progam'!H22</f>
        <v>0</v>
      </c>
      <c r="G21" s="518">
        <f>'Prior Year Progam'!I22</f>
        <v>0</v>
      </c>
      <c r="H21" s="204">
        <f>Data!K17</f>
        <v>0</v>
      </c>
      <c r="I21" s="205">
        <f>Data!K42</f>
        <v>0</v>
      </c>
      <c r="J21" s="9"/>
      <c r="K21" s="210">
        <f>'Prior Year Progam'!M22</f>
        <v>0</v>
      </c>
      <c r="L21" s="519">
        <f>'Prior Year Progam'!N22</f>
        <v>0</v>
      </c>
      <c r="M21" s="210">
        <f>Data!M17</f>
        <v>0</v>
      </c>
      <c r="N21" s="211">
        <f>Data!M42</f>
        <v>0</v>
      </c>
      <c r="O21" s="9"/>
      <c r="P21" s="210">
        <f>'Prior Year Progam'!R22</f>
        <v>0</v>
      </c>
      <c r="Q21" s="519">
        <f>'Prior Year Progam'!S22</f>
        <v>0</v>
      </c>
      <c r="R21" s="210" t="str">
        <f>Data!L17</f>
        <v>n/a</v>
      </c>
      <c r="S21" s="211" t="str">
        <f>Data!L42</f>
        <v>n/a</v>
      </c>
      <c r="T21" s="9"/>
      <c r="U21" s="4"/>
    </row>
    <row r="22" spans="2:21" ht="12.75" customHeight="1" x14ac:dyDescent="0.35">
      <c r="B22" s="276">
        <v>15</v>
      </c>
      <c r="C22" s="277" t="str">
        <f>'Program Descriptions'!C19</f>
        <v>Empty</v>
      </c>
      <c r="D22" s="277" t="str">
        <f>IF(ISBLANK('Program Descriptions'!E19),"",'Program Descriptions'!E19)</f>
        <v/>
      </c>
      <c r="E22" s="277"/>
      <c r="F22" s="204">
        <f>'Prior Year Progam'!H23</f>
        <v>0</v>
      </c>
      <c r="G22" s="518">
        <f>'Prior Year Progam'!I23</f>
        <v>0</v>
      </c>
      <c r="H22" s="204">
        <f>Data!K18</f>
        <v>0</v>
      </c>
      <c r="I22" s="205">
        <f>Data!K43</f>
        <v>0</v>
      </c>
      <c r="J22" s="9"/>
      <c r="K22" s="210">
        <f>'Prior Year Progam'!M23</f>
        <v>0</v>
      </c>
      <c r="L22" s="519">
        <f>'Prior Year Progam'!N23</f>
        <v>0</v>
      </c>
      <c r="M22" s="210">
        <f>Data!M18</f>
        <v>0</v>
      </c>
      <c r="N22" s="211">
        <f>Data!M43</f>
        <v>0</v>
      </c>
      <c r="O22" s="9"/>
      <c r="P22" s="210">
        <f>'Prior Year Progam'!R23</f>
        <v>0</v>
      </c>
      <c r="Q22" s="519">
        <f>'Prior Year Progam'!S23</f>
        <v>0</v>
      </c>
      <c r="R22" s="210" t="str">
        <f>Data!L18</f>
        <v>n/a</v>
      </c>
      <c r="S22" s="211" t="str">
        <f>Data!L43</f>
        <v>n/a</v>
      </c>
      <c r="T22" s="9"/>
      <c r="U22" s="4"/>
    </row>
    <row r="23" spans="2:21" ht="12.75" customHeight="1" x14ac:dyDescent="0.35">
      <c r="B23" s="276">
        <v>16</v>
      </c>
      <c r="C23" s="277" t="str">
        <f>'Program Descriptions'!C20</f>
        <v>Empty</v>
      </c>
      <c r="D23" s="277" t="str">
        <f>IF(ISBLANK('Program Descriptions'!E20),"",'Program Descriptions'!E20)</f>
        <v/>
      </c>
      <c r="E23" s="277"/>
      <c r="F23" s="204">
        <f>'Prior Year Progam'!H24</f>
        <v>0</v>
      </c>
      <c r="G23" s="518">
        <f>'Prior Year Progam'!I24</f>
        <v>0</v>
      </c>
      <c r="H23" s="204">
        <f>Data!K19</f>
        <v>0</v>
      </c>
      <c r="I23" s="205">
        <f>Data!K44</f>
        <v>0</v>
      </c>
      <c r="J23" s="9"/>
      <c r="K23" s="210">
        <f>'Prior Year Progam'!M24</f>
        <v>0</v>
      </c>
      <c r="L23" s="519">
        <f>'Prior Year Progam'!N24</f>
        <v>0</v>
      </c>
      <c r="M23" s="210">
        <f>Data!M19</f>
        <v>0</v>
      </c>
      <c r="N23" s="211">
        <f>Data!M44</f>
        <v>0</v>
      </c>
      <c r="O23" s="9"/>
      <c r="P23" s="210">
        <f>'Prior Year Progam'!R24</f>
        <v>0</v>
      </c>
      <c r="Q23" s="519">
        <f>'Prior Year Progam'!S24</f>
        <v>0</v>
      </c>
      <c r="R23" s="210" t="str">
        <f>Data!L19</f>
        <v>n/a</v>
      </c>
      <c r="S23" s="211" t="str">
        <f>Data!L44</f>
        <v>n/a</v>
      </c>
      <c r="T23" s="9"/>
      <c r="U23" s="4"/>
    </row>
    <row r="24" spans="2:21" ht="12.75" customHeight="1" x14ac:dyDescent="0.35">
      <c r="B24" s="276">
        <v>17</v>
      </c>
      <c r="C24" s="277" t="str">
        <f>'Program Descriptions'!C21</f>
        <v>Empty</v>
      </c>
      <c r="D24" s="277" t="str">
        <f>IF(ISBLANK('Program Descriptions'!E21),"",'Program Descriptions'!E21)</f>
        <v/>
      </c>
      <c r="E24" s="277"/>
      <c r="F24" s="204">
        <f>'Prior Year Progam'!H25</f>
        <v>0</v>
      </c>
      <c r="G24" s="518">
        <f>'Prior Year Progam'!I25</f>
        <v>0</v>
      </c>
      <c r="H24" s="204">
        <f>Data!K20</f>
        <v>0</v>
      </c>
      <c r="I24" s="205">
        <f>Data!K45</f>
        <v>0</v>
      </c>
      <c r="J24" s="9"/>
      <c r="K24" s="210">
        <f>'Prior Year Progam'!M25</f>
        <v>0</v>
      </c>
      <c r="L24" s="519">
        <f>'Prior Year Progam'!N25</f>
        <v>0</v>
      </c>
      <c r="M24" s="210">
        <f>Data!M20</f>
        <v>0</v>
      </c>
      <c r="N24" s="211">
        <f>Data!M45</f>
        <v>0</v>
      </c>
      <c r="O24" s="9"/>
      <c r="P24" s="210">
        <f>'Prior Year Progam'!R25</f>
        <v>0</v>
      </c>
      <c r="Q24" s="519">
        <f>'Prior Year Progam'!S25</f>
        <v>0</v>
      </c>
      <c r="R24" s="210" t="str">
        <f>Data!L20</f>
        <v>n/a</v>
      </c>
      <c r="S24" s="211" t="str">
        <f>Data!L45</f>
        <v>n/a</v>
      </c>
      <c r="T24" s="9"/>
      <c r="U24" s="4"/>
    </row>
    <row r="25" spans="2:21" ht="12.75" customHeight="1" x14ac:dyDescent="0.35">
      <c r="B25" s="276">
        <v>18</v>
      </c>
      <c r="C25" s="277" t="str">
        <f>'Program Descriptions'!C22</f>
        <v>Empty</v>
      </c>
      <c r="D25" s="277" t="str">
        <f>IF(ISBLANK('Program Descriptions'!E22),"",'Program Descriptions'!E22)</f>
        <v/>
      </c>
      <c r="E25" s="277"/>
      <c r="F25" s="204">
        <f>'Prior Year Progam'!H26</f>
        <v>0</v>
      </c>
      <c r="G25" s="518">
        <f>'Prior Year Progam'!I26</f>
        <v>0</v>
      </c>
      <c r="H25" s="204">
        <f>Data!K21</f>
        <v>0</v>
      </c>
      <c r="I25" s="205">
        <f>Data!K46</f>
        <v>0</v>
      </c>
      <c r="J25" s="9"/>
      <c r="K25" s="210">
        <f>'Prior Year Progam'!M26</f>
        <v>0</v>
      </c>
      <c r="L25" s="519">
        <f>'Prior Year Progam'!N26</f>
        <v>0</v>
      </c>
      <c r="M25" s="210">
        <f>Data!M21</f>
        <v>0</v>
      </c>
      <c r="N25" s="211">
        <f>Data!M46</f>
        <v>0</v>
      </c>
      <c r="O25" s="9"/>
      <c r="P25" s="210">
        <f>'Prior Year Progam'!R26</f>
        <v>0</v>
      </c>
      <c r="Q25" s="519">
        <f>'Prior Year Progam'!S26</f>
        <v>0</v>
      </c>
      <c r="R25" s="210" t="str">
        <f>Data!L21</f>
        <v>n/a</v>
      </c>
      <c r="S25" s="211" t="str">
        <f>Data!L46</f>
        <v>n/a</v>
      </c>
      <c r="T25" s="9"/>
      <c r="U25" s="4"/>
    </row>
    <row r="26" spans="2:21" ht="12.75" customHeight="1" x14ac:dyDescent="0.35">
      <c r="B26" s="276">
        <v>19</v>
      </c>
      <c r="C26" s="277" t="str">
        <f>'Program Descriptions'!C23</f>
        <v>Empty</v>
      </c>
      <c r="D26" s="277" t="str">
        <f>IF(ISBLANK('Program Descriptions'!E23),"",'Program Descriptions'!E23)</f>
        <v/>
      </c>
      <c r="E26" s="277"/>
      <c r="F26" s="204">
        <f>'Prior Year Progam'!H27</f>
        <v>0</v>
      </c>
      <c r="G26" s="518">
        <f>'Prior Year Progam'!I27</f>
        <v>0</v>
      </c>
      <c r="H26" s="204">
        <f>Data!K22</f>
        <v>0</v>
      </c>
      <c r="I26" s="205">
        <f>Data!K47</f>
        <v>0</v>
      </c>
      <c r="J26" s="9"/>
      <c r="K26" s="210">
        <f>'Prior Year Progam'!M27</f>
        <v>0</v>
      </c>
      <c r="L26" s="519">
        <f>'Prior Year Progam'!N27</f>
        <v>0</v>
      </c>
      <c r="M26" s="210">
        <f>Data!M22</f>
        <v>0</v>
      </c>
      <c r="N26" s="211">
        <f>Data!M47</f>
        <v>0</v>
      </c>
      <c r="O26" s="9"/>
      <c r="P26" s="210">
        <f>'Prior Year Progam'!R27</f>
        <v>0</v>
      </c>
      <c r="Q26" s="519">
        <f>'Prior Year Progam'!S27</f>
        <v>0</v>
      </c>
      <c r="R26" s="210" t="str">
        <f>Data!L22</f>
        <v>n/a</v>
      </c>
      <c r="S26" s="211" t="str">
        <f>Data!L47</f>
        <v>n/a</v>
      </c>
      <c r="T26" s="9"/>
      <c r="U26" s="4"/>
    </row>
    <row r="27" spans="2:21" ht="12.75" customHeight="1" thickBot="1" x14ac:dyDescent="0.4">
      <c r="B27" s="276">
        <v>20</v>
      </c>
      <c r="C27" s="277" t="str">
        <f>'Program Descriptions'!C24</f>
        <v>Empty</v>
      </c>
      <c r="D27" s="277" t="str">
        <f>IF(ISBLANK('Program Descriptions'!E24),"",'Program Descriptions'!E24)</f>
        <v/>
      </c>
      <c r="E27" s="277"/>
      <c r="F27" s="204">
        <f>'Prior Year Progam'!H28</f>
        <v>0</v>
      </c>
      <c r="G27" s="518">
        <f>'Prior Year Progam'!I28</f>
        <v>0</v>
      </c>
      <c r="H27" s="204">
        <f>Data!K23</f>
        <v>0</v>
      </c>
      <c r="I27" s="205">
        <f>Data!K48</f>
        <v>0</v>
      </c>
      <c r="J27" s="9"/>
      <c r="K27" s="212">
        <f>'Prior Year Progam'!M28</f>
        <v>0</v>
      </c>
      <c r="L27" s="217">
        <f>'Prior Year Progam'!N28</f>
        <v>0</v>
      </c>
      <c r="M27" s="212">
        <f>Data!M23</f>
        <v>0</v>
      </c>
      <c r="N27" s="213">
        <f>Data!M48</f>
        <v>0</v>
      </c>
      <c r="O27" s="9"/>
      <c r="P27" s="212">
        <f>'Prior Year Progam'!R28</f>
        <v>0</v>
      </c>
      <c r="Q27" s="217">
        <f>'Prior Year Progam'!S28</f>
        <v>0</v>
      </c>
      <c r="R27" s="212" t="str">
        <f>Data!L23</f>
        <v>n/a</v>
      </c>
      <c r="S27" s="213" t="str">
        <f>Data!L48</f>
        <v>n/a</v>
      </c>
      <c r="T27" s="9"/>
      <c r="U27" s="4"/>
    </row>
    <row r="28" spans="2:21" ht="12.75" customHeight="1" thickBot="1" x14ac:dyDescent="0.4">
      <c r="B28" s="8"/>
      <c r="C28" s="277" t="s">
        <v>333</v>
      </c>
      <c r="D28" s="277"/>
      <c r="E28" s="277"/>
      <c r="F28" s="206">
        <f>'Prior Year Progam'!H29</f>
        <v>0</v>
      </c>
      <c r="G28" s="215">
        <f>'Prior Year Progam'!I29</f>
        <v>0</v>
      </c>
      <c r="H28" s="206">
        <f>'Table 2'!F29</f>
        <v>27917</v>
      </c>
      <c r="I28" s="207">
        <f>'Table 2'!G29</f>
        <v>9751.39</v>
      </c>
      <c r="J28" s="9"/>
      <c r="K28" s="9"/>
      <c r="L28" s="9"/>
      <c r="M28" s="9"/>
      <c r="N28" s="9"/>
      <c r="O28" s="9"/>
      <c r="P28" s="9"/>
      <c r="Q28" s="9"/>
      <c r="R28" s="9"/>
      <c r="S28" s="9"/>
      <c r="T28" s="9"/>
      <c r="U28" s="4"/>
    </row>
    <row r="29" spans="2:21" ht="12.75" customHeight="1" x14ac:dyDescent="0.35">
      <c r="B29" s="8"/>
      <c r="C29" s="289"/>
      <c r="D29" s="289"/>
      <c r="E29" s="289"/>
      <c r="F29" s="11"/>
      <c r="G29" s="11"/>
      <c r="H29" s="11"/>
      <c r="I29" s="11"/>
      <c r="U29" s="4"/>
    </row>
    <row r="30" spans="2:21" ht="12.75" customHeight="1" x14ac:dyDescent="0.35">
      <c r="B30" s="8"/>
      <c r="C30"/>
      <c r="D30" s="289" t="s">
        <v>334</v>
      </c>
      <c r="E30" s="289"/>
      <c r="F30" s="11">
        <f>SUM(F8:F28)</f>
        <v>4396274</v>
      </c>
      <c r="G30" s="11">
        <f>SUM(G8:G28)</f>
        <v>4449463.87</v>
      </c>
      <c r="H30" s="11">
        <f>SUM(H8:H28)</f>
        <v>4169849.54</v>
      </c>
      <c r="I30" s="11">
        <f>SUM(I8:I28)</f>
        <v>3961624.89</v>
      </c>
      <c r="K30" s="135">
        <f>SUM(K8:K27)</f>
        <v>1510377</v>
      </c>
      <c r="L30" s="135">
        <f t="shared" ref="L30:S30" si="0">SUM(L8:L27)</f>
        <v>1543029</v>
      </c>
      <c r="M30" s="135">
        <f t="shared" si="0"/>
        <v>1291789</v>
      </c>
      <c r="N30" s="135">
        <f t="shared" si="0"/>
        <v>1350413</v>
      </c>
      <c r="P30" s="135">
        <f t="shared" si="0"/>
        <v>0</v>
      </c>
      <c r="Q30" s="135">
        <f t="shared" si="0"/>
        <v>0</v>
      </c>
      <c r="R30" s="135">
        <f t="shared" si="0"/>
        <v>0</v>
      </c>
      <c r="S30" s="135">
        <f t="shared" si="0"/>
        <v>0</v>
      </c>
      <c r="U30" s="4"/>
    </row>
    <row r="31" spans="2:21" ht="12.75" customHeight="1" x14ac:dyDescent="0.3">
      <c r="B31" s="8"/>
      <c r="C31"/>
      <c r="D31"/>
      <c r="E31"/>
      <c r="U31" s="4"/>
    </row>
    <row r="32" spans="2:21" ht="12.75" customHeight="1" x14ac:dyDescent="0.3">
      <c r="B32" s="8"/>
      <c r="C32"/>
      <c r="D32"/>
      <c r="E32"/>
      <c r="U32" s="4"/>
    </row>
    <row r="33" spans="2:21" ht="12.75" customHeight="1" x14ac:dyDescent="0.35">
      <c r="B33" s="8"/>
      <c r="C33" s="300"/>
      <c r="D33" s="300"/>
      <c r="E33" s="300"/>
      <c r="F33" s="301"/>
      <c r="G33" s="301"/>
      <c r="H33" s="301"/>
      <c r="I33" s="301"/>
      <c r="J33" s="302"/>
      <c r="K33" s="302"/>
      <c r="L33" s="302"/>
      <c r="M33" s="302"/>
      <c r="N33" s="302"/>
      <c r="O33" s="302"/>
      <c r="P33" s="302"/>
      <c r="Q33" s="302"/>
      <c r="R33" s="302"/>
      <c r="S33" s="302"/>
      <c r="U33" s="4"/>
    </row>
    <row r="34" spans="2:21" ht="12.75" customHeight="1" x14ac:dyDescent="0.3">
      <c r="B34" s="8"/>
      <c r="C34"/>
      <c r="D34"/>
      <c r="E34"/>
      <c r="H34" s="692" t="s">
        <v>10</v>
      </c>
      <c r="I34" s="692"/>
      <c r="K34" s="693" t="s">
        <v>339</v>
      </c>
      <c r="L34" s="693"/>
      <c r="M34" s="693"/>
      <c r="N34" s="693"/>
      <c r="U34" s="4"/>
    </row>
    <row r="35" spans="2:21" ht="12.75" customHeight="1" x14ac:dyDescent="0.3">
      <c r="B35" s="8"/>
      <c r="C35"/>
      <c r="D35"/>
      <c r="E35"/>
      <c r="H35" s="692" t="s">
        <v>340</v>
      </c>
      <c r="I35" s="692"/>
      <c r="K35" s="692" t="s">
        <v>676</v>
      </c>
      <c r="L35" s="692"/>
      <c r="M35" s="692" t="str">
        <f>"Savings ("&amp;Energy_2&amp;")"</f>
        <v>Savings (Therms)</v>
      </c>
      <c r="N35" s="692"/>
      <c r="U35" s="4"/>
    </row>
    <row r="36" spans="2:21" ht="12.75" customHeight="1" x14ac:dyDescent="0.35">
      <c r="B36" s="8"/>
      <c r="C36"/>
      <c r="D36"/>
      <c r="E36"/>
      <c r="G36" s="289" t="s">
        <v>74</v>
      </c>
      <c r="H36" s="480" t="s">
        <v>342</v>
      </c>
      <c r="I36" s="480" t="str">
        <f>"Sales ("&amp;Energy_2&amp;")"</f>
        <v>Sales (Therms)</v>
      </c>
      <c r="K36" s="480" t="s">
        <v>329</v>
      </c>
      <c r="L36" s="480" t="s">
        <v>330</v>
      </c>
      <c r="M36" s="480" t="s">
        <v>329</v>
      </c>
      <c r="N36" s="480" t="s">
        <v>330</v>
      </c>
      <c r="U36" s="4"/>
    </row>
    <row r="37" spans="2:21" ht="12.75" customHeight="1" x14ac:dyDescent="0.3">
      <c r="B37" s="8"/>
      <c r="C37"/>
      <c r="D37"/>
      <c r="E37"/>
      <c r="G37" s="305">
        <f>Prg_Year</f>
        <v>2024</v>
      </c>
      <c r="H37" s="520">
        <f>VLOOKUP(G37,Tables!$B$44:$H$48,2,FALSE)</f>
        <v>247790327</v>
      </c>
      <c r="I37" s="521">
        <f>VLOOKUP(G37,Tables!$B$44:$H$48,3,FALSE)</f>
        <v>290824100</v>
      </c>
      <c r="K37" s="520">
        <f>VLOOKUP(G37,Tables!$B$44:$H$48,4,FALSE)</f>
        <v>4169849.54</v>
      </c>
      <c r="L37" s="520">
        <f>VLOOKUP(G37,Tables!$B$44:$H$48,5,FALSE)</f>
        <v>3961624.8899999997</v>
      </c>
      <c r="M37" s="521">
        <f>VLOOKUP(G37,Tables!$B$44:$H$48,6,FALSE)</f>
        <v>1291789</v>
      </c>
      <c r="N37" s="521">
        <f>VLOOKUP(G37,Tables!$B$44:$H$48,7,FALSE)</f>
        <v>1350413</v>
      </c>
      <c r="U37" s="4"/>
    </row>
    <row r="38" spans="2:21" ht="12.75" customHeight="1" x14ac:dyDescent="0.3">
      <c r="B38" s="8"/>
      <c r="C38"/>
      <c r="D38"/>
      <c r="E38"/>
      <c r="G38" s="305">
        <f>G37-1</f>
        <v>2023</v>
      </c>
      <c r="H38" s="520">
        <f>VLOOKUP(G38,Tables!$B$44:$H$48,2,FALSE)</f>
        <v>267937952</v>
      </c>
      <c r="I38" s="521">
        <f>VLOOKUP(G38,Tables!$B$44:$H$48,3,FALSE)</f>
        <v>295781710</v>
      </c>
      <c r="K38" s="520">
        <f>VLOOKUP(G38,Tables!$B$44:$H$48,4,FALSE)</f>
        <v>4399274</v>
      </c>
      <c r="L38" s="520">
        <f>VLOOKUP(G38,Tables!$B$44:$H$48,5,FALSE)</f>
        <v>4449464</v>
      </c>
      <c r="M38" s="521">
        <f>VLOOKUP(G38,Tables!$B$44:$H$48,6,FALSE)</f>
        <v>1510377</v>
      </c>
      <c r="N38" s="521">
        <f>VLOOKUP(G38,Tables!$B$44:$H$48,7,FALSE)</f>
        <v>1543029</v>
      </c>
      <c r="U38" s="4"/>
    </row>
    <row r="39" spans="2:21" ht="12.75" customHeight="1" x14ac:dyDescent="0.3">
      <c r="B39" s="8"/>
      <c r="C39"/>
      <c r="D39"/>
      <c r="E39"/>
      <c r="G39" s="305">
        <f t="shared" ref="G39:G40" si="1">G38-1</f>
        <v>2022</v>
      </c>
      <c r="H39" s="520">
        <f>VLOOKUP(G39,Tables!$B$44:$H$48,2,FALSE)</f>
        <v>310466193</v>
      </c>
      <c r="I39" s="521">
        <f>VLOOKUP(G39,Tables!$B$44:$H$48,3,FALSE)</f>
        <v>317361270</v>
      </c>
      <c r="K39" s="520">
        <f>VLOOKUP(G39,Tables!$B$44:$H$48,4,FALSE)</f>
        <v>4524125</v>
      </c>
      <c r="L39" s="520">
        <f>VLOOKUP(G39,Tables!$B$44:$H$48,5,FALSE)</f>
        <v>4509838.49</v>
      </c>
      <c r="M39" s="521">
        <f>VLOOKUP(G39,Tables!$B$44:$H$48,6,FALSE)</f>
        <v>1330541</v>
      </c>
      <c r="N39" s="521">
        <f>VLOOKUP(G39,Tables!$B$44:$H$48,7,FALSE)</f>
        <v>1510376.7492725942</v>
      </c>
      <c r="U39" s="4"/>
    </row>
    <row r="40" spans="2:21" ht="12.75" customHeight="1" x14ac:dyDescent="0.3">
      <c r="B40" s="8"/>
      <c r="C40"/>
      <c r="D40"/>
      <c r="E40"/>
      <c r="G40" s="305">
        <f t="shared" si="1"/>
        <v>2021</v>
      </c>
      <c r="H40" s="520">
        <f>VLOOKUP(G40,Tables!$B$44:$H$48,2,FALSE)</f>
        <v>217933935</v>
      </c>
      <c r="I40" s="521">
        <f>VLOOKUP(G40,Tables!$B$44:$H$48,3,FALSE)</f>
        <v>303339040</v>
      </c>
      <c r="K40" s="520">
        <f>VLOOKUP(G40,Tables!$B$44:$H$48,4,FALSE)</f>
        <v>4204997.7</v>
      </c>
      <c r="L40" s="520">
        <f>VLOOKUP(G40,Tables!$B$44:$H$48,5,FALSE)</f>
        <v>4156000.0207470804</v>
      </c>
      <c r="M40" s="521">
        <f>VLOOKUP(G40,Tables!$B$44:$H$48,6,FALSE)</f>
        <v>1330541</v>
      </c>
      <c r="N40" s="521">
        <f>VLOOKUP(G40,Tables!$B$44:$H$48,7,FALSE)</f>
        <v>1507349</v>
      </c>
      <c r="U40" s="4"/>
    </row>
    <row r="41" spans="2:21" ht="12.75" customHeight="1" x14ac:dyDescent="0.3">
      <c r="B41" s="8"/>
      <c r="C41"/>
      <c r="D41"/>
      <c r="E41"/>
      <c r="U41" s="4"/>
    </row>
    <row r="42" spans="2:21" ht="12.75" customHeight="1" x14ac:dyDescent="0.3">
      <c r="B42" s="8"/>
      <c r="C42"/>
      <c r="D42"/>
      <c r="E42"/>
      <c r="U42" s="4"/>
    </row>
    <row r="43" spans="2:21" ht="12.75" customHeight="1" x14ac:dyDescent="0.3">
      <c r="B43" s="8"/>
      <c r="C43"/>
      <c r="D43"/>
      <c r="E43"/>
      <c r="U43" s="4"/>
    </row>
    <row r="44" spans="2:21" ht="12.75" customHeight="1" x14ac:dyDescent="0.3">
      <c r="B44" s="5"/>
      <c r="C44" s="6"/>
      <c r="D44" s="6"/>
      <c r="E44" s="6"/>
      <c r="F44" s="6"/>
      <c r="G44" s="6"/>
      <c r="H44" s="6"/>
      <c r="I44" s="6"/>
      <c r="J44" s="6"/>
      <c r="K44" s="6"/>
      <c r="L44" s="6"/>
      <c r="M44" s="6"/>
      <c r="N44" s="6"/>
      <c r="O44" s="6"/>
      <c r="P44" s="6"/>
      <c r="Q44" s="6"/>
      <c r="R44" s="6"/>
      <c r="S44" s="6"/>
      <c r="T44" s="6"/>
      <c r="U44" s="7"/>
    </row>
  </sheetData>
  <sheetProtection password="C925" sheet="1" objects="1" scenarios="1"/>
  <mergeCells count="15">
    <mergeCell ref="H35:I35"/>
    <mergeCell ref="K35:L35"/>
    <mergeCell ref="M35:N35"/>
    <mergeCell ref="B2:U2"/>
    <mergeCell ref="F5:I5"/>
    <mergeCell ref="K5:N5"/>
    <mergeCell ref="P5:S5"/>
    <mergeCell ref="H34:I34"/>
    <mergeCell ref="K34:N34"/>
    <mergeCell ref="F6:G6"/>
    <mergeCell ref="H6:I6"/>
    <mergeCell ref="K6:L6"/>
    <mergeCell ref="M6:N6"/>
    <mergeCell ref="P6:Q6"/>
    <mergeCell ref="R6:S6"/>
  </mergeCells>
  <conditionalFormatting sqref="F8:I27 K8:N27 P8:S27">
    <cfRule type="expression" dxfId="2" priority="2">
      <formula>$B8&gt;Programs</formula>
    </cfRule>
  </conditionalFormatting>
  <conditionalFormatting sqref="P8:S27">
    <cfRule type="expression" dxfId="1" priority="1">
      <formula>Demand_1=NG_Demand</formula>
    </cfRule>
  </conditionalFormatting>
  <pageMargins left="0.25" right="0.25" top="0.5" bottom="0.5" header="0.3" footer="0.3"/>
  <pageSetup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1:F33"/>
  <sheetViews>
    <sheetView workbookViewId="0">
      <selection activeCell="F2" sqref="F2"/>
    </sheetView>
  </sheetViews>
  <sheetFormatPr defaultRowHeight="12.5" x14ac:dyDescent="0.25"/>
  <cols>
    <col min="1" max="1" width="10.81640625" bestFit="1" customWidth="1"/>
    <col min="2" max="2" width="20.26953125" bestFit="1" customWidth="1"/>
    <col min="3" max="3" width="28.26953125" customWidth="1"/>
    <col min="5" max="5" width="12.453125" customWidth="1"/>
    <col min="6" max="6" width="47.54296875" bestFit="1" customWidth="1"/>
  </cols>
  <sheetData>
    <row r="1" spans="1:6" x14ac:dyDescent="0.25">
      <c r="A1" s="536" t="s">
        <v>681</v>
      </c>
      <c r="B1" s="536" t="s">
        <v>32</v>
      </c>
      <c r="E1" s="536" t="s">
        <v>197</v>
      </c>
      <c r="F1" s="28" t="str">
        <f>'Utility Information'!D6</f>
        <v>BHEA</v>
      </c>
    </row>
    <row r="2" spans="1:6" ht="13" x14ac:dyDescent="0.3">
      <c r="A2">
        <v>1</v>
      </c>
      <c r="B2" s="180" t="s">
        <v>34</v>
      </c>
      <c r="E2" s="536" t="s">
        <v>590</v>
      </c>
      <c r="F2" s="28">
        <f>'Utility Information'!D7</f>
        <v>2024</v>
      </c>
    </row>
    <row r="3" spans="1:6" ht="13" x14ac:dyDescent="0.3">
      <c r="A3">
        <v>2</v>
      </c>
      <c r="B3" s="180" t="s">
        <v>36</v>
      </c>
      <c r="E3" s="536" t="s">
        <v>68</v>
      </c>
      <c r="F3" s="28" t="str">
        <f>'Utility Information'!F5</f>
        <v>Natural Gas</v>
      </c>
    </row>
    <row r="4" spans="1:6" ht="13" x14ac:dyDescent="0.3">
      <c r="A4">
        <v>3</v>
      </c>
      <c r="B4" s="180" t="s">
        <v>39</v>
      </c>
    </row>
    <row r="5" spans="1:6" ht="13" x14ac:dyDescent="0.3">
      <c r="A5">
        <v>4</v>
      </c>
      <c r="B5" s="180" t="s">
        <v>42</v>
      </c>
      <c r="E5" s="536" t="s">
        <v>682</v>
      </c>
      <c r="F5" s="28" t="str">
        <f>F1&amp;" - "&amp;F2&amp;" "&amp;B1</f>
        <v>BHEA - 2024 EE Portfolio Information</v>
      </c>
    </row>
    <row r="6" spans="1:6" ht="13" x14ac:dyDescent="0.3">
      <c r="A6">
        <v>5</v>
      </c>
      <c r="B6" s="180" t="s">
        <v>44</v>
      </c>
      <c r="E6" s="536" t="s">
        <v>683</v>
      </c>
      <c r="F6" s="28" t="str">
        <f>F1&amp;" - "&amp;F2&amp;" "&amp;B11</f>
        <v>BHEA - 2024 Program Year Evaluation</v>
      </c>
    </row>
    <row r="7" spans="1:6" ht="13" x14ac:dyDescent="0.3">
      <c r="A7">
        <v>6</v>
      </c>
      <c r="B7" s="180" t="s">
        <v>684</v>
      </c>
    </row>
    <row r="8" spans="1:6" x14ac:dyDescent="0.25">
      <c r="E8" s="536" t="s">
        <v>685</v>
      </c>
      <c r="F8" t="str">
        <f>F2&amp;" "&amp;B1</f>
        <v>2024 EE Portfolio Information</v>
      </c>
    </row>
    <row r="9" spans="1:6" x14ac:dyDescent="0.25">
      <c r="E9" s="536" t="s">
        <v>686</v>
      </c>
      <c r="F9" t="str">
        <f>F2&amp;" "&amp;B11</f>
        <v>2024 Program Year Evaluation</v>
      </c>
    </row>
    <row r="10" spans="1:6" x14ac:dyDescent="0.25">
      <c r="E10" s="536" t="s">
        <v>687</v>
      </c>
      <c r="F10" s="536" t="s">
        <v>58</v>
      </c>
    </row>
    <row r="11" spans="1:6" x14ac:dyDescent="0.25">
      <c r="A11" s="536" t="s">
        <v>681</v>
      </c>
      <c r="B11" s="536" t="s">
        <v>568</v>
      </c>
    </row>
    <row r="12" spans="1:6" ht="13" x14ac:dyDescent="0.3">
      <c r="A12">
        <v>1</v>
      </c>
      <c r="B12" s="180" t="s">
        <v>48</v>
      </c>
      <c r="E12" s="92" t="str">
        <f>F3</f>
        <v>Natural Gas</v>
      </c>
    </row>
    <row r="13" spans="1:6" ht="13" x14ac:dyDescent="0.3">
      <c r="A13">
        <v>2</v>
      </c>
      <c r="B13" s="180" t="s">
        <v>50</v>
      </c>
      <c r="E13" s="536" t="s">
        <v>688</v>
      </c>
      <c r="F13" t="str">
        <f>INDEX($B$24:$C$25,MATCH(E$12,$A$24:$A$25,0),MATCH($E13,$B$23:$C$23,0))</f>
        <v>Therms</v>
      </c>
    </row>
    <row r="14" spans="1:6" ht="13" x14ac:dyDescent="0.3">
      <c r="A14">
        <v>3</v>
      </c>
      <c r="B14" s="180" t="s">
        <v>52</v>
      </c>
      <c r="E14" s="536" t="s">
        <v>689</v>
      </c>
      <c r="F14" t="str">
        <f>INDEX($B$24:$C$25,MATCH(E$12,$A$24:$A$25,0),MATCH($E14,$B$23:$C$23,0))</f>
        <v>Therms</v>
      </c>
    </row>
    <row r="15" spans="1:6" ht="13" x14ac:dyDescent="0.3">
      <c r="A15">
        <v>4</v>
      </c>
      <c r="B15" s="180" t="s">
        <v>56</v>
      </c>
      <c r="C15" s="536" t="s">
        <v>690</v>
      </c>
      <c r="E15" s="536" t="s">
        <v>691</v>
      </c>
      <c r="F15" t="str">
        <f>INDEX($B$28:$C$29,MATCH(E$12,$A$28:$A$29,0),MATCH($E15,$B$27:$C$27,0))</f>
        <v>Therms</v>
      </c>
    </row>
    <row r="16" spans="1:6" ht="13" x14ac:dyDescent="0.3">
      <c r="A16">
        <v>5</v>
      </c>
      <c r="B16" s="180" t="s">
        <v>57</v>
      </c>
      <c r="C16" s="536" t="s">
        <v>692</v>
      </c>
      <c r="E16" s="536" t="s">
        <v>693</v>
      </c>
      <c r="F16" t="str">
        <f>INDEX($B$28:$C$29,MATCH(E$12,$A$28:$A$29,0),MATCH($E16,$B$27:$C$27,0))</f>
        <v>Therms</v>
      </c>
    </row>
    <row r="17" spans="1:3" ht="13" x14ac:dyDescent="0.3">
      <c r="A17">
        <v>6</v>
      </c>
      <c r="B17" s="180" t="s">
        <v>684</v>
      </c>
      <c r="C17" s="536"/>
    </row>
    <row r="19" spans="1:3" x14ac:dyDescent="0.25">
      <c r="B19" s="536" t="s">
        <v>694</v>
      </c>
    </row>
    <row r="20" spans="1:3" ht="13" x14ac:dyDescent="0.3">
      <c r="B20" s="180" t="s">
        <v>695</v>
      </c>
    </row>
    <row r="21" spans="1:3" ht="13" x14ac:dyDescent="0.3">
      <c r="B21" s="180" t="s">
        <v>71</v>
      </c>
    </row>
    <row r="23" spans="1:3" x14ac:dyDescent="0.25">
      <c r="B23" s="536" t="str">
        <f>E13</f>
        <v>Energy 1</v>
      </c>
      <c r="C23" s="536" t="str">
        <f>E14</f>
        <v>Energy 2</v>
      </c>
    </row>
    <row r="24" spans="1:3" ht="13" x14ac:dyDescent="0.3">
      <c r="A24" t="str">
        <f>B20</f>
        <v>Electric</v>
      </c>
      <c r="B24" s="180" t="s">
        <v>367</v>
      </c>
      <c r="C24" s="180" t="s">
        <v>696</v>
      </c>
    </row>
    <row r="25" spans="1:3" ht="13" x14ac:dyDescent="0.3">
      <c r="A25" t="str">
        <f>B21</f>
        <v>Natural Gas</v>
      </c>
      <c r="B25" s="180" t="s">
        <v>697</v>
      </c>
      <c r="C25" s="180" t="s">
        <v>697</v>
      </c>
    </row>
    <row r="27" spans="1:3" x14ac:dyDescent="0.25">
      <c r="B27" s="536" t="str">
        <f>E15</f>
        <v>Demand 1</v>
      </c>
      <c r="C27" s="536" t="str">
        <f>E16</f>
        <v>Demand 2</v>
      </c>
    </row>
    <row r="28" spans="1:3" ht="13" x14ac:dyDescent="0.3">
      <c r="A28" t="str">
        <f>B20</f>
        <v>Electric</v>
      </c>
      <c r="B28" s="180" t="s">
        <v>365</v>
      </c>
      <c r="C28" s="180" t="s">
        <v>698</v>
      </c>
    </row>
    <row r="29" spans="1:3" ht="13" x14ac:dyDescent="0.3">
      <c r="A29" t="str">
        <f>B21</f>
        <v>Natural Gas</v>
      </c>
      <c r="B29" s="180" t="s">
        <v>697</v>
      </c>
      <c r="C29" s="180" t="s">
        <v>697</v>
      </c>
    </row>
    <row r="32" spans="1:3" x14ac:dyDescent="0.25">
      <c r="B32" s="536" t="s">
        <v>699</v>
      </c>
    </row>
    <row r="33" spans="2:2" ht="13" x14ac:dyDescent="0.3">
      <c r="B33" s="180"/>
    </row>
  </sheetData>
  <phoneticPr fontId="0" type="noConversion"/>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B1:K30"/>
  <sheetViews>
    <sheetView showGridLines="0" zoomScale="110" zoomScaleNormal="110" workbookViewId="0"/>
  </sheetViews>
  <sheetFormatPr defaultRowHeight="12.5" x14ac:dyDescent="0.25"/>
  <cols>
    <col min="1" max="1" width="1.7265625" customWidth="1"/>
    <col min="2" max="2" width="2.453125" bestFit="1" customWidth="1"/>
    <col min="3" max="3" width="8" customWidth="1"/>
    <col min="4" max="4" width="26.54296875" bestFit="1" customWidth="1"/>
    <col min="5" max="5" width="15.54296875" customWidth="1"/>
    <col min="6" max="7" width="6.7265625" customWidth="1"/>
    <col min="8" max="8" width="9.7265625" customWidth="1"/>
    <col min="9" max="9" width="15.1796875" hidden="1" customWidth="1"/>
    <col min="10" max="10" width="6.453125" bestFit="1" customWidth="1"/>
    <col min="11" max="11" width="2.54296875" customWidth="1"/>
  </cols>
  <sheetData>
    <row r="1" spans="2:11" ht="9" customHeight="1" thickBot="1" x14ac:dyDescent="0.3"/>
    <row r="2" spans="2:11" ht="36.75" customHeight="1" x14ac:dyDescent="0.25">
      <c r="B2" s="745" t="s">
        <v>700</v>
      </c>
      <c r="C2" s="746"/>
      <c r="D2" s="746"/>
      <c r="E2" s="746"/>
      <c r="F2" s="746"/>
      <c r="G2" s="746"/>
      <c r="H2" s="746"/>
      <c r="I2" s="746"/>
      <c r="J2" s="746"/>
      <c r="K2" s="747"/>
    </row>
    <row r="3" spans="2:11" ht="60" customHeight="1" x14ac:dyDescent="0.25">
      <c r="B3" s="427"/>
      <c r="C3" s="428"/>
      <c r="D3" s="428"/>
      <c r="E3" s="428"/>
      <c r="F3" s="428"/>
      <c r="G3" s="428"/>
      <c r="H3" s="428"/>
      <c r="I3" s="428"/>
      <c r="J3" s="428"/>
      <c r="K3" s="429"/>
    </row>
    <row r="4" spans="2:11" x14ac:dyDescent="0.25">
      <c r="B4" s="8"/>
      <c r="K4" s="19"/>
    </row>
    <row r="5" spans="2:11" ht="13" x14ac:dyDescent="0.3">
      <c r="B5" s="418">
        <v>1</v>
      </c>
      <c r="C5" s="24" t="s">
        <v>32</v>
      </c>
      <c r="D5" s="24"/>
      <c r="E5" s="24" t="s">
        <v>701</v>
      </c>
      <c r="F5" s="537" t="s">
        <v>702</v>
      </c>
      <c r="I5" s="24" t="s">
        <v>701</v>
      </c>
      <c r="J5" s="537" t="s">
        <v>702</v>
      </c>
      <c r="K5" s="19"/>
    </row>
    <row r="6" spans="2:11" ht="15.5" x14ac:dyDescent="0.35">
      <c r="B6" s="419"/>
      <c r="C6" s="343" t="s">
        <v>33</v>
      </c>
      <c r="D6" s="414" t="s">
        <v>34</v>
      </c>
      <c r="E6" s="420">
        <f>'Utility Information'!N14</f>
        <v>0</v>
      </c>
      <c r="F6" s="422" t="str">
        <f>IF(E6=0,"ü","û")</f>
        <v>ü</v>
      </c>
      <c r="H6" s="421" t="s">
        <v>580</v>
      </c>
      <c r="I6" s="420"/>
      <c r="J6" s="426" t="s">
        <v>567</v>
      </c>
      <c r="K6" s="19"/>
    </row>
    <row r="7" spans="2:11" ht="15" x14ac:dyDescent="0.3">
      <c r="B7" s="419"/>
      <c r="C7" s="343" t="s">
        <v>35</v>
      </c>
      <c r="D7" s="341" t="s">
        <v>36</v>
      </c>
      <c r="E7" s="413">
        <f>'Program Descriptions'!L25</f>
        <v>0</v>
      </c>
      <c r="F7" s="423" t="str">
        <f>IF(E7=0,"ü","û")</f>
        <v>ü</v>
      </c>
      <c r="H7" s="412" t="s">
        <v>587</v>
      </c>
      <c r="I7" s="413">
        <f ca="1">'Table 2'!L30</f>
        <v>0</v>
      </c>
      <c r="J7" s="423" t="str">
        <f ca="1">IF(I7=0,"ü","û")</f>
        <v>ü</v>
      </c>
      <c r="K7" s="19"/>
    </row>
    <row r="8" spans="2:11" ht="15.5" x14ac:dyDescent="0.35">
      <c r="B8" s="419"/>
      <c r="C8" s="343"/>
      <c r="D8" s="415" t="s">
        <v>37</v>
      </c>
      <c r="E8" s="567"/>
      <c r="F8" s="425" t="s">
        <v>567</v>
      </c>
      <c r="H8" s="421" t="s">
        <v>588</v>
      </c>
      <c r="I8" s="420"/>
      <c r="J8" s="426" t="s">
        <v>567</v>
      </c>
      <c r="K8" s="19"/>
    </row>
    <row r="9" spans="2:11" ht="15.5" x14ac:dyDescent="0.35">
      <c r="B9" s="419"/>
      <c r="C9" s="343" t="s">
        <v>38</v>
      </c>
      <c r="D9" s="341" t="s">
        <v>39</v>
      </c>
      <c r="E9" s="413">
        <f>Budgets!N27</f>
        <v>1</v>
      </c>
      <c r="F9" s="423" t="str">
        <f>IF(E9=0,"ü","û")</f>
        <v>û</v>
      </c>
      <c r="H9" s="412" t="s">
        <v>589</v>
      </c>
      <c r="I9" s="413"/>
      <c r="J9" s="430" t="s">
        <v>567</v>
      </c>
      <c r="K9" s="19"/>
    </row>
    <row r="10" spans="2:11" ht="15.5" x14ac:dyDescent="0.35">
      <c r="B10" s="419"/>
      <c r="C10" s="343"/>
      <c r="D10" s="415" t="s">
        <v>40</v>
      </c>
      <c r="E10" s="420">
        <f>'Rec1'!N29</f>
        <v>0</v>
      </c>
      <c r="F10" s="422" t="str">
        <f>IF(E10=0,"ü","û")</f>
        <v>ü</v>
      </c>
      <c r="H10" s="421" t="s">
        <v>631</v>
      </c>
      <c r="I10" s="420"/>
      <c r="J10" s="426" t="s">
        <v>567</v>
      </c>
      <c r="K10" s="19"/>
    </row>
    <row r="11" spans="2:11" ht="15" x14ac:dyDescent="0.3">
      <c r="B11" s="419"/>
      <c r="C11" s="343" t="s">
        <v>41</v>
      </c>
      <c r="D11" s="341" t="s">
        <v>42</v>
      </c>
      <c r="E11" s="413">
        <f>'Savings &amp; Participants'!N26</f>
        <v>0</v>
      </c>
      <c r="F11" s="423" t="str">
        <f>IF(E11=0,"ü","û")</f>
        <v>ü</v>
      </c>
      <c r="H11" s="412" t="s">
        <v>594</v>
      </c>
      <c r="I11" s="413">
        <f ca="1">'Report 1'!Q29</f>
        <v>0</v>
      </c>
      <c r="J11" s="423" t="str">
        <f ca="1">IF(I11=0,"ü","û")</f>
        <v>ü</v>
      </c>
      <c r="K11" s="19"/>
    </row>
    <row r="12" spans="2:11" ht="15.5" x14ac:dyDescent="0.35">
      <c r="B12" s="419"/>
      <c r="C12" s="343" t="s">
        <v>43</v>
      </c>
      <c r="D12" s="416" t="s">
        <v>44</v>
      </c>
      <c r="E12" s="568"/>
      <c r="F12" s="424" t="s">
        <v>567</v>
      </c>
      <c r="H12" s="421" t="s">
        <v>596</v>
      </c>
      <c r="I12" s="420"/>
      <c r="J12" s="426" t="s">
        <v>567</v>
      </c>
      <c r="K12" s="19"/>
    </row>
    <row r="13" spans="2:11" ht="15.5" x14ac:dyDescent="0.35">
      <c r="B13" s="419"/>
      <c r="C13" s="343"/>
      <c r="D13" s="344" t="s">
        <v>45</v>
      </c>
      <c r="E13" s="413">
        <f>External!D27</f>
        <v>3</v>
      </c>
      <c r="F13" s="423" t="str">
        <f>IF(E13=0,"ü","û")</f>
        <v>û</v>
      </c>
      <c r="H13" s="412" t="s">
        <v>640</v>
      </c>
      <c r="I13" s="413"/>
      <c r="J13" s="430" t="s">
        <v>567</v>
      </c>
      <c r="K13" s="19"/>
    </row>
    <row r="14" spans="2:11" ht="15.5" x14ac:dyDescent="0.35">
      <c r="B14" s="419"/>
      <c r="C14" s="343"/>
      <c r="D14" s="415" t="s">
        <v>46</v>
      </c>
      <c r="E14" s="420">
        <f>Internal!D19</f>
        <v>0</v>
      </c>
      <c r="F14" s="422" t="str">
        <f>IF(E14=0,"ü","û")</f>
        <v>ü</v>
      </c>
      <c r="H14" s="421" t="s">
        <v>703</v>
      </c>
      <c r="I14" s="420"/>
      <c r="J14" s="426" t="s">
        <v>567</v>
      </c>
      <c r="K14" s="19"/>
    </row>
    <row r="15" spans="2:11" ht="15.5" x14ac:dyDescent="0.35">
      <c r="B15" s="418">
        <v>2</v>
      </c>
      <c r="C15" s="24" t="s">
        <v>47</v>
      </c>
      <c r="D15" s="25"/>
      <c r="E15" s="536"/>
      <c r="F15" s="417"/>
      <c r="K15" s="19"/>
    </row>
    <row r="16" spans="2:11" ht="15.5" x14ac:dyDescent="0.35">
      <c r="B16" s="419"/>
      <c r="C16" s="343" t="s">
        <v>33</v>
      </c>
      <c r="D16" s="414" t="s">
        <v>48</v>
      </c>
      <c r="E16" s="568"/>
      <c r="F16" s="426" t="s">
        <v>567</v>
      </c>
      <c r="K16" s="19"/>
    </row>
    <row r="17" spans="2:11" ht="15" x14ac:dyDescent="0.3">
      <c r="B17" s="419"/>
      <c r="C17" s="343"/>
      <c r="D17" s="344" t="s">
        <v>49</v>
      </c>
      <c r="E17" s="413">
        <f>'Rec2'!L11</f>
        <v>0</v>
      </c>
      <c r="F17" s="423" t="str">
        <f>IF(E17=0,"ü","û")</f>
        <v>ü</v>
      </c>
      <c r="K17" s="19"/>
    </row>
    <row r="18" spans="2:11" ht="15" x14ac:dyDescent="0.3">
      <c r="B18" s="419"/>
      <c r="C18" s="343" t="s">
        <v>35</v>
      </c>
      <c r="D18" s="416" t="s">
        <v>50</v>
      </c>
      <c r="E18" s="420">
        <f>'Evaluated Savings'!N26</f>
        <v>0</v>
      </c>
      <c r="F18" s="422" t="str">
        <f>IF(E18=0,"ü","û")</f>
        <v>ü</v>
      </c>
      <c r="K18" s="19"/>
    </row>
    <row r="19" spans="2:11" ht="15" x14ac:dyDescent="0.3">
      <c r="B19" s="419"/>
      <c r="C19" s="343"/>
      <c r="D19" s="344" t="s">
        <v>51</v>
      </c>
      <c r="E19" s="413">
        <f>'Savings Methodology'!N26</f>
        <v>0</v>
      </c>
      <c r="F19" s="423" t="str">
        <f>IF(E19=0,"ü","û")</f>
        <v>ü</v>
      </c>
      <c r="K19" s="19"/>
    </row>
    <row r="20" spans="2:11" ht="15" x14ac:dyDescent="0.3">
      <c r="B20" s="419"/>
      <c r="C20" s="343" t="s">
        <v>38</v>
      </c>
      <c r="D20" s="416" t="s">
        <v>52</v>
      </c>
      <c r="E20" s="420">
        <f>'Cost-Benefits'!P27</f>
        <v>0</v>
      </c>
      <c r="F20" s="422" t="str">
        <f>IF(E20=0,"ü","û")</f>
        <v>ü</v>
      </c>
      <c r="K20" s="19"/>
    </row>
    <row r="21" spans="2:11" ht="15" x14ac:dyDescent="0.3">
      <c r="B21" s="419"/>
      <c r="C21" s="343"/>
      <c r="D21" s="344" t="s">
        <v>53</v>
      </c>
      <c r="E21" s="413">
        <f>'Key Assumptions'!N6</f>
        <v>0</v>
      </c>
      <c r="F21" s="423" t="str">
        <f>IF(E21=0,"ü","û")</f>
        <v>ü</v>
      </c>
      <c r="K21" s="19"/>
    </row>
    <row r="22" spans="2:11" ht="15.5" x14ac:dyDescent="0.35">
      <c r="B22" s="419"/>
      <c r="C22" s="343"/>
      <c r="D22" s="415" t="s">
        <v>54</v>
      </c>
      <c r="E22" s="568"/>
      <c r="F22" s="426" t="s">
        <v>567</v>
      </c>
      <c r="K22" s="19"/>
    </row>
    <row r="23" spans="2:11" ht="15" x14ac:dyDescent="0.3">
      <c r="B23" s="419"/>
      <c r="C23" s="343"/>
      <c r="D23" s="344" t="s">
        <v>55</v>
      </c>
      <c r="E23" s="413">
        <f>'Other CB Test'!O27</f>
        <v>0</v>
      </c>
      <c r="F23" s="423" t="str">
        <f>IF(E23=0,"ü","û")</f>
        <v>ü</v>
      </c>
      <c r="K23" s="19"/>
    </row>
    <row r="24" spans="2:11" ht="15.5" x14ac:dyDescent="0.35">
      <c r="B24" s="419"/>
      <c r="C24" s="343" t="s">
        <v>41</v>
      </c>
      <c r="D24" s="416" t="s">
        <v>56</v>
      </c>
      <c r="E24" s="568"/>
      <c r="F24" s="426" t="s">
        <v>567</v>
      </c>
      <c r="K24" s="19"/>
    </row>
    <row r="25" spans="2:11" ht="15" x14ac:dyDescent="0.3">
      <c r="B25" s="419"/>
      <c r="C25" s="343" t="s">
        <v>43</v>
      </c>
      <c r="D25" s="341" t="s">
        <v>57</v>
      </c>
      <c r="E25" s="413">
        <f>Incentives!O7</f>
        <v>0</v>
      </c>
      <c r="F25" s="423" t="str">
        <f>IF(E25=0,"ü","û")</f>
        <v>ü</v>
      </c>
      <c r="K25" s="19"/>
    </row>
    <row r="26" spans="2:11" ht="15.5" x14ac:dyDescent="0.35">
      <c r="B26" s="418">
        <v>3</v>
      </c>
      <c r="C26" s="612" t="s">
        <v>58</v>
      </c>
      <c r="D26" s="612"/>
      <c r="E26" s="612"/>
      <c r="F26" s="417"/>
      <c r="K26" s="19"/>
    </row>
    <row r="27" spans="2:11" ht="15.5" x14ac:dyDescent="0.35">
      <c r="B27" s="419"/>
      <c r="C27" s="343" t="s">
        <v>33</v>
      </c>
      <c r="D27" s="414" t="s">
        <v>59</v>
      </c>
      <c r="E27" s="568"/>
      <c r="F27" s="426" t="s">
        <v>567</v>
      </c>
      <c r="K27" s="19"/>
    </row>
    <row r="28" spans="2:11" ht="15" x14ac:dyDescent="0.3">
      <c r="B28" s="23"/>
      <c r="C28" s="25"/>
      <c r="D28" s="344" t="s">
        <v>60</v>
      </c>
      <c r="E28" s="413">
        <f>'Prior Year Portfolio'!N14</f>
        <v>0</v>
      </c>
      <c r="F28" s="423" t="str">
        <f>IF(E28=0,"ü","û")</f>
        <v>ü</v>
      </c>
      <c r="K28" s="19"/>
    </row>
    <row r="29" spans="2:11" hidden="1" x14ac:dyDescent="0.25">
      <c r="B29" s="8"/>
      <c r="D29" s="569" t="s">
        <v>704</v>
      </c>
      <c r="E29" s="413">
        <f ca="1">SUM(E6:E28)+SUM(I6:I14)</f>
        <v>4</v>
      </c>
      <c r="K29" s="19"/>
    </row>
    <row r="30" spans="2:11" x14ac:dyDescent="0.25">
      <c r="B30" s="316"/>
      <c r="C30" s="317"/>
      <c r="D30" s="317"/>
      <c r="E30" s="317"/>
      <c r="F30" s="317"/>
      <c r="G30" s="317"/>
      <c r="H30" s="317"/>
      <c r="I30" s="317"/>
      <c r="J30" s="317"/>
      <c r="K30" s="318"/>
    </row>
  </sheetData>
  <mergeCells count="2">
    <mergeCell ref="C26:E26"/>
    <mergeCell ref="B2:K2"/>
  </mergeCells>
  <conditionalFormatting sqref="J6:J14 F6:F28">
    <cfRule type="expression" dxfId="0" priority="1">
      <formula>E6=0</formula>
    </cfRule>
  </conditionalFormatting>
  <hyperlinks>
    <hyperlink ref="F6" location="'Utility Information'!A3" tooltip="Go to" display="'Utility Information'!A3" xr:uid="{00000000-0004-0000-2F00-000000000000}"/>
    <hyperlink ref="F7" location="'Program Descriptions'!A5" tooltip="Go to" display="'Program Descriptions'!A5" xr:uid="{00000000-0004-0000-2F00-000001000000}"/>
    <hyperlink ref="F10" location="'Rec1'!A1" tooltip="Go to" display="'Rec1'!A1" xr:uid="{00000000-0004-0000-2F00-000002000000}"/>
    <hyperlink ref="F9" location="Budgets!A5" tooltip="Go to" display="Budgets!A5" xr:uid="{00000000-0004-0000-2F00-000003000000}"/>
    <hyperlink ref="F11" location="'Savings &amp; Participants'!A6" tooltip="Go to" display="'Savings &amp; Participants'!A6" xr:uid="{00000000-0004-0000-2F00-000004000000}"/>
    <hyperlink ref="F12" location="Training!A3" tooltip="Go to" display="-" xr:uid="{00000000-0004-0000-2F00-000005000000}"/>
    <hyperlink ref="F13" location="External!A7" tooltip="Go to" display="External!A7" xr:uid="{00000000-0004-0000-2F00-000006000000}"/>
    <hyperlink ref="F14" location="Internal!A7" tooltip="Go to" display="Internal!A7" xr:uid="{00000000-0004-0000-2F00-000007000000}"/>
    <hyperlink ref="F8" location="'Program Detail'!A4" tooltip="Go to" display="-" xr:uid="{00000000-0004-0000-2F00-000008000000}"/>
    <hyperlink ref="F16" location="'Actual Expenses'!A5" tooltip="Go to" display="-" xr:uid="{00000000-0004-0000-2F00-000009000000}"/>
    <hyperlink ref="F17" location="'Rec2'!A1" tooltip="Go to" display="'Rec2'!A1" xr:uid="{00000000-0004-0000-2F00-00000A000000}"/>
    <hyperlink ref="F18" location="'Evaluated Savings'!A6" tooltip="Go to" display="'Evaluated Savings'!A6" xr:uid="{00000000-0004-0000-2F00-00000B000000}"/>
    <hyperlink ref="F19" location="'Savings Methodology'!A1" tooltip="Go to" display="'Savings Methodology'!A1" xr:uid="{00000000-0004-0000-2F00-00000C000000}"/>
    <hyperlink ref="F20" location="'Cost-Benefits'!A7" tooltip="Go to" display="'Cost-Benefits'!A7" xr:uid="{00000000-0004-0000-2F00-00000D000000}"/>
    <hyperlink ref="F21" location="'Key Assumptions'!A4" tooltip="Go to" display="'Key Assumptions'!A4" xr:uid="{00000000-0004-0000-2F00-00000E000000}"/>
    <hyperlink ref="F22" location="NEBs!A4" tooltip="Go to" display="-" xr:uid="{00000000-0004-0000-2F00-00000F000000}"/>
    <hyperlink ref="F23" location="'Other CB Test'!A1" tooltip="Go to" display="'Other CB Test'!A1" xr:uid="{00000000-0004-0000-2F00-000010000000}"/>
    <hyperlink ref="F24" location="LCFC!A3" tooltip="Go to" display="-" xr:uid="{00000000-0004-0000-2F00-000011000000}"/>
    <hyperlink ref="F25" location="Incentives!A3" tooltip="Go to" display="Incentives!A3" xr:uid="{00000000-0004-0000-2F00-000012000000}"/>
    <hyperlink ref="F27" location="'Prior Year Progam'!A5" tooltip="Go to" display="-" xr:uid="{00000000-0004-0000-2F00-000013000000}"/>
    <hyperlink ref="F28" location="'Prior Year Portfolio'!A1" tooltip="Go to" display="'Prior Year Portfolio'!A1" xr:uid="{00000000-0004-0000-2F00-000014000000}"/>
    <hyperlink ref="J6" location="'Table 1'!A1" display="-" xr:uid="{00000000-0004-0000-2F00-000015000000}"/>
    <hyperlink ref="J7" location="'Table 2'!A1" display="'Table 2'!A1" xr:uid="{00000000-0004-0000-2F00-000016000000}"/>
    <hyperlink ref="J8" location="'Table 3'!A1" display="-" xr:uid="{00000000-0004-0000-2F00-000017000000}"/>
    <hyperlink ref="J9" location="'Table 4'!A1" display="-" xr:uid="{00000000-0004-0000-2F00-000018000000}"/>
    <hyperlink ref="J10" location="'Table 5'!A1" display="-" xr:uid="{00000000-0004-0000-2F00-000019000000}"/>
    <hyperlink ref="J11" location="'Report 1'!A1" display="'Report 1'!A1" xr:uid="{00000000-0004-0000-2F00-00001A000000}"/>
    <hyperlink ref="J12" location="'Report 2'!A1" display="-" xr:uid="{00000000-0004-0000-2F00-00001B000000}"/>
    <hyperlink ref="J13" location="'Report 3'!A1" display="-" xr:uid="{00000000-0004-0000-2F00-00001C000000}"/>
    <hyperlink ref="J14" location="'PY Data'!A1" display="-" xr:uid="{00000000-0004-0000-2F00-00001D000000}"/>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B2:G22"/>
  <sheetViews>
    <sheetView workbookViewId="0">
      <selection activeCell="F14" sqref="F14"/>
    </sheetView>
  </sheetViews>
  <sheetFormatPr defaultRowHeight="12.5" x14ac:dyDescent="0.25"/>
  <cols>
    <col min="1" max="1" width="2.26953125" customWidth="1"/>
    <col min="2" max="2" width="10.54296875" customWidth="1"/>
    <col min="3" max="3" width="7.7265625" customWidth="1"/>
    <col min="4" max="4" width="9.453125" customWidth="1"/>
    <col min="5" max="5" width="11.1796875" customWidth="1"/>
    <col min="6" max="6" width="8.7265625" customWidth="1"/>
    <col min="7" max="7" width="7.81640625" customWidth="1"/>
  </cols>
  <sheetData>
    <row r="2" spans="2:7" ht="25.9" customHeight="1" x14ac:dyDescent="0.25">
      <c r="B2" s="570" t="s">
        <v>74</v>
      </c>
      <c r="C2" s="570" t="str">
        <f>Titles!B20</f>
        <v>Electric</v>
      </c>
      <c r="D2" s="570" t="str">
        <f>Titles!B21</f>
        <v>Natural Gas</v>
      </c>
      <c r="E2" s="570" t="s">
        <v>705</v>
      </c>
      <c r="F2" s="570" t="s">
        <v>706</v>
      </c>
      <c r="G2" s="570" t="s">
        <v>707</v>
      </c>
    </row>
    <row r="3" spans="2:7" x14ac:dyDescent="0.25">
      <c r="B3" s="493">
        <v>2011</v>
      </c>
      <c r="C3" s="522">
        <v>2.5000000000000001E-3</v>
      </c>
      <c r="D3" s="522">
        <v>2E-3</v>
      </c>
      <c r="E3" s="493">
        <v>2010</v>
      </c>
      <c r="F3" s="571" t="s">
        <v>708</v>
      </c>
      <c r="G3" s="571">
        <v>15</v>
      </c>
    </row>
    <row r="4" spans="2:7" x14ac:dyDescent="0.25">
      <c r="B4" s="493">
        <v>2012</v>
      </c>
      <c r="C4" s="522">
        <v>5.0000000000000001E-3</v>
      </c>
      <c r="D4" s="522">
        <v>3.0000000000000001E-3</v>
      </c>
      <c r="E4" s="493">
        <v>2010</v>
      </c>
      <c r="F4" s="571" t="s">
        <v>708</v>
      </c>
      <c r="G4" s="571">
        <v>15</v>
      </c>
    </row>
    <row r="5" spans="2:7" x14ac:dyDescent="0.25">
      <c r="B5" s="493">
        <v>2013</v>
      </c>
      <c r="C5" s="522">
        <v>7.4999999999999997E-3</v>
      </c>
      <c r="D5" s="522">
        <v>4.0000000000000001E-3</v>
      </c>
      <c r="E5" s="493">
        <v>2010</v>
      </c>
      <c r="F5" s="571" t="s">
        <v>708</v>
      </c>
      <c r="G5" s="571">
        <v>15</v>
      </c>
    </row>
    <row r="6" spans="2:7" x14ac:dyDescent="0.25">
      <c r="B6" s="493">
        <v>2014</v>
      </c>
      <c r="C6" s="522">
        <v>7.4999999999999997E-3</v>
      </c>
      <c r="D6" s="522">
        <v>4.0000000000000001E-3</v>
      </c>
      <c r="E6" s="493">
        <v>2010</v>
      </c>
      <c r="F6" s="571" t="s">
        <v>709</v>
      </c>
      <c r="G6" s="571">
        <v>2</v>
      </c>
    </row>
    <row r="7" spans="2:7" x14ac:dyDescent="0.25">
      <c r="B7" s="493">
        <v>2015</v>
      </c>
      <c r="C7" s="522">
        <v>8.9999999999999993E-3</v>
      </c>
      <c r="D7" s="522">
        <v>5.0000000000000001E-3</v>
      </c>
      <c r="E7" s="493">
        <v>2013</v>
      </c>
      <c r="F7" s="571" t="s">
        <v>709</v>
      </c>
      <c r="G7" s="571">
        <v>15</v>
      </c>
    </row>
    <row r="8" spans="2:7" x14ac:dyDescent="0.25">
      <c r="B8" s="493">
        <v>2016</v>
      </c>
      <c r="C8" s="522">
        <v>8.9999999999999993E-3</v>
      </c>
      <c r="D8" s="522">
        <v>5.0000000000000001E-3</v>
      </c>
      <c r="E8" s="493">
        <v>2014</v>
      </c>
      <c r="F8" s="571" t="s">
        <v>709</v>
      </c>
      <c r="G8" s="571">
        <v>25</v>
      </c>
    </row>
    <row r="9" spans="2:7" x14ac:dyDescent="0.25">
      <c r="B9" s="493">
        <v>2017</v>
      </c>
      <c r="C9" s="522">
        <v>8.9999999999999993E-3</v>
      </c>
      <c r="D9" s="522">
        <v>5.0000000000000001E-3</v>
      </c>
      <c r="E9" s="493">
        <v>2015</v>
      </c>
      <c r="F9" s="571" t="s">
        <v>709</v>
      </c>
      <c r="G9" s="571">
        <v>31</v>
      </c>
    </row>
    <row r="10" spans="2:7" x14ac:dyDescent="0.25">
      <c r="B10" s="493">
        <v>2018</v>
      </c>
      <c r="C10" s="522">
        <v>8.9999999999999993E-3</v>
      </c>
      <c r="D10" s="522">
        <v>5.0000000000000001E-3</v>
      </c>
      <c r="E10" s="493">
        <v>2015</v>
      </c>
      <c r="F10" s="571" t="s">
        <v>709</v>
      </c>
      <c r="G10" s="571">
        <v>31</v>
      </c>
    </row>
    <row r="11" spans="2:7" x14ac:dyDescent="0.25">
      <c r="B11" s="493">
        <v>2019</v>
      </c>
      <c r="C11" s="522">
        <v>0.01</v>
      </c>
      <c r="D11" s="522">
        <v>5.0000000000000001E-3</v>
      </c>
      <c r="E11" s="493">
        <v>2015</v>
      </c>
      <c r="F11" s="571" t="s">
        <v>709</v>
      </c>
      <c r="G11" s="571">
        <v>31</v>
      </c>
    </row>
    <row r="12" spans="2:7" x14ac:dyDescent="0.25">
      <c r="B12" s="493">
        <v>2020</v>
      </c>
      <c r="C12" s="522">
        <v>0</v>
      </c>
      <c r="D12" s="522">
        <v>5.0000000000000001E-3</v>
      </c>
      <c r="E12" s="571">
        <v>2018</v>
      </c>
      <c r="F12" s="571" t="s">
        <v>709</v>
      </c>
      <c r="G12" s="571">
        <v>31</v>
      </c>
    </row>
    <row r="13" spans="2:7" x14ac:dyDescent="0.25">
      <c r="B13" s="493">
        <v>2021</v>
      </c>
      <c r="C13" s="522">
        <v>0</v>
      </c>
      <c r="D13" s="522">
        <v>5.0000000000000001E-3</v>
      </c>
      <c r="E13" s="571">
        <v>2018</v>
      </c>
      <c r="F13" s="571" t="s">
        <v>709</v>
      </c>
      <c r="G13" s="571">
        <v>31</v>
      </c>
    </row>
    <row r="14" spans="2:7" x14ac:dyDescent="0.25">
      <c r="B14" s="493">
        <v>2022</v>
      </c>
      <c r="C14" s="522">
        <v>0</v>
      </c>
      <c r="D14" s="522">
        <v>5.0000000000000001E-3</v>
      </c>
      <c r="E14" s="571">
        <v>2018</v>
      </c>
      <c r="F14" s="571"/>
      <c r="G14" s="571"/>
    </row>
    <row r="15" spans="2:7" x14ac:dyDescent="0.25">
      <c r="B15" s="493">
        <v>2023</v>
      </c>
      <c r="C15" s="522">
        <v>0</v>
      </c>
      <c r="D15" s="522">
        <v>0</v>
      </c>
      <c r="E15" s="571" t="s">
        <v>710</v>
      </c>
      <c r="F15" s="571"/>
      <c r="G15" s="571"/>
    </row>
    <row r="16" spans="2:7" x14ac:dyDescent="0.25">
      <c r="B16" s="493">
        <v>2024</v>
      </c>
      <c r="C16" s="522">
        <v>0</v>
      </c>
      <c r="D16" s="522">
        <v>0</v>
      </c>
      <c r="E16" s="571" t="s">
        <v>710</v>
      </c>
      <c r="F16" s="571"/>
      <c r="G16" s="571"/>
    </row>
    <row r="17" spans="2:7" x14ac:dyDescent="0.25">
      <c r="B17" s="493">
        <v>2025</v>
      </c>
      <c r="C17" s="522">
        <v>0</v>
      </c>
      <c r="D17" s="522">
        <v>0</v>
      </c>
      <c r="E17" s="571" t="s">
        <v>710</v>
      </c>
      <c r="F17" s="571"/>
      <c r="G17" s="571"/>
    </row>
    <row r="18" spans="2:7" x14ac:dyDescent="0.25">
      <c r="B18" s="493">
        <v>2026</v>
      </c>
      <c r="C18" s="522">
        <v>0</v>
      </c>
      <c r="D18" s="522">
        <v>0</v>
      </c>
      <c r="E18" s="571" t="s">
        <v>710</v>
      </c>
      <c r="F18" s="571"/>
      <c r="G18" s="571"/>
    </row>
    <row r="19" spans="2:7" x14ac:dyDescent="0.25">
      <c r="B19" s="493">
        <v>2027</v>
      </c>
      <c r="C19" s="522">
        <v>0</v>
      </c>
      <c r="D19" s="522">
        <v>0</v>
      </c>
      <c r="E19" s="571" t="s">
        <v>710</v>
      </c>
      <c r="F19" s="571"/>
      <c r="G19" s="571"/>
    </row>
    <row r="20" spans="2:7" x14ac:dyDescent="0.25">
      <c r="B20" s="493">
        <v>2028</v>
      </c>
      <c r="C20" s="522">
        <v>0</v>
      </c>
      <c r="D20" s="522">
        <v>0</v>
      </c>
      <c r="E20" s="571" t="s">
        <v>710</v>
      </c>
      <c r="F20" s="571"/>
      <c r="G20" s="571"/>
    </row>
    <row r="21" spans="2:7" x14ac:dyDescent="0.25">
      <c r="B21" s="493">
        <v>2029</v>
      </c>
      <c r="C21" s="522">
        <v>0</v>
      </c>
      <c r="D21" s="522">
        <v>0</v>
      </c>
      <c r="E21" s="571" t="s">
        <v>710</v>
      </c>
      <c r="F21" s="571"/>
      <c r="G21" s="571"/>
    </row>
    <row r="22" spans="2:7" x14ac:dyDescent="0.25">
      <c r="B22" s="493">
        <v>2030</v>
      </c>
      <c r="C22" s="522">
        <v>0</v>
      </c>
      <c r="D22" s="522">
        <v>0</v>
      </c>
      <c r="E22" s="571" t="s">
        <v>710</v>
      </c>
      <c r="F22" s="571"/>
      <c r="G22" s="5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BA27"/>
  <sheetViews>
    <sheetView showGridLines="0" showRowColHeaders="0" zoomScaleNormal="100" workbookViewId="0">
      <pane xSplit="3" ySplit="3" topLeftCell="D4" activePane="bottomRight" state="frozen"/>
      <selection activeCell="AK33" sqref="AK33"/>
      <selection pane="topRight" activeCell="AK33" sqref="AK33"/>
      <selection pane="bottomLeft" activeCell="AK33" sqref="AK33"/>
      <selection pane="bottomRight" activeCell="AK33" sqref="AK33"/>
    </sheetView>
  </sheetViews>
  <sheetFormatPr defaultColWidth="9.1796875" defaultRowHeight="13" x14ac:dyDescent="0.3"/>
  <cols>
    <col min="1" max="1" width="1" style="2" customWidth="1"/>
    <col min="2" max="2" width="4.54296875" style="2" customWidth="1"/>
    <col min="3" max="3" width="41.453125" style="2" customWidth="1"/>
    <col min="4" max="4" width="1.1796875" style="2" customWidth="1"/>
    <col min="5" max="52" width="4.453125" style="2" customWidth="1"/>
    <col min="53" max="53" width="3.26953125" style="2" customWidth="1"/>
    <col min="54" max="16384" width="9.1796875" style="2"/>
  </cols>
  <sheetData>
    <row r="1" spans="2:53" ht="5.15" customHeight="1" thickBot="1" x14ac:dyDescent="0.35"/>
    <row r="2" spans="2:53" ht="38.25" customHeight="1" thickBot="1" x14ac:dyDescent="0.35">
      <c r="B2" s="629" t="s">
        <v>102</v>
      </c>
      <c r="C2" s="629"/>
      <c r="D2" s="629"/>
      <c r="E2" s="629"/>
      <c r="F2" s="629"/>
      <c r="G2" s="629"/>
      <c r="H2" s="629"/>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row>
    <row r="3" spans="2:53" ht="45.75" customHeight="1" x14ac:dyDescent="0.3">
      <c r="B3" s="459"/>
      <c r="C3" s="351"/>
      <c r="D3" s="351"/>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460"/>
    </row>
    <row r="4" spans="2:53" ht="6" customHeight="1" x14ac:dyDescent="0.3">
      <c r="B4" s="3"/>
      <c r="BA4" s="4"/>
    </row>
    <row r="5" spans="2:53" ht="19.5" customHeight="1" x14ac:dyDescent="0.3">
      <c r="B5" s="3"/>
      <c r="E5" s="626" t="s">
        <v>103</v>
      </c>
      <c r="F5" s="627"/>
      <c r="G5" s="627"/>
      <c r="H5" s="627"/>
      <c r="I5" s="627"/>
      <c r="J5" s="627"/>
      <c r="K5" s="627"/>
      <c r="L5" s="627"/>
      <c r="M5" s="627"/>
      <c r="N5" s="627"/>
      <c r="O5" s="627"/>
      <c r="P5" s="627"/>
      <c r="Q5" s="627"/>
      <c r="R5" s="627"/>
      <c r="S5" s="627"/>
      <c r="T5" s="627"/>
      <c r="U5" s="627"/>
      <c r="V5" s="627"/>
      <c r="W5" s="627"/>
      <c r="X5" s="628"/>
      <c r="Y5" s="626" t="s">
        <v>104</v>
      </c>
      <c r="Z5" s="627"/>
      <c r="AA5" s="627"/>
      <c r="AB5" s="627"/>
      <c r="AC5" s="627"/>
      <c r="AD5" s="627"/>
      <c r="AE5" s="627"/>
      <c r="AF5" s="627"/>
      <c r="AG5" s="627"/>
      <c r="AH5" s="627"/>
      <c r="AI5" s="627"/>
      <c r="AJ5" s="627"/>
      <c r="AK5" s="627"/>
      <c r="AL5" s="627"/>
      <c r="AM5" s="627"/>
      <c r="AN5" s="627"/>
      <c r="AO5" s="627"/>
      <c r="AP5" s="627"/>
      <c r="AQ5" s="628"/>
      <c r="AR5" s="626" t="s">
        <v>105</v>
      </c>
      <c r="AS5" s="627"/>
      <c r="AT5" s="627"/>
      <c r="AU5" s="627"/>
      <c r="AV5" s="627"/>
      <c r="AW5" s="627"/>
      <c r="AX5" s="627"/>
      <c r="AY5" s="627"/>
      <c r="AZ5" s="628"/>
      <c r="BA5" s="4"/>
    </row>
    <row r="6" spans="2:53" ht="152.25" customHeight="1" x14ac:dyDescent="0.3">
      <c r="B6" s="3"/>
      <c r="C6" s="353" t="s">
        <v>85</v>
      </c>
      <c r="D6" s="179"/>
      <c r="E6" s="462" t="s">
        <v>106</v>
      </c>
      <c r="F6" s="462" t="s">
        <v>107</v>
      </c>
      <c r="G6" s="462" t="s">
        <v>108</v>
      </c>
      <c r="H6" s="462" t="s">
        <v>109</v>
      </c>
      <c r="I6" s="462" t="s">
        <v>110</v>
      </c>
      <c r="J6" s="462" t="s">
        <v>111</v>
      </c>
      <c r="K6" s="462" t="s">
        <v>112</v>
      </c>
      <c r="L6" s="462" t="s">
        <v>113</v>
      </c>
      <c r="M6" s="462" t="s">
        <v>114</v>
      </c>
      <c r="N6" s="462" t="s">
        <v>115</v>
      </c>
      <c r="O6" s="462" t="s">
        <v>116</v>
      </c>
      <c r="P6" s="462" t="s">
        <v>117</v>
      </c>
      <c r="Q6" s="462" t="s">
        <v>118</v>
      </c>
      <c r="R6" s="462" t="s">
        <v>119</v>
      </c>
      <c r="S6" s="462" t="s">
        <v>120</v>
      </c>
      <c r="T6" s="462" t="s">
        <v>121</v>
      </c>
      <c r="U6" s="462" t="s">
        <v>99</v>
      </c>
      <c r="V6" s="462" t="s">
        <v>122</v>
      </c>
      <c r="W6" s="462" t="s">
        <v>123</v>
      </c>
      <c r="X6" s="462" t="s">
        <v>124</v>
      </c>
      <c r="Y6" s="462" t="s">
        <v>125</v>
      </c>
      <c r="Z6" s="462" t="s">
        <v>91</v>
      </c>
      <c r="AA6" s="462" t="s">
        <v>126</v>
      </c>
      <c r="AB6" s="462" t="s">
        <v>127</v>
      </c>
      <c r="AC6" s="462" t="s">
        <v>128</v>
      </c>
      <c r="AD6" s="462" t="s">
        <v>129</v>
      </c>
      <c r="AE6" s="462" t="s">
        <v>112</v>
      </c>
      <c r="AF6" s="462" t="s">
        <v>113</v>
      </c>
      <c r="AG6" s="462" t="s">
        <v>114</v>
      </c>
      <c r="AH6" s="462" t="s">
        <v>130</v>
      </c>
      <c r="AI6" s="462" t="s">
        <v>99</v>
      </c>
      <c r="AJ6" s="462" t="s">
        <v>131</v>
      </c>
      <c r="AK6" s="462" t="s">
        <v>132</v>
      </c>
      <c r="AL6" s="462" t="s">
        <v>133</v>
      </c>
      <c r="AM6" s="462" t="s">
        <v>134</v>
      </c>
      <c r="AN6" s="462" t="s">
        <v>135</v>
      </c>
      <c r="AO6" s="462" t="s">
        <v>136</v>
      </c>
      <c r="AP6" s="462" t="s">
        <v>137</v>
      </c>
      <c r="AQ6" s="462" t="s">
        <v>138</v>
      </c>
      <c r="AR6" s="462" t="s">
        <v>139</v>
      </c>
      <c r="AS6" s="462" t="s">
        <v>140</v>
      </c>
      <c r="AT6" s="462" t="s">
        <v>141</v>
      </c>
      <c r="AU6" s="462" t="s">
        <v>142</v>
      </c>
      <c r="AV6" s="462" t="s">
        <v>99</v>
      </c>
      <c r="AW6" s="462" t="s">
        <v>143</v>
      </c>
      <c r="AX6" s="462" t="s">
        <v>144</v>
      </c>
      <c r="AY6" s="462" t="s">
        <v>145</v>
      </c>
      <c r="AZ6" s="462" t="s">
        <v>146</v>
      </c>
      <c r="BA6" s="4"/>
    </row>
    <row r="7" spans="2:53" ht="15" customHeight="1" x14ac:dyDescent="0.3">
      <c r="B7" s="276">
        <v>1</v>
      </c>
      <c r="C7" s="277" t="str">
        <f>'Program Descriptions'!C5</f>
        <v>Commercial &amp; Industrial Solutions Program</v>
      </c>
      <c r="D7" s="277"/>
      <c r="E7" s="463"/>
      <c r="F7" s="463"/>
      <c r="G7" s="463"/>
      <c r="H7" s="463"/>
      <c r="I7" s="463"/>
      <c r="J7" s="463"/>
      <c r="K7" s="463"/>
      <c r="L7" s="463"/>
      <c r="M7" s="463"/>
      <c r="N7" s="463"/>
      <c r="O7" s="463"/>
      <c r="P7" s="463"/>
      <c r="Q7" s="463"/>
      <c r="R7" s="463"/>
      <c r="S7" s="463"/>
      <c r="T7" s="463"/>
      <c r="U7" s="463"/>
      <c r="V7" s="463"/>
      <c r="W7" s="463"/>
      <c r="X7" s="463"/>
      <c r="Y7" s="463" t="s">
        <v>147</v>
      </c>
      <c r="Z7" s="463" t="s">
        <v>147</v>
      </c>
      <c r="AA7" s="463" t="s">
        <v>147</v>
      </c>
      <c r="AB7" s="463"/>
      <c r="AC7" s="463" t="s">
        <v>147</v>
      </c>
      <c r="AD7" s="463"/>
      <c r="AE7" s="463"/>
      <c r="AF7" s="463"/>
      <c r="AG7" s="463"/>
      <c r="AH7" s="463" t="s">
        <v>147</v>
      </c>
      <c r="AI7" s="463" t="s">
        <v>147</v>
      </c>
      <c r="AJ7" s="463"/>
      <c r="AK7" s="463" t="s">
        <v>147</v>
      </c>
      <c r="AL7" s="463" t="s">
        <v>147</v>
      </c>
      <c r="AM7" s="463" t="s">
        <v>147</v>
      </c>
      <c r="AN7" s="463"/>
      <c r="AO7" s="463"/>
      <c r="AP7" s="463" t="s">
        <v>147</v>
      </c>
      <c r="AQ7" s="463"/>
      <c r="AR7" s="463"/>
      <c r="AS7" s="463" t="s">
        <v>148</v>
      </c>
      <c r="AT7" s="463" t="s">
        <v>148</v>
      </c>
      <c r="AU7" s="463"/>
      <c r="AV7" s="463"/>
      <c r="AW7" s="463"/>
      <c r="AX7" s="463"/>
      <c r="AY7" s="463"/>
      <c r="AZ7" s="463"/>
      <c r="BA7" s="4"/>
    </row>
    <row r="8" spans="2:53" ht="15" customHeight="1" x14ac:dyDescent="0.3">
      <c r="B8" s="276">
        <v>2</v>
      </c>
      <c r="C8" s="277" t="str">
        <f>'Program Descriptions'!C6</f>
        <v>Energy Efficiency Arkansas</v>
      </c>
      <c r="D8" s="277"/>
      <c r="E8" s="463"/>
      <c r="F8" s="463" t="s">
        <v>147</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63"/>
      <c r="AL8" s="463"/>
      <c r="AM8" s="463"/>
      <c r="AN8" s="463"/>
      <c r="AO8" s="463"/>
      <c r="AP8" s="463"/>
      <c r="AQ8" s="463"/>
      <c r="AR8" s="463" t="s">
        <v>147</v>
      </c>
      <c r="AS8" s="463" t="s">
        <v>147</v>
      </c>
      <c r="AT8" s="463" t="s">
        <v>147</v>
      </c>
      <c r="AU8" s="463"/>
      <c r="AV8" s="463"/>
      <c r="AW8" s="463"/>
      <c r="AX8" s="463"/>
      <c r="AY8" s="463"/>
      <c r="AZ8" s="463" t="s">
        <v>147</v>
      </c>
      <c r="BA8" s="4"/>
    </row>
    <row r="9" spans="2:53" ht="15" customHeight="1" x14ac:dyDescent="0.3">
      <c r="B9" s="276">
        <v>3</v>
      </c>
      <c r="C9" s="277" t="str">
        <f>'Program Descriptions'!C7</f>
        <v>Residential Solution Program</v>
      </c>
      <c r="D9" s="277"/>
      <c r="E9" s="463"/>
      <c r="F9" s="463"/>
      <c r="G9" s="463"/>
      <c r="H9" s="463"/>
      <c r="I9" s="463"/>
      <c r="J9" s="463"/>
      <c r="K9" s="463"/>
      <c r="L9" s="463"/>
      <c r="M9" s="463"/>
      <c r="N9" s="463" t="s">
        <v>147</v>
      </c>
      <c r="O9" s="463" t="s">
        <v>147</v>
      </c>
      <c r="P9" s="463"/>
      <c r="Q9" s="463"/>
      <c r="R9" s="463" t="s">
        <v>147</v>
      </c>
      <c r="S9" s="463"/>
      <c r="T9" s="463" t="s">
        <v>147</v>
      </c>
      <c r="U9" s="463"/>
      <c r="V9" s="463" t="s">
        <v>147</v>
      </c>
      <c r="W9" s="463" t="s">
        <v>147</v>
      </c>
      <c r="X9" s="463" t="s">
        <v>147</v>
      </c>
      <c r="Y9" s="463"/>
      <c r="Z9" s="463"/>
      <c r="AA9" s="463"/>
      <c r="AB9" s="463"/>
      <c r="AC9" s="463"/>
      <c r="AD9" s="463"/>
      <c r="AE9" s="463"/>
      <c r="AF9" s="463"/>
      <c r="AG9" s="463"/>
      <c r="AH9" s="463"/>
      <c r="AI9" s="463"/>
      <c r="AJ9" s="463"/>
      <c r="AK9" s="463"/>
      <c r="AL9" s="463"/>
      <c r="AM9" s="463"/>
      <c r="AN9" s="463"/>
      <c r="AO9" s="463"/>
      <c r="AP9" s="463"/>
      <c r="AQ9" s="463"/>
      <c r="AR9" s="463"/>
      <c r="AS9" s="463" t="s">
        <v>147</v>
      </c>
      <c r="AT9" s="463"/>
      <c r="AU9" s="463"/>
      <c r="AV9" s="463"/>
      <c r="AW9" s="463"/>
      <c r="AX9" s="463"/>
      <c r="AY9" s="463"/>
      <c r="AZ9" s="463"/>
      <c r="BA9" s="4"/>
    </row>
    <row r="10" spans="2:53" ht="15" customHeight="1" x14ac:dyDescent="0.3">
      <c r="B10" s="276">
        <v>4</v>
      </c>
      <c r="C10" s="277" t="str">
        <f>'Program Descriptions'!C8</f>
        <v>Income Qualified Program</v>
      </c>
      <c r="D10" s="277"/>
      <c r="E10" s="463"/>
      <c r="F10" s="463"/>
      <c r="G10" s="463"/>
      <c r="H10" s="463"/>
      <c r="I10" s="463"/>
      <c r="J10" s="463"/>
      <c r="K10" s="463"/>
      <c r="L10" s="463"/>
      <c r="M10" s="463"/>
      <c r="N10" s="463" t="s">
        <v>147</v>
      </c>
      <c r="O10" s="463"/>
      <c r="P10" s="463"/>
      <c r="Q10" s="463"/>
      <c r="R10" s="463"/>
      <c r="S10" s="463"/>
      <c r="T10" s="463" t="s">
        <v>147</v>
      </c>
      <c r="U10" s="463"/>
      <c r="V10" s="463" t="s">
        <v>147</v>
      </c>
      <c r="W10" s="463" t="s">
        <v>147</v>
      </c>
      <c r="X10" s="463" t="s">
        <v>147</v>
      </c>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3"/>
      <c r="AY10" s="463"/>
      <c r="AZ10" s="463"/>
      <c r="BA10" s="4"/>
    </row>
    <row r="11" spans="2:53" ht="15" hidden="1" customHeight="1" x14ac:dyDescent="0.3">
      <c r="B11" s="276">
        <v>5</v>
      </c>
      <c r="C11" s="277" t="str">
        <f>'Program Descriptions'!C9</f>
        <v>Empty</v>
      </c>
      <c r="D11" s="277"/>
      <c r="E11" s="463"/>
      <c r="F11" s="463"/>
      <c r="G11" s="463"/>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3"/>
      <c r="AY11" s="463"/>
      <c r="AZ11" s="463"/>
      <c r="BA11" s="4"/>
    </row>
    <row r="12" spans="2:53" ht="15" hidden="1" customHeight="1" x14ac:dyDescent="0.3">
      <c r="B12" s="276">
        <v>6</v>
      </c>
      <c r="C12" s="277" t="str">
        <f>'Program Descriptions'!C10</f>
        <v>Empty</v>
      </c>
      <c r="D12" s="277"/>
      <c r="E12" s="463"/>
      <c r="F12" s="463"/>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c r="AN12" s="463"/>
      <c r="AO12" s="463"/>
      <c r="AP12" s="463"/>
      <c r="AQ12" s="463"/>
      <c r="AR12" s="463"/>
      <c r="AS12" s="463"/>
      <c r="AT12" s="463"/>
      <c r="AU12" s="463"/>
      <c r="AV12" s="463"/>
      <c r="AW12" s="463"/>
      <c r="AX12" s="463"/>
      <c r="AY12" s="463"/>
      <c r="AZ12" s="463"/>
      <c r="BA12" s="4"/>
    </row>
    <row r="13" spans="2:53" ht="15" hidden="1" customHeight="1" x14ac:dyDescent="0.3">
      <c r="B13" s="276">
        <v>7</v>
      </c>
      <c r="C13" s="277" t="str">
        <f>'Program Descriptions'!C11</f>
        <v>Empty</v>
      </c>
      <c r="D13" s="277"/>
      <c r="E13" s="463"/>
      <c r="F13" s="463"/>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3"/>
      <c r="AX13" s="463"/>
      <c r="AY13" s="463"/>
      <c r="AZ13" s="463"/>
      <c r="BA13" s="4"/>
    </row>
    <row r="14" spans="2:53" ht="15" hidden="1" customHeight="1" x14ac:dyDescent="0.3">
      <c r="B14" s="276">
        <v>8</v>
      </c>
      <c r="C14" s="277" t="str">
        <f>'Program Descriptions'!C12</f>
        <v>Empty</v>
      </c>
      <c r="D14" s="277"/>
      <c r="E14" s="463"/>
      <c r="F14" s="463"/>
      <c r="G14" s="463"/>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463"/>
      <c r="AX14" s="463"/>
      <c r="AY14" s="463"/>
      <c r="AZ14" s="463"/>
      <c r="BA14" s="4"/>
    </row>
    <row r="15" spans="2:53" ht="15" hidden="1" customHeight="1" x14ac:dyDescent="0.3">
      <c r="B15" s="276">
        <v>9</v>
      </c>
      <c r="C15" s="277" t="str">
        <f>'Program Descriptions'!C13</f>
        <v>Empty</v>
      </c>
      <c r="D15" s="277"/>
      <c r="E15" s="463"/>
      <c r="F15" s="463"/>
      <c r="G15" s="463"/>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3"/>
      <c r="AY15" s="463"/>
      <c r="AZ15" s="463"/>
      <c r="BA15" s="4"/>
    </row>
    <row r="16" spans="2:53" ht="15" hidden="1" customHeight="1" x14ac:dyDescent="0.3">
      <c r="B16" s="276">
        <v>10</v>
      </c>
      <c r="C16" s="277" t="str">
        <f>'Program Descriptions'!C14</f>
        <v>Empty</v>
      </c>
      <c r="D16" s="277"/>
      <c r="E16" s="463"/>
      <c r="F16" s="463"/>
      <c r="G16" s="463"/>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3"/>
      <c r="AU16" s="463"/>
      <c r="AV16" s="463"/>
      <c r="AW16" s="463"/>
      <c r="AX16" s="463"/>
      <c r="AY16" s="463"/>
      <c r="AZ16" s="463"/>
      <c r="BA16" s="4"/>
    </row>
    <row r="17" spans="2:53" ht="15" hidden="1" customHeight="1" x14ac:dyDescent="0.3">
      <c r="B17" s="276">
        <v>11</v>
      </c>
      <c r="C17" s="277" t="str">
        <f>'Program Descriptions'!C15</f>
        <v>Empty</v>
      </c>
      <c r="D17" s="277"/>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3"/>
      <c r="AX17" s="463"/>
      <c r="AY17" s="463"/>
      <c r="AZ17" s="463"/>
      <c r="BA17" s="4"/>
    </row>
    <row r="18" spans="2:53" ht="15" hidden="1" customHeight="1" x14ac:dyDescent="0.3">
      <c r="B18" s="276">
        <v>12</v>
      </c>
      <c r="C18" s="277" t="str">
        <f>'Program Descriptions'!C16</f>
        <v>Empty</v>
      </c>
      <c r="D18" s="277"/>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c r="AS18" s="463"/>
      <c r="AT18" s="463"/>
      <c r="AU18" s="463"/>
      <c r="AV18" s="463"/>
      <c r="AW18" s="463"/>
      <c r="AX18" s="463"/>
      <c r="AY18" s="463"/>
      <c r="AZ18" s="463"/>
      <c r="BA18" s="4"/>
    </row>
    <row r="19" spans="2:53" ht="15" hidden="1" customHeight="1" x14ac:dyDescent="0.3">
      <c r="B19" s="276">
        <v>13</v>
      </c>
      <c r="C19" s="277" t="str">
        <f>'Program Descriptions'!C17</f>
        <v>Empty</v>
      </c>
      <c r="D19" s="277"/>
      <c r="E19" s="463"/>
      <c r="F19" s="463"/>
      <c r="G19" s="463"/>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c r="AS19" s="463"/>
      <c r="AT19" s="463"/>
      <c r="AU19" s="463"/>
      <c r="AV19" s="463"/>
      <c r="AW19" s="463"/>
      <c r="AX19" s="463"/>
      <c r="AY19" s="463"/>
      <c r="AZ19" s="463"/>
      <c r="BA19" s="4"/>
    </row>
    <row r="20" spans="2:53" ht="15" hidden="1" customHeight="1" x14ac:dyDescent="0.3">
      <c r="B20" s="276">
        <v>14</v>
      </c>
      <c r="C20" s="277" t="str">
        <f>'Program Descriptions'!C18</f>
        <v>Empty</v>
      </c>
      <c r="D20" s="277"/>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3"/>
      <c r="AU20" s="463"/>
      <c r="AV20" s="463"/>
      <c r="AW20" s="463"/>
      <c r="AX20" s="463"/>
      <c r="AY20" s="463"/>
      <c r="AZ20" s="463"/>
      <c r="BA20" s="4"/>
    </row>
    <row r="21" spans="2:53" ht="15" hidden="1" customHeight="1" x14ac:dyDescent="0.3">
      <c r="B21" s="276">
        <v>15</v>
      </c>
      <c r="C21" s="277" t="str">
        <f>'Program Descriptions'!C19</f>
        <v>Empty</v>
      </c>
      <c r="D21" s="277"/>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3"/>
      <c r="AY21" s="463"/>
      <c r="AZ21" s="463"/>
      <c r="BA21" s="4"/>
    </row>
    <row r="22" spans="2:53" ht="15" hidden="1" customHeight="1" x14ac:dyDescent="0.3">
      <c r="B22" s="276">
        <v>16</v>
      </c>
      <c r="C22" s="277" t="str">
        <f>'Program Descriptions'!C20</f>
        <v>Empty</v>
      </c>
      <c r="D22" s="277"/>
      <c r="E22" s="463"/>
      <c r="F22" s="463"/>
      <c r="G22" s="463"/>
      <c r="H22" s="463"/>
      <c r="I22" s="463"/>
      <c r="J22" s="463"/>
      <c r="K22" s="463"/>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c r="AS22" s="463"/>
      <c r="AT22" s="463"/>
      <c r="AU22" s="463"/>
      <c r="AV22" s="463"/>
      <c r="AW22" s="463"/>
      <c r="AX22" s="463"/>
      <c r="AY22" s="463"/>
      <c r="AZ22" s="463"/>
      <c r="BA22" s="4"/>
    </row>
    <row r="23" spans="2:53" ht="15" hidden="1" customHeight="1" x14ac:dyDescent="0.3">
      <c r="B23" s="276">
        <v>17</v>
      </c>
      <c r="C23" s="277" t="str">
        <f>'Program Descriptions'!C21</f>
        <v>Empty</v>
      </c>
      <c r="D23" s="277"/>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c r="AS23" s="463"/>
      <c r="AT23" s="463"/>
      <c r="AU23" s="463"/>
      <c r="AV23" s="463"/>
      <c r="AW23" s="463"/>
      <c r="AX23" s="463"/>
      <c r="AY23" s="463"/>
      <c r="AZ23" s="463"/>
      <c r="BA23" s="4"/>
    </row>
    <row r="24" spans="2:53" ht="15" hidden="1" customHeight="1" x14ac:dyDescent="0.3">
      <c r="B24" s="276">
        <v>18</v>
      </c>
      <c r="C24" s="277" t="str">
        <f>'Program Descriptions'!C22</f>
        <v>Empty</v>
      </c>
      <c r="D24" s="277"/>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c r="AS24" s="463"/>
      <c r="AT24" s="463"/>
      <c r="AU24" s="463"/>
      <c r="AV24" s="463"/>
      <c r="AW24" s="463"/>
      <c r="AX24" s="463"/>
      <c r="AY24" s="463"/>
      <c r="AZ24" s="463"/>
      <c r="BA24" s="4"/>
    </row>
    <row r="25" spans="2:53" ht="15" hidden="1" customHeight="1" x14ac:dyDescent="0.3">
      <c r="B25" s="276">
        <v>19</v>
      </c>
      <c r="C25" s="277" t="str">
        <f>'Program Descriptions'!C23</f>
        <v>Empty</v>
      </c>
      <c r="D25" s="277"/>
      <c r="E25" s="463"/>
      <c r="F25" s="463"/>
      <c r="G25" s="463"/>
      <c r="H25" s="463"/>
      <c r="I25" s="463"/>
      <c r="J25" s="463"/>
      <c r="K25" s="463"/>
      <c r="L25" s="463"/>
      <c r="M25" s="463"/>
      <c r="N25" s="463"/>
      <c r="O25" s="463"/>
      <c r="P25" s="463"/>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c r="AS25" s="463"/>
      <c r="AT25" s="463"/>
      <c r="AU25" s="463"/>
      <c r="AV25" s="463"/>
      <c r="AW25" s="463"/>
      <c r="AX25" s="463"/>
      <c r="AY25" s="463"/>
      <c r="AZ25" s="463"/>
      <c r="BA25" s="4"/>
    </row>
    <row r="26" spans="2:53" ht="15" hidden="1" customHeight="1" x14ac:dyDescent="0.3">
      <c r="B26" s="276">
        <v>20</v>
      </c>
      <c r="C26" s="277" t="str">
        <f>'Program Descriptions'!C24</f>
        <v>Empty</v>
      </c>
      <c r="D26" s="277"/>
      <c r="E26" s="463"/>
      <c r="F26" s="463"/>
      <c r="G26" s="463"/>
      <c r="H26" s="463"/>
      <c r="I26" s="463"/>
      <c r="J26" s="463"/>
      <c r="K26" s="463"/>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c r="AS26" s="463"/>
      <c r="AT26" s="463"/>
      <c r="AU26" s="463"/>
      <c r="AV26" s="463"/>
      <c r="AW26" s="463"/>
      <c r="AX26" s="463"/>
      <c r="AY26" s="463"/>
      <c r="AZ26" s="463"/>
      <c r="BA26" s="4"/>
    </row>
    <row r="27" spans="2:53" x14ac:dyDescent="0.3">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7"/>
    </row>
  </sheetData>
  <sheetProtection formatRows="0"/>
  <mergeCells count="4">
    <mergeCell ref="E5:X5"/>
    <mergeCell ref="Y5:AQ5"/>
    <mergeCell ref="AR5:AZ5"/>
    <mergeCell ref="B2:BA2"/>
  </mergeCells>
  <conditionalFormatting sqref="E7:AZ26">
    <cfRule type="expression" dxfId="84" priority="1">
      <formula>$B7&gt;Programs</formula>
    </cfRule>
  </conditionalFormatting>
  <pageMargins left="0.25" right="0.25" top="0.5" bottom="0.5" header="0.3" footer="0.3"/>
  <pageSetup orientation="landscape" r:id="rId1"/>
  <colBreaks count="2" manualBreakCount="2">
    <brk id="24" max="1048575" man="1"/>
    <brk id="43"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B1:N115"/>
  <sheetViews>
    <sheetView showGridLines="0" showRowColHeaders="0" zoomScale="110" zoomScaleNormal="110" workbookViewId="0">
      <pane ySplit="4" topLeftCell="A7" activePane="bottomLeft" state="frozen"/>
      <selection activeCell="AK33" sqref="AK33"/>
      <selection pane="bottomLeft" activeCell="F26" sqref="F26"/>
    </sheetView>
  </sheetViews>
  <sheetFormatPr defaultColWidth="9.1796875" defaultRowHeight="13" x14ac:dyDescent="0.3"/>
  <cols>
    <col min="1" max="1" width="1" style="2" customWidth="1"/>
    <col min="2" max="2" width="3.7265625" style="2" customWidth="1"/>
    <col min="3" max="3" width="35.7265625" style="2" customWidth="1"/>
    <col min="4" max="9" width="13.26953125" style="2" customWidth="1"/>
    <col min="10" max="10" width="5.81640625" style="2" customWidth="1"/>
    <col min="11" max="11" width="8"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ht="85.5" customHeight="1" x14ac:dyDescent="0.3">
      <c r="B2" s="456"/>
      <c r="C2" s="457"/>
      <c r="D2" s="457"/>
      <c r="E2" s="457"/>
      <c r="F2" s="457"/>
      <c r="G2" s="457"/>
      <c r="H2" s="457"/>
      <c r="I2" s="457"/>
      <c r="J2" s="457"/>
      <c r="K2" s="458"/>
    </row>
    <row r="3" spans="2:14" ht="12" customHeight="1" x14ac:dyDescent="0.3">
      <c r="B3" s="459"/>
      <c r="C3" s="354" t="str">
        <f>IF(N27&gt;0,"Incomplete - All yellow shaded cells must be completed.","")</f>
        <v>Incomplete - All yellow shaded cells must be completed.</v>
      </c>
      <c r="D3" s="351"/>
      <c r="E3" s="351"/>
      <c r="F3" s="351"/>
      <c r="G3" s="351"/>
      <c r="H3" s="351"/>
      <c r="I3" s="351"/>
      <c r="J3" s="351"/>
      <c r="K3" s="460"/>
    </row>
    <row r="4" spans="2:14" ht="42.75" customHeight="1" x14ac:dyDescent="0.35">
      <c r="B4" s="3"/>
      <c r="C4" s="9" t="s">
        <v>85</v>
      </c>
      <c r="D4" s="278" t="str">
        <f>Cost!B4</f>
        <v>Planning / Design</v>
      </c>
      <c r="E4" s="278" t="str">
        <f>Cost!C4</f>
        <v>Marketing &amp; Delivery</v>
      </c>
      <c r="F4" s="278" t="str">
        <f>Cost!B14</f>
        <v>Incentives / Direct Install Costs</v>
      </c>
      <c r="G4" s="278" t="str">
        <f>Cost!C19</f>
        <v>EM&amp;V</v>
      </c>
      <c r="H4" s="278" t="str">
        <f>Cost!B25</f>
        <v>Administration</v>
      </c>
      <c r="I4" s="279" t="s">
        <v>149</v>
      </c>
      <c r="K4" s="4"/>
    </row>
    <row r="5" spans="2:14" ht="15" customHeight="1" x14ac:dyDescent="0.3">
      <c r="B5" s="276">
        <v>1</v>
      </c>
      <c r="C5" s="277" t="str">
        <f>'Program Descriptions'!C5</f>
        <v>Commercial &amp; Industrial Solutions Program</v>
      </c>
      <c r="D5" s="464">
        <v>33200</v>
      </c>
      <c r="E5" s="464">
        <v>846789.42</v>
      </c>
      <c r="F5" s="464">
        <v>431263.65</v>
      </c>
      <c r="G5" s="464">
        <v>86403.92</v>
      </c>
      <c r="H5" s="464">
        <v>27491</v>
      </c>
      <c r="I5" s="11">
        <f>SUM(D5:H5)</f>
        <v>1425147.99</v>
      </c>
      <c r="K5" s="4"/>
      <c r="N5" s="336">
        <f>IF(C5="Empty",0,IF(OR(ISBLANK(D5),ISBLANK(E5),ISBLANK(F5),ISBLANK(G5),ISBLANK(H5)),1,0))</f>
        <v>0</v>
      </c>
    </row>
    <row r="6" spans="2:14" ht="15" customHeight="1" x14ac:dyDescent="0.3">
      <c r="B6" s="276">
        <v>2</v>
      </c>
      <c r="C6" s="277" t="str">
        <f>'Program Descriptions'!C6</f>
        <v>Energy Efficiency Arkansas</v>
      </c>
      <c r="D6" s="464"/>
      <c r="E6" s="464">
        <v>0</v>
      </c>
      <c r="F6" s="464"/>
      <c r="G6" s="464">
        <v>0</v>
      </c>
      <c r="H6" s="464">
        <v>0</v>
      </c>
      <c r="I6" s="11">
        <f t="shared" ref="I6:I24" si="0">SUM(D6:H6)</f>
        <v>0</v>
      </c>
      <c r="K6" s="4"/>
      <c r="N6" s="336">
        <f t="shared" ref="N6:N24" si="1">IF(C6="Empty",0,IF(OR(ISBLANK(D6),ISBLANK(E6),ISBLANK(F6),ISBLANK(G6),ISBLANK(H6)),1,0))</f>
        <v>1</v>
      </c>
    </row>
    <row r="7" spans="2:14" ht="15" customHeight="1" x14ac:dyDescent="0.3">
      <c r="B7" s="276">
        <v>3</v>
      </c>
      <c r="C7" s="277" t="str">
        <f>'Program Descriptions'!C7</f>
        <v>Residential Solution Program</v>
      </c>
      <c r="D7" s="464">
        <v>0</v>
      </c>
      <c r="E7" s="464">
        <v>790400.69</v>
      </c>
      <c r="F7" s="464">
        <v>1587830</v>
      </c>
      <c r="G7" s="464">
        <v>99664.06</v>
      </c>
      <c r="H7" s="464">
        <v>26995</v>
      </c>
      <c r="I7" s="11">
        <f t="shared" si="0"/>
        <v>2504889.75</v>
      </c>
      <c r="K7" s="4"/>
      <c r="N7" s="336">
        <f t="shared" si="1"/>
        <v>0</v>
      </c>
    </row>
    <row r="8" spans="2:14" ht="15" customHeight="1" thickBot="1" x14ac:dyDescent="0.35">
      <c r="B8" s="276">
        <v>4</v>
      </c>
      <c r="C8" s="277" t="str">
        <f>'Program Descriptions'!C8</f>
        <v>Income Qualified Program</v>
      </c>
      <c r="D8" s="464">
        <v>2763.02</v>
      </c>
      <c r="E8" s="464">
        <v>71397.279999999999</v>
      </c>
      <c r="F8" s="464">
        <v>131693</v>
      </c>
      <c r="G8" s="464">
        <v>3722.5</v>
      </c>
      <c r="H8" s="464">
        <v>2319</v>
      </c>
      <c r="I8" s="11">
        <f t="shared" si="0"/>
        <v>211894.8</v>
      </c>
      <c r="K8" s="4"/>
      <c r="N8" s="336">
        <f t="shared" si="1"/>
        <v>0</v>
      </c>
    </row>
    <row r="9" spans="2:14" ht="15" hidden="1" customHeight="1" x14ac:dyDescent="0.3">
      <c r="B9" s="276">
        <v>5</v>
      </c>
      <c r="C9" s="277" t="str">
        <f>'Program Descriptions'!C9</f>
        <v>Empty</v>
      </c>
      <c r="D9" s="464"/>
      <c r="E9" s="464"/>
      <c r="F9" s="464"/>
      <c r="G9" s="464"/>
      <c r="H9" s="464"/>
      <c r="I9" s="11">
        <f t="shared" si="0"/>
        <v>0</v>
      </c>
      <c r="K9" s="4"/>
      <c r="N9" s="336">
        <f t="shared" si="1"/>
        <v>0</v>
      </c>
    </row>
    <row r="10" spans="2:14" ht="15" hidden="1" customHeight="1" x14ac:dyDescent="0.3">
      <c r="B10" s="276">
        <v>6</v>
      </c>
      <c r="C10" s="277" t="str">
        <f>'Program Descriptions'!C10</f>
        <v>Empty</v>
      </c>
      <c r="D10" s="464"/>
      <c r="E10" s="464"/>
      <c r="F10" s="464"/>
      <c r="G10" s="464"/>
      <c r="H10" s="464"/>
      <c r="I10" s="11">
        <f t="shared" si="0"/>
        <v>0</v>
      </c>
      <c r="K10" s="4"/>
      <c r="N10" s="336">
        <f t="shared" si="1"/>
        <v>0</v>
      </c>
    </row>
    <row r="11" spans="2:14" ht="15" hidden="1" customHeight="1" x14ac:dyDescent="0.3">
      <c r="B11" s="276">
        <v>7</v>
      </c>
      <c r="C11" s="277" t="str">
        <f>'Program Descriptions'!C11</f>
        <v>Empty</v>
      </c>
      <c r="D11" s="464"/>
      <c r="E11" s="464"/>
      <c r="F11" s="464"/>
      <c r="G11" s="464"/>
      <c r="H11" s="464"/>
      <c r="I11" s="11">
        <f t="shared" si="0"/>
        <v>0</v>
      </c>
      <c r="K11" s="4"/>
      <c r="N11" s="336">
        <f t="shared" si="1"/>
        <v>0</v>
      </c>
    </row>
    <row r="12" spans="2:14" ht="15" hidden="1" customHeight="1" x14ac:dyDescent="0.3">
      <c r="B12" s="276">
        <v>8</v>
      </c>
      <c r="C12" s="277" t="str">
        <f>'Program Descriptions'!C12</f>
        <v>Empty</v>
      </c>
      <c r="D12" s="464"/>
      <c r="E12" s="464"/>
      <c r="F12" s="464"/>
      <c r="G12" s="464"/>
      <c r="H12" s="464"/>
      <c r="I12" s="11">
        <f t="shared" si="0"/>
        <v>0</v>
      </c>
      <c r="K12" s="4"/>
      <c r="N12" s="336">
        <f t="shared" si="1"/>
        <v>0</v>
      </c>
    </row>
    <row r="13" spans="2:14" ht="15" hidden="1" customHeight="1" x14ac:dyDescent="0.3">
      <c r="B13" s="276">
        <v>9</v>
      </c>
      <c r="C13" s="277" t="str">
        <f>'Program Descriptions'!C13</f>
        <v>Empty</v>
      </c>
      <c r="D13" s="464"/>
      <c r="E13" s="464"/>
      <c r="F13" s="464"/>
      <c r="G13" s="464"/>
      <c r="H13" s="464"/>
      <c r="I13" s="11">
        <f t="shared" si="0"/>
        <v>0</v>
      </c>
      <c r="K13" s="4"/>
      <c r="N13" s="336">
        <f t="shared" si="1"/>
        <v>0</v>
      </c>
    </row>
    <row r="14" spans="2:14" ht="15" hidden="1" customHeight="1" x14ac:dyDescent="0.3">
      <c r="B14" s="276">
        <v>10</v>
      </c>
      <c r="C14" s="277" t="str">
        <f>'Program Descriptions'!C14</f>
        <v>Empty</v>
      </c>
      <c r="D14" s="464"/>
      <c r="E14" s="464"/>
      <c r="F14" s="464"/>
      <c r="G14" s="464"/>
      <c r="H14" s="464"/>
      <c r="I14" s="11">
        <f t="shared" si="0"/>
        <v>0</v>
      </c>
      <c r="K14" s="4"/>
      <c r="N14" s="336">
        <f t="shared" si="1"/>
        <v>0</v>
      </c>
    </row>
    <row r="15" spans="2:14" ht="15" hidden="1" customHeight="1" x14ac:dyDescent="0.3">
      <c r="B15" s="276">
        <v>11</v>
      </c>
      <c r="C15" s="277" t="str">
        <f>'Program Descriptions'!C15</f>
        <v>Empty</v>
      </c>
      <c r="D15" s="464"/>
      <c r="E15" s="464"/>
      <c r="F15" s="464"/>
      <c r="G15" s="464"/>
      <c r="H15" s="464"/>
      <c r="I15" s="11">
        <f t="shared" si="0"/>
        <v>0</v>
      </c>
      <c r="K15" s="4"/>
      <c r="N15" s="336">
        <f t="shared" si="1"/>
        <v>0</v>
      </c>
    </row>
    <row r="16" spans="2:14" ht="15" hidden="1" customHeight="1" x14ac:dyDescent="0.3">
      <c r="B16" s="276">
        <v>12</v>
      </c>
      <c r="C16" s="277" t="str">
        <f>'Program Descriptions'!C16</f>
        <v>Empty</v>
      </c>
      <c r="D16" s="464"/>
      <c r="E16" s="464"/>
      <c r="F16" s="464"/>
      <c r="G16" s="464"/>
      <c r="H16" s="464"/>
      <c r="I16" s="11">
        <f t="shared" si="0"/>
        <v>0</v>
      </c>
      <c r="K16" s="4"/>
      <c r="N16" s="336">
        <f t="shared" si="1"/>
        <v>0</v>
      </c>
    </row>
    <row r="17" spans="2:14" ht="15" hidden="1" customHeight="1" x14ac:dyDescent="0.3">
      <c r="B17" s="276">
        <v>13</v>
      </c>
      <c r="C17" s="277" t="str">
        <f>'Program Descriptions'!C17</f>
        <v>Empty</v>
      </c>
      <c r="D17" s="464"/>
      <c r="E17" s="464"/>
      <c r="F17" s="464"/>
      <c r="G17" s="464"/>
      <c r="H17" s="464"/>
      <c r="I17" s="11">
        <f t="shared" si="0"/>
        <v>0</v>
      </c>
      <c r="K17" s="4"/>
      <c r="N17" s="336">
        <f t="shared" si="1"/>
        <v>0</v>
      </c>
    </row>
    <row r="18" spans="2:14" ht="15" hidden="1" customHeight="1" x14ac:dyDescent="0.3">
      <c r="B18" s="276">
        <v>14</v>
      </c>
      <c r="C18" s="277" t="str">
        <f>'Program Descriptions'!C18</f>
        <v>Empty</v>
      </c>
      <c r="D18" s="464"/>
      <c r="E18" s="464"/>
      <c r="F18" s="464"/>
      <c r="G18" s="464"/>
      <c r="H18" s="464"/>
      <c r="I18" s="11">
        <f t="shared" si="0"/>
        <v>0</v>
      </c>
      <c r="K18" s="4"/>
      <c r="N18" s="336">
        <f t="shared" si="1"/>
        <v>0</v>
      </c>
    </row>
    <row r="19" spans="2:14" ht="15" hidden="1" customHeight="1" x14ac:dyDescent="0.3">
      <c r="B19" s="276">
        <v>15</v>
      </c>
      <c r="C19" s="277" t="str">
        <f>'Program Descriptions'!C19</f>
        <v>Empty</v>
      </c>
      <c r="D19" s="464"/>
      <c r="E19" s="464"/>
      <c r="F19" s="464"/>
      <c r="G19" s="464"/>
      <c r="H19" s="464"/>
      <c r="I19" s="11">
        <f t="shared" si="0"/>
        <v>0</v>
      </c>
      <c r="K19" s="4"/>
      <c r="N19" s="336">
        <f t="shared" si="1"/>
        <v>0</v>
      </c>
    </row>
    <row r="20" spans="2:14" ht="15" hidden="1" customHeight="1" x14ac:dyDescent="0.3">
      <c r="B20" s="276">
        <v>16</v>
      </c>
      <c r="C20" s="277" t="str">
        <f>'Program Descriptions'!C20</f>
        <v>Empty</v>
      </c>
      <c r="D20" s="464"/>
      <c r="E20" s="464"/>
      <c r="F20" s="464"/>
      <c r="G20" s="464"/>
      <c r="H20" s="464"/>
      <c r="I20" s="11">
        <f t="shared" si="0"/>
        <v>0</v>
      </c>
      <c r="K20" s="4"/>
      <c r="N20" s="336">
        <f t="shared" si="1"/>
        <v>0</v>
      </c>
    </row>
    <row r="21" spans="2:14" ht="15" hidden="1" customHeight="1" x14ac:dyDescent="0.3">
      <c r="B21" s="276">
        <v>17</v>
      </c>
      <c r="C21" s="277" t="str">
        <f>'Program Descriptions'!C21</f>
        <v>Empty</v>
      </c>
      <c r="D21" s="465"/>
      <c r="E21" s="465"/>
      <c r="F21" s="465"/>
      <c r="G21" s="465"/>
      <c r="H21" s="465"/>
      <c r="I21" s="11">
        <f t="shared" si="0"/>
        <v>0</v>
      </c>
      <c r="K21" s="4"/>
      <c r="N21" s="336">
        <f t="shared" si="1"/>
        <v>0</v>
      </c>
    </row>
    <row r="22" spans="2:14" ht="15" hidden="1" customHeight="1" x14ac:dyDescent="0.3">
      <c r="B22" s="276">
        <v>18</v>
      </c>
      <c r="C22" s="277" t="str">
        <f>'Program Descriptions'!C22</f>
        <v>Empty</v>
      </c>
      <c r="D22" s="465"/>
      <c r="E22" s="465"/>
      <c r="F22" s="465"/>
      <c r="G22" s="465"/>
      <c r="H22" s="465"/>
      <c r="I22" s="11">
        <f t="shared" si="0"/>
        <v>0</v>
      </c>
      <c r="K22" s="4"/>
      <c r="N22" s="336">
        <f t="shared" si="1"/>
        <v>0</v>
      </c>
    </row>
    <row r="23" spans="2:14" ht="15" hidden="1" customHeight="1" x14ac:dyDescent="0.3">
      <c r="B23" s="276">
        <v>19</v>
      </c>
      <c r="C23" s="277" t="str">
        <f>'Program Descriptions'!C23</f>
        <v>Empty</v>
      </c>
      <c r="D23" s="465"/>
      <c r="E23" s="465"/>
      <c r="F23" s="465"/>
      <c r="G23" s="465"/>
      <c r="H23" s="465"/>
      <c r="I23" s="11">
        <f t="shared" si="0"/>
        <v>0</v>
      </c>
      <c r="K23" s="4"/>
      <c r="N23" s="336">
        <f t="shared" si="1"/>
        <v>0</v>
      </c>
    </row>
    <row r="24" spans="2:14" ht="15" hidden="1" customHeight="1" thickBot="1" x14ac:dyDescent="0.35">
      <c r="B24" s="276">
        <v>20</v>
      </c>
      <c r="C24" s="277" t="str">
        <f>'Program Descriptions'!C24</f>
        <v>Empty</v>
      </c>
      <c r="D24" s="466"/>
      <c r="E24" s="466"/>
      <c r="F24" s="466"/>
      <c r="G24" s="466"/>
      <c r="H24" s="466"/>
      <c r="I24" s="11">
        <f t="shared" si="0"/>
        <v>0</v>
      </c>
      <c r="K24" s="4"/>
      <c r="N24" s="336">
        <f t="shared" si="1"/>
        <v>0</v>
      </c>
    </row>
    <row r="25" spans="2:14" ht="15" customHeight="1" x14ac:dyDescent="0.35">
      <c r="B25" s="8"/>
      <c r="C25" s="280" t="s">
        <v>150</v>
      </c>
      <c r="D25" s="14">
        <f t="shared" ref="D25:I25" si="2">SUM(D5:D24)</f>
        <v>35963.019999999997</v>
      </c>
      <c r="E25" s="14">
        <f t="shared" si="2"/>
        <v>1708587.39</v>
      </c>
      <c r="F25" s="14">
        <f t="shared" si="2"/>
        <v>2150786.65</v>
      </c>
      <c r="G25" s="14">
        <f t="shared" si="2"/>
        <v>189790.47999999998</v>
      </c>
      <c r="H25" s="14">
        <f t="shared" si="2"/>
        <v>56805</v>
      </c>
      <c r="I25" s="14">
        <f t="shared" si="2"/>
        <v>4141932.54</v>
      </c>
      <c r="K25" s="4"/>
    </row>
    <row r="26" spans="2:14" ht="15" customHeight="1" x14ac:dyDescent="0.35">
      <c r="B26" s="8"/>
      <c r="C26" s="281"/>
      <c r="D26" s="11"/>
      <c r="E26" s="11"/>
      <c r="F26" s="11"/>
      <c r="G26" s="11"/>
      <c r="H26" s="15" t="str">
        <f>Cost!C25</f>
        <v>Regulatory</v>
      </c>
      <c r="I26" s="465">
        <v>27917</v>
      </c>
      <c r="K26" s="4"/>
      <c r="N26" s="336">
        <f>IF(ISBLANK(I26),1,0)</f>
        <v>0</v>
      </c>
    </row>
    <row r="27" spans="2:14" ht="15" customHeight="1" thickBot="1" x14ac:dyDescent="0.35">
      <c r="B27" s="8"/>
      <c r="C27" s="281"/>
      <c r="D27" s="11"/>
      <c r="E27" s="11"/>
      <c r="F27" s="11"/>
      <c r="G27" s="11"/>
      <c r="H27" s="12" t="s">
        <v>151</v>
      </c>
      <c r="I27" s="13">
        <f>I25+I26</f>
        <v>4169849.54</v>
      </c>
      <c r="K27" s="4"/>
      <c r="N27" s="2">
        <f>SUM(N5:N26)</f>
        <v>1</v>
      </c>
    </row>
    <row r="28" spans="2:14" ht="15" customHeight="1" thickTop="1" x14ac:dyDescent="0.3">
      <c r="B28" s="5"/>
      <c r="C28" s="6"/>
      <c r="D28" s="6"/>
      <c r="E28" s="6"/>
      <c r="F28" s="6"/>
      <c r="G28" s="6"/>
      <c r="H28" s="6"/>
      <c r="I28" s="6"/>
      <c r="J28" s="6"/>
      <c r="K28" s="7"/>
    </row>
    <row r="29" spans="2:14" ht="15" customHeight="1" x14ac:dyDescent="0.3"/>
    <row r="30" spans="2:14" ht="15" customHeight="1" x14ac:dyDescent="0.3"/>
    <row r="31" spans="2:14" ht="15" customHeight="1" x14ac:dyDescent="0.3"/>
    <row r="32" spans="2:14"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password="C925" sheet="1" objects="1" scenarios="1" formatRows="0"/>
  <conditionalFormatting sqref="D5:H24">
    <cfRule type="expression" dxfId="83" priority="1">
      <formula>$B5&gt;Programs</formula>
    </cfRule>
  </conditionalFormatting>
  <pageMargins left="0.25" right="0.25" top="0.25" bottom="0.2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B1:N29"/>
  <sheetViews>
    <sheetView showGridLines="0" showRowColHeaders="0" workbookViewId="0">
      <selection activeCell="G33" sqref="G33"/>
    </sheetView>
  </sheetViews>
  <sheetFormatPr defaultColWidth="9.1796875" defaultRowHeight="13" x14ac:dyDescent="0.3"/>
  <cols>
    <col min="1" max="1" width="1" style="2" customWidth="1"/>
    <col min="2" max="2" width="1.81640625" style="2" customWidth="1"/>
    <col min="3" max="3" width="3.453125" style="2" customWidth="1"/>
    <col min="4" max="4" width="37" style="2" customWidth="1"/>
    <col min="5" max="6" width="14.54296875" style="2" customWidth="1"/>
    <col min="7" max="7" width="12.7265625" style="2" customWidth="1"/>
    <col min="8" max="8" width="7" style="2" customWidth="1"/>
    <col min="9" max="9" width="44.1796875" style="2" customWidth="1"/>
    <col min="10" max="10" width="1.54296875" style="2" customWidth="1"/>
    <col min="11" max="11" width="1" style="2" customWidth="1"/>
    <col min="12" max="13" width="9.1796875" style="2"/>
    <col min="14" max="14" width="9.1796875" style="2" hidden="1" customWidth="1"/>
    <col min="15" max="16384" width="9.1796875" style="2"/>
  </cols>
  <sheetData>
    <row r="1" spans="2:14" ht="5.15" customHeight="1" thickBot="1" x14ac:dyDescent="0.35"/>
    <row r="2" spans="2:14" ht="38.25" customHeight="1" thickBot="1" x14ac:dyDescent="0.35">
      <c r="B2" s="629" t="s">
        <v>152</v>
      </c>
      <c r="C2" s="629"/>
      <c r="D2" s="629"/>
      <c r="E2" s="629"/>
      <c r="F2" s="629"/>
      <c r="G2" s="629"/>
      <c r="H2" s="629"/>
      <c r="I2" s="629"/>
      <c r="J2" s="629"/>
    </row>
    <row r="3" spans="2:14" ht="15.75" customHeight="1" x14ac:dyDescent="0.3">
      <c r="B3" s="459"/>
      <c r="C3" s="351"/>
      <c r="D3" s="354" t="str">
        <f>IF(N29&gt;0,"Incomplete - All yellow shaded cells must be completed.","")</f>
        <v/>
      </c>
      <c r="E3" s="351"/>
      <c r="F3" s="351"/>
      <c r="G3" s="351"/>
      <c r="H3" s="351"/>
      <c r="I3" s="351"/>
      <c r="J3" s="460"/>
    </row>
    <row r="4" spans="2:14" x14ac:dyDescent="0.3">
      <c r="B4" s="3"/>
      <c r="D4" s="10" t="s">
        <v>85</v>
      </c>
      <c r="E4" s="29" t="s">
        <v>153</v>
      </c>
      <c r="F4" s="29" t="s">
        <v>154</v>
      </c>
      <c r="G4" s="29" t="s">
        <v>155</v>
      </c>
      <c r="H4" s="29" t="s">
        <v>156</v>
      </c>
      <c r="I4" s="29" t="s">
        <v>157</v>
      </c>
      <c r="J4" s="4"/>
    </row>
    <row r="5" spans="2:14" x14ac:dyDescent="0.3">
      <c r="B5" s="3"/>
      <c r="C5" s="467">
        <v>1</v>
      </c>
      <c r="D5" s="468" t="str">
        <f>'Program Descriptions'!C5</f>
        <v>Commercial &amp; Industrial Solutions Program</v>
      </c>
      <c r="E5" s="469">
        <v>1425198</v>
      </c>
      <c r="F5" s="470">
        <f>Budgets!I5</f>
        <v>1425147.99</v>
      </c>
      <c r="G5" s="470">
        <f t="shared" ref="G5:G25" si="0">F5-E5</f>
        <v>-50.010000000009313</v>
      </c>
      <c r="H5" s="471">
        <f t="shared" ref="H5:H10" si="1">IF(ISERROR(G5/E5),"-",G5/E5)</f>
        <v>-3.5089861198240043E-5</v>
      </c>
      <c r="I5" s="32" t="s">
        <v>716</v>
      </c>
      <c r="J5" s="4"/>
      <c r="N5" s="336">
        <f>IF(D5="Empty",0,IF(ISBLANK(E5),1,IF(H5=0,0,IF(ISBLANK(I5),1,0))))</f>
        <v>0</v>
      </c>
    </row>
    <row r="6" spans="2:14" x14ac:dyDescent="0.3">
      <c r="B6" s="3"/>
      <c r="C6" s="467">
        <v>2</v>
      </c>
      <c r="D6" s="468" t="str">
        <f>'Program Descriptions'!C6</f>
        <v>Energy Efficiency Arkansas</v>
      </c>
      <c r="E6" s="469">
        <v>0</v>
      </c>
      <c r="F6" s="470">
        <f>Budgets!I6</f>
        <v>0</v>
      </c>
      <c r="G6" s="470">
        <f t="shared" si="0"/>
        <v>0</v>
      </c>
      <c r="H6" s="471" t="str">
        <f t="shared" si="1"/>
        <v>-</v>
      </c>
      <c r="I6" s="32" t="s">
        <v>715</v>
      </c>
      <c r="J6" s="4"/>
      <c r="N6" s="336">
        <f t="shared" ref="N6:N25" si="2">IF(D6="Empty",0,IF(ISBLANK(E6),1,IF(H6=0,0,IF(ISBLANK(I6),1,0))))</f>
        <v>0</v>
      </c>
    </row>
    <row r="7" spans="2:14" x14ac:dyDescent="0.3">
      <c r="B7" s="3"/>
      <c r="C7" s="467">
        <v>3</v>
      </c>
      <c r="D7" s="468" t="str">
        <f>'Program Descriptions'!C7</f>
        <v>Residential Solution Program</v>
      </c>
      <c r="E7" s="469">
        <v>2517958</v>
      </c>
      <c r="F7" s="470">
        <f>Budgets!I7</f>
        <v>2504889.75</v>
      </c>
      <c r="G7" s="470">
        <f t="shared" si="0"/>
        <v>-13068.25</v>
      </c>
      <c r="H7" s="471">
        <f t="shared" si="1"/>
        <v>-5.190019055123239E-3</v>
      </c>
      <c r="I7" s="32" t="s">
        <v>716</v>
      </c>
      <c r="J7" s="4"/>
      <c r="N7" s="336">
        <f t="shared" si="2"/>
        <v>0</v>
      </c>
    </row>
    <row r="8" spans="2:14" x14ac:dyDescent="0.3">
      <c r="B8" s="3"/>
      <c r="C8" s="467">
        <v>4</v>
      </c>
      <c r="D8" s="468" t="str">
        <f>'Program Descriptions'!C8</f>
        <v>Income Qualified Program</v>
      </c>
      <c r="E8" s="469">
        <v>216111</v>
      </c>
      <c r="F8" s="470">
        <f>Budgets!I8</f>
        <v>211894.8</v>
      </c>
      <c r="G8" s="470">
        <f t="shared" si="0"/>
        <v>-4216.2000000000116</v>
      </c>
      <c r="H8" s="471">
        <f t="shared" si="1"/>
        <v>-1.9509418770909448E-2</v>
      </c>
      <c r="I8" s="32" t="s">
        <v>716</v>
      </c>
      <c r="J8" s="4"/>
      <c r="N8" s="336">
        <f t="shared" si="2"/>
        <v>0</v>
      </c>
    </row>
    <row r="9" spans="2:14" hidden="1" x14ac:dyDescent="0.3">
      <c r="B9" s="3"/>
      <c r="C9" s="467">
        <v>5</v>
      </c>
      <c r="D9" s="468" t="str">
        <f>'Program Descriptions'!C9</f>
        <v>Empty</v>
      </c>
      <c r="E9" s="469"/>
      <c r="F9" s="470">
        <f>Budgets!I9</f>
        <v>0</v>
      </c>
      <c r="G9" s="470">
        <f t="shared" si="0"/>
        <v>0</v>
      </c>
      <c r="H9" s="471" t="str">
        <f t="shared" si="1"/>
        <v>-</v>
      </c>
      <c r="I9" s="32"/>
      <c r="J9" s="4"/>
      <c r="N9" s="336">
        <f t="shared" si="2"/>
        <v>0</v>
      </c>
    </row>
    <row r="10" spans="2:14" hidden="1" x14ac:dyDescent="0.3">
      <c r="B10" s="3"/>
      <c r="C10" s="467">
        <v>6</v>
      </c>
      <c r="D10" s="468" t="str">
        <f>'Program Descriptions'!C10</f>
        <v>Empty</v>
      </c>
      <c r="E10" s="469"/>
      <c r="F10" s="470">
        <f>Budgets!I10</f>
        <v>0</v>
      </c>
      <c r="G10" s="470">
        <f t="shared" si="0"/>
        <v>0</v>
      </c>
      <c r="H10" s="471" t="str">
        <f t="shared" si="1"/>
        <v>-</v>
      </c>
      <c r="I10" s="32"/>
      <c r="J10" s="4"/>
      <c r="N10" s="336">
        <f t="shared" si="2"/>
        <v>0</v>
      </c>
    </row>
    <row r="11" spans="2:14" hidden="1" x14ac:dyDescent="0.3">
      <c r="B11" s="3"/>
      <c r="C11" s="467">
        <v>7</v>
      </c>
      <c r="D11" s="468" t="str">
        <f>'Program Descriptions'!C11</f>
        <v>Empty</v>
      </c>
      <c r="E11" s="469"/>
      <c r="F11" s="470">
        <f>Budgets!I11</f>
        <v>0</v>
      </c>
      <c r="G11" s="470">
        <f t="shared" si="0"/>
        <v>0</v>
      </c>
      <c r="H11" s="471" t="str">
        <f t="shared" ref="H11:H25" si="3">IF(ISERROR(G11/E11),"-",G11/E11)</f>
        <v>-</v>
      </c>
      <c r="I11" s="32"/>
      <c r="J11" s="4"/>
      <c r="N11" s="336">
        <f t="shared" si="2"/>
        <v>0</v>
      </c>
    </row>
    <row r="12" spans="2:14" hidden="1" x14ac:dyDescent="0.3">
      <c r="B12" s="3"/>
      <c r="C12" s="467">
        <v>8</v>
      </c>
      <c r="D12" s="468" t="str">
        <f>'Program Descriptions'!C12</f>
        <v>Empty</v>
      </c>
      <c r="E12" s="469"/>
      <c r="F12" s="470">
        <f>Budgets!I12</f>
        <v>0</v>
      </c>
      <c r="G12" s="470">
        <f t="shared" si="0"/>
        <v>0</v>
      </c>
      <c r="H12" s="471" t="str">
        <f t="shared" si="3"/>
        <v>-</v>
      </c>
      <c r="I12" s="32"/>
      <c r="J12" s="4"/>
      <c r="N12" s="336">
        <f t="shared" si="2"/>
        <v>0</v>
      </c>
    </row>
    <row r="13" spans="2:14" hidden="1" x14ac:dyDescent="0.3">
      <c r="B13" s="3"/>
      <c r="C13" s="467">
        <v>9</v>
      </c>
      <c r="D13" s="468" t="str">
        <f>'Program Descriptions'!C13</f>
        <v>Empty</v>
      </c>
      <c r="E13" s="469"/>
      <c r="F13" s="470">
        <f>Budgets!I13</f>
        <v>0</v>
      </c>
      <c r="G13" s="470">
        <f t="shared" si="0"/>
        <v>0</v>
      </c>
      <c r="H13" s="471" t="str">
        <f t="shared" si="3"/>
        <v>-</v>
      </c>
      <c r="I13" s="32"/>
      <c r="J13" s="4"/>
      <c r="N13" s="336">
        <f t="shared" si="2"/>
        <v>0</v>
      </c>
    </row>
    <row r="14" spans="2:14" hidden="1" x14ac:dyDescent="0.3">
      <c r="B14" s="3"/>
      <c r="C14" s="467">
        <v>10</v>
      </c>
      <c r="D14" s="468" t="str">
        <f>'Program Descriptions'!C14</f>
        <v>Empty</v>
      </c>
      <c r="E14" s="469"/>
      <c r="F14" s="470">
        <f>Budgets!I14</f>
        <v>0</v>
      </c>
      <c r="G14" s="470">
        <f t="shared" si="0"/>
        <v>0</v>
      </c>
      <c r="H14" s="471" t="str">
        <f t="shared" si="3"/>
        <v>-</v>
      </c>
      <c r="I14" s="32"/>
      <c r="J14" s="4"/>
      <c r="N14" s="336">
        <f t="shared" si="2"/>
        <v>0</v>
      </c>
    </row>
    <row r="15" spans="2:14" hidden="1" x14ac:dyDescent="0.3">
      <c r="B15" s="3"/>
      <c r="C15" s="467">
        <v>11</v>
      </c>
      <c r="D15" s="468" t="str">
        <f>'Program Descriptions'!C15</f>
        <v>Empty</v>
      </c>
      <c r="E15" s="469"/>
      <c r="F15" s="470">
        <f>Budgets!I15</f>
        <v>0</v>
      </c>
      <c r="G15" s="470">
        <f t="shared" si="0"/>
        <v>0</v>
      </c>
      <c r="H15" s="471" t="str">
        <f t="shared" si="3"/>
        <v>-</v>
      </c>
      <c r="I15" s="32"/>
      <c r="J15" s="4"/>
      <c r="N15" s="336">
        <f t="shared" si="2"/>
        <v>0</v>
      </c>
    </row>
    <row r="16" spans="2:14" hidden="1" x14ac:dyDescent="0.3">
      <c r="B16" s="3"/>
      <c r="C16" s="467">
        <v>12</v>
      </c>
      <c r="D16" s="468" t="str">
        <f>'Program Descriptions'!C16</f>
        <v>Empty</v>
      </c>
      <c r="E16" s="469"/>
      <c r="F16" s="470">
        <f>Budgets!I16</f>
        <v>0</v>
      </c>
      <c r="G16" s="470">
        <f t="shared" si="0"/>
        <v>0</v>
      </c>
      <c r="H16" s="471" t="str">
        <f t="shared" si="3"/>
        <v>-</v>
      </c>
      <c r="I16" s="32"/>
      <c r="J16" s="4"/>
      <c r="N16" s="336">
        <f t="shared" si="2"/>
        <v>0</v>
      </c>
    </row>
    <row r="17" spans="2:14" hidden="1" x14ac:dyDescent="0.3">
      <c r="B17" s="3"/>
      <c r="C17" s="467">
        <v>13</v>
      </c>
      <c r="D17" s="468" t="str">
        <f>'Program Descriptions'!C17</f>
        <v>Empty</v>
      </c>
      <c r="E17" s="469"/>
      <c r="F17" s="470">
        <f>Budgets!I17</f>
        <v>0</v>
      </c>
      <c r="G17" s="470">
        <f t="shared" si="0"/>
        <v>0</v>
      </c>
      <c r="H17" s="471" t="str">
        <f t="shared" si="3"/>
        <v>-</v>
      </c>
      <c r="I17" s="32"/>
      <c r="J17" s="4"/>
      <c r="N17" s="336">
        <f t="shared" si="2"/>
        <v>0</v>
      </c>
    </row>
    <row r="18" spans="2:14" hidden="1" x14ac:dyDescent="0.3">
      <c r="B18" s="3"/>
      <c r="C18" s="467">
        <v>14</v>
      </c>
      <c r="D18" s="468" t="str">
        <f>'Program Descriptions'!C18</f>
        <v>Empty</v>
      </c>
      <c r="E18" s="469"/>
      <c r="F18" s="470">
        <f>Budgets!I18</f>
        <v>0</v>
      </c>
      <c r="G18" s="470">
        <f t="shared" si="0"/>
        <v>0</v>
      </c>
      <c r="H18" s="471" t="str">
        <f t="shared" si="3"/>
        <v>-</v>
      </c>
      <c r="I18" s="32"/>
      <c r="J18" s="4"/>
      <c r="N18" s="336">
        <f t="shared" si="2"/>
        <v>0</v>
      </c>
    </row>
    <row r="19" spans="2:14" hidden="1" x14ac:dyDescent="0.3">
      <c r="B19" s="3"/>
      <c r="C19" s="467">
        <v>15</v>
      </c>
      <c r="D19" s="468" t="str">
        <f>'Program Descriptions'!C19</f>
        <v>Empty</v>
      </c>
      <c r="E19" s="469"/>
      <c r="F19" s="470">
        <f>Budgets!I19</f>
        <v>0</v>
      </c>
      <c r="G19" s="470">
        <f t="shared" si="0"/>
        <v>0</v>
      </c>
      <c r="H19" s="471" t="str">
        <f t="shared" si="3"/>
        <v>-</v>
      </c>
      <c r="I19" s="32"/>
      <c r="J19" s="4"/>
      <c r="N19" s="336">
        <f t="shared" si="2"/>
        <v>0</v>
      </c>
    </row>
    <row r="20" spans="2:14" hidden="1" x14ac:dyDescent="0.3">
      <c r="B20" s="3"/>
      <c r="C20" s="467">
        <v>16</v>
      </c>
      <c r="D20" s="468" t="str">
        <f>'Program Descriptions'!C20</f>
        <v>Empty</v>
      </c>
      <c r="E20" s="469"/>
      <c r="F20" s="470">
        <f>Budgets!I20</f>
        <v>0</v>
      </c>
      <c r="G20" s="470">
        <f t="shared" si="0"/>
        <v>0</v>
      </c>
      <c r="H20" s="471" t="str">
        <f t="shared" si="3"/>
        <v>-</v>
      </c>
      <c r="I20" s="32"/>
      <c r="J20" s="4"/>
      <c r="N20" s="336">
        <f t="shared" si="2"/>
        <v>0</v>
      </c>
    </row>
    <row r="21" spans="2:14" hidden="1" x14ac:dyDescent="0.3">
      <c r="B21" s="3"/>
      <c r="C21" s="467">
        <v>17</v>
      </c>
      <c r="D21" s="468" t="str">
        <f>'Program Descriptions'!C21</f>
        <v>Empty</v>
      </c>
      <c r="E21" s="472"/>
      <c r="F21" s="470">
        <f>Budgets!I21</f>
        <v>0</v>
      </c>
      <c r="G21" s="470">
        <f t="shared" si="0"/>
        <v>0</v>
      </c>
      <c r="H21" s="471" t="str">
        <f t="shared" si="3"/>
        <v>-</v>
      </c>
      <c r="I21" s="32"/>
      <c r="J21" s="4"/>
      <c r="N21" s="336">
        <f t="shared" si="2"/>
        <v>0</v>
      </c>
    </row>
    <row r="22" spans="2:14" hidden="1" x14ac:dyDescent="0.3">
      <c r="B22" s="3"/>
      <c r="C22" s="467">
        <v>18</v>
      </c>
      <c r="D22" s="468" t="str">
        <f>'Program Descriptions'!C22</f>
        <v>Empty</v>
      </c>
      <c r="E22" s="472"/>
      <c r="F22" s="470">
        <f>Budgets!I22</f>
        <v>0</v>
      </c>
      <c r="G22" s="470">
        <f t="shared" si="0"/>
        <v>0</v>
      </c>
      <c r="H22" s="471" t="str">
        <f t="shared" si="3"/>
        <v>-</v>
      </c>
      <c r="I22" s="32"/>
      <c r="J22" s="4"/>
      <c r="N22" s="336">
        <f t="shared" si="2"/>
        <v>0</v>
      </c>
    </row>
    <row r="23" spans="2:14" hidden="1" x14ac:dyDescent="0.3">
      <c r="B23" s="3"/>
      <c r="C23" s="467">
        <v>19</v>
      </c>
      <c r="D23" s="468" t="str">
        <f>'Program Descriptions'!C23</f>
        <v>Empty</v>
      </c>
      <c r="E23" s="472"/>
      <c r="F23" s="470">
        <f>Budgets!I23</f>
        <v>0</v>
      </c>
      <c r="G23" s="470">
        <f t="shared" si="0"/>
        <v>0</v>
      </c>
      <c r="H23" s="471" t="str">
        <f t="shared" si="3"/>
        <v>-</v>
      </c>
      <c r="I23" s="32"/>
      <c r="J23" s="4"/>
      <c r="N23" s="336">
        <f t="shared" si="2"/>
        <v>0</v>
      </c>
    </row>
    <row r="24" spans="2:14" hidden="1" x14ac:dyDescent="0.3">
      <c r="B24" s="3"/>
      <c r="C24" s="467">
        <v>20</v>
      </c>
      <c r="D24" s="468" t="str">
        <f>'Program Descriptions'!C24</f>
        <v>Empty</v>
      </c>
      <c r="E24" s="472"/>
      <c r="F24" s="470">
        <f>Budgets!I24</f>
        <v>0</v>
      </c>
      <c r="G24" s="470">
        <f t="shared" si="0"/>
        <v>0</v>
      </c>
      <c r="H24" s="471" t="str">
        <f t="shared" si="3"/>
        <v>-</v>
      </c>
      <c r="I24" s="32"/>
      <c r="J24" s="4"/>
      <c r="N24" s="336">
        <f t="shared" si="2"/>
        <v>0</v>
      </c>
    </row>
    <row r="25" spans="2:14" x14ac:dyDescent="0.3">
      <c r="B25" s="3"/>
      <c r="C25" s="467"/>
      <c r="D25" s="473" t="str">
        <f>Budgets!H26</f>
        <v>Regulatory</v>
      </c>
      <c r="E25" s="472">
        <v>27917</v>
      </c>
      <c r="F25" s="470">
        <f>Budgets!I26</f>
        <v>27917</v>
      </c>
      <c r="G25" s="470">
        <f t="shared" si="0"/>
        <v>0</v>
      </c>
      <c r="H25" s="471">
        <f t="shared" si="3"/>
        <v>0</v>
      </c>
      <c r="I25" s="588" t="s">
        <v>716</v>
      </c>
      <c r="J25" s="4"/>
      <c r="N25" s="336">
        <f t="shared" si="2"/>
        <v>0</v>
      </c>
    </row>
    <row r="26" spans="2:14" x14ac:dyDescent="0.3">
      <c r="B26" s="3"/>
      <c r="C26" s="30"/>
      <c r="D26" s="31" t="s">
        <v>158</v>
      </c>
      <c r="E26" s="33">
        <f>SUM(E5:E25)</f>
        <v>4187184</v>
      </c>
      <c r="F26" s="33">
        <f>SUM(F5:F25)</f>
        <v>4169849.54</v>
      </c>
      <c r="G26" s="33">
        <f>SUM(G5:G25)</f>
        <v>-17334.460000000021</v>
      </c>
      <c r="H26" s="34">
        <f>IF(ISERROR(G26/E26),"-",G26/E26)</f>
        <v>-4.139884944153403E-3</v>
      </c>
      <c r="I26" s="35" t="s">
        <v>716</v>
      </c>
      <c r="J26" s="4"/>
      <c r="N26" s="336">
        <f>IF(H26=0,0,IF(H26=0,0,IF(ISBLANK(I26),1,0)))</f>
        <v>0</v>
      </c>
    </row>
    <row r="27" spans="2:14" x14ac:dyDescent="0.3">
      <c r="B27" s="3"/>
      <c r="J27" s="4"/>
    </row>
    <row r="28" spans="2:14" x14ac:dyDescent="0.3">
      <c r="B28" s="3"/>
      <c r="C28" s="243"/>
      <c r="D28" s="268" t="s">
        <v>159</v>
      </c>
      <c r="E28" s="269">
        <v>81</v>
      </c>
      <c r="F28" s="380" t="s">
        <v>160</v>
      </c>
      <c r="J28" s="4"/>
      <c r="N28" s="336">
        <f>IF(ISBLANK(E28),1,0)</f>
        <v>0</v>
      </c>
    </row>
    <row r="29" spans="2:14" x14ac:dyDescent="0.3">
      <c r="B29" s="5"/>
      <c r="C29" s="6"/>
      <c r="D29" s="6"/>
      <c r="E29" s="6"/>
      <c r="F29" s="6"/>
      <c r="G29" s="6"/>
      <c r="H29" s="6"/>
      <c r="I29" s="6"/>
      <c r="J29" s="7"/>
      <c r="N29" s="250">
        <f>SUM(N5:N28)</f>
        <v>0</v>
      </c>
    </row>
  </sheetData>
  <sheetProtection algorithmName="SHA-512" hashValue="7C2gnWWT7G7x3CdH2VTR58AusM+p/gk762Hj6gK/oLDAMveLgNjqy3drVujuRxzDcWSiJw1frdwsiJFpoV/2Hg==" saltValue="cRejm0QBpSIQumQ8qOFCUQ==" spinCount="100000" sheet="1" objects="1" scenarios="1" formatRows="0"/>
  <mergeCells count="1">
    <mergeCell ref="B2:J2"/>
  </mergeCells>
  <conditionalFormatting sqref="E5:I24">
    <cfRule type="expression" dxfId="82" priority="3">
      <formula>$C5&gt;Programs</formula>
    </cfRule>
  </conditionalFormatting>
  <conditionalFormatting sqref="I25">
    <cfRule type="expression" dxfId="81" priority="1">
      <formula>$C25&gt;Programs</formula>
    </cfRule>
  </conditionalFormatting>
  <conditionalFormatting sqref="I26">
    <cfRule type="expression" dxfId="80" priority="2">
      <formula>$H$26=0</formula>
    </cfRule>
  </conditionalFormatting>
  <pageMargins left="0.25" right="0.25" top="0.5"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N115"/>
  <sheetViews>
    <sheetView showGridLines="0" showRowColHeaders="0" tabSelected="1" zoomScale="110" zoomScaleNormal="110" workbookViewId="0">
      <pane ySplit="5" topLeftCell="A6" activePane="bottomLeft" state="frozen"/>
      <selection activeCell="AK33" sqref="AK33"/>
      <selection pane="bottomLeft" activeCell="A6" sqref="A6"/>
    </sheetView>
  </sheetViews>
  <sheetFormatPr defaultColWidth="9.1796875" defaultRowHeight="13" x14ac:dyDescent="0.3"/>
  <cols>
    <col min="1" max="1" width="1" style="2" customWidth="1"/>
    <col min="2" max="2" width="3.7265625" style="2" customWidth="1"/>
    <col min="3" max="3" width="35.7265625" style="2" customWidth="1"/>
    <col min="4" max="5" width="13.26953125" style="2" customWidth="1"/>
    <col min="6" max="6" width="8.7265625" style="2" customWidth="1"/>
    <col min="7" max="7" width="13.26953125" style="2" customWidth="1"/>
    <col min="8" max="8" width="20.54296875" style="2" customWidth="1"/>
    <col min="9" max="9" width="13.26953125" style="2" customWidth="1"/>
    <col min="10" max="10" width="5.81640625" style="2" customWidth="1"/>
    <col min="11" max="11" width="5.26953125" style="2" customWidth="1"/>
    <col min="12" max="12" width="1" style="2" customWidth="1"/>
    <col min="13" max="13" width="16" style="2" customWidth="1"/>
    <col min="14" max="14" width="0" style="2" hidden="1" customWidth="1"/>
    <col min="15" max="16384" width="9.1796875" style="2"/>
  </cols>
  <sheetData>
    <row r="1" spans="2:14" ht="28.5" customHeight="1" x14ac:dyDescent="0.3"/>
    <row r="2" spans="2:14" ht="76.5" customHeight="1" x14ac:dyDescent="0.3">
      <c r="B2" s="456"/>
      <c r="C2" s="457"/>
      <c r="D2" s="457"/>
      <c r="E2" s="457"/>
      <c r="F2" s="457"/>
      <c r="G2" s="457"/>
      <c r="H2" s="457"/>
      <c r="I2" s="457"/>
      <c r="J2" s="457"/>
      <c r="K2" s="458"/>
    </row>
    <row r="3" spans="2:14" ht="11.25" customHeight="1" x14ac:dyDescent="0.3">
      <c r="B3" s="459"/>
      <c r="C3" s="354" t="str">
        <f>IF(N26&gt;0,"Incomplete - All yellow shaded cells must be completed.","")</f>
        <v/>
      </c>
      <c r="D3" s="351"/>
      <c r="E3" s="351"/>
      <c r="F3" s="351"/>
      <c r="G3" s="351"/>
      <c r="H3" s="351"/>
      <c r="I3" s="351"/>
      <c r="J3" s="351"/>
      <c r="K3" s="460"/>
    </row>
    <row r="4" spans="2:14" ht="26" x14ac:dyDescent="0.3">
      <c r="B4" s="3"/>
      <c r="D4" s="278" t="s">
        <v>161</v>
      </c>
      <c r="E4" s="278" t="s">
        <v>162</v>
      </c>
      <c r="K4" s="4"/>
    </row>
    <row r="5" spans="2:14" ht="15.5" x14ac:dyDescent="0.35">
      <c r="B5" s="3"/>
      <c r="C5" s="9" t="s">
        <v>85</v>
      </c>
      <c r="D5" s="278" t="str">
        <f>"("&amp;Demand_1&amp;")"</f>
        <v>(Therms)</v>
      </c>
      <c r="E5" s="278" t="str">
        <f>"("&amp;Energy_1&amp;")"</f>
        <v>(Therms)</v>
      </c>
      <c r="G5" s="278" t="s">
        <v>163</v>
      </c>
      <c r="H5" s="278" t="s">
        <v>164</v>
      </c>
      <c r="K5" s="4"/>
    </row>
    <row r="6" spans="2:14" ht="15" customHeight="1" x14ac:dyDescent="0.3">
      <c r="B6" s="276">
        <v>1</v>
      </c>
      <c r="C6" s="277" t="str">
        <f>'Program Descriptions'!C5</f>
        <v>Commercial &amp; Industrial Solutions Program</v>
      </c>
      <c r="D6" s="474">
        <v>0</v>
      </c>
      <c r="E6" s="474">
        <v>620044</v>
      </c>
      <c r="G6" s="474">
        <v>232</v>
      </c>
      <c r="H6" s="180" t="s">
        <v>165</v>
      </c>
      <c r="K6" s="4"/>
      <c r="N6" s="336">
        <f t="shared" ref="N6:N25" si="0">IF(C6="Empty",0,IF(OR(ISBLANK(IF(Demand_1=NG_Demand,E6,D6)),ISBLANK(E6),ISBLANK(G6),ISBLANK(H6)),1,0))</f>
        <v>0</v>
      </c>
    </row>
    <row r="7" spans="2:14" ht="15" customHeight="1" x14ac:dyDescent="0.3">
      <c r="B7" s="276">
        <v>2</v>
      </c>
      <c r="C7" s="277" t="str">
        <f>'Program Descriptions'!C6</f>
        <v>Energy Efficiency Arkansas</v>
      </c>
      <c r="D7" s="474">
        <v>0</v>
      </c>
      <c r="E7" s="474">
        <v>0</v>
      </c>
      <c r="G7" s="474">
        <v>0</v>
      </c>
      <c r="H7" s="180" t="s">
        <v>166</v>
      </c>
      <c r="K7" s="4"/>
      <c r="N7" s="336">
        <f t="shared" si="0"/>
        <v>0</v>
      </c>
    </row>
    <row r="8" spans="2:14" ht="15" customHeight="1" x14ac:dyDescent="0.3">
      <c r="B8" s="276">
        <v>3</v>
      </c>
      <c r="C8" s="277" t="str">
        <f>'Program Descriptions'!C7</f>
        <v>Residential Solution Program</v>
      </c>
      <c r="D8" s="474">
        <v>0</v>
      </c>
      <c r="E8" s="474">
        <v>620027</v>
      </c>
      <c r="G8" s="474">
        <v>2225</v>
      </c>
      <c r="H8" s="180" t="s">
        <v>167</v>
      </c>
      <c r="K8" s="4"/>
      <c r="N8" s="336">
        <f t="shared" si="0"/>
        <v>0</v>
      </c>
    </row>
    <row r="9" spans="2:14" ht="15" customHeight="1" thickBot="1" x14ac:dyDescent="0.35">
      <c r="B9" s="276">
        <v>4</v>
      </c>
      <c r="C9" s="277" t="str">
        <f>'Program Descriptions'!C8</f>
        <v>Income Qualified Program</v>
      </c>
      <c r="D9" s="474">
        <v>0</v>
      </c>
      <c r="E9" s="474">
        <v>51718</v>
      </c>
      <c r="G9" s="474">
        <v>68</v>
      </c>
      <c r="H9" s="180" t="s">
        <v>167</v>
      </c>
      <c r="K9" s="4"/>
      <c r="N9" s="336">
        <f t="shared" si="0"/>
        <v>0</v>
      </c>
    </row>
    <row r="10" spans="2:14" ht="15" hidden="1" customHeight="1" x14ac:dyDescent="0.3">
      <c r="B10" s="276">
        <v>5</v>
      </c>
      <c r="C10" s="277" t="str">
        <f>'Program Descriptions'!C9</f>
        <v>Empty</v>
      </c>
      <c r="D10" s="474"/>
      <c r="E10" s="474"/>
      <c r="G10" s="474"/>
      <c r="H10" s="180"/>
      <c r="K10" s="4"/>
      <c r="N10" s="336">
        <f t="shared" si="0"/>
        <v>0</v>
      </c>
    </row>
    <row r="11" spans="2:14" ht="15" hidden="1" customHeight="1" x14ac:dyDescent="0.3">
      <c r="B11" s="276">
        <v>6</v>
      </c>
      <c r="C11" s="277" t="str">
        <f>'Program Descriptions'!C10</f>
        <v>Empty</v>
      </c>
      <c r="D11" s="474"/>
      <c r="E11" s="474"/>
      <c r="G11" s="474"/>
      <c r="H11" s="180"/>
      <c r="K11" s="4"/>
      <c r="N11" s="336">
        <f t="shared" si="0"/>
        <v>0</v>
      </c>
    </row>
    <row r="12" spans="2:14" ht="15" hidden="1" customHeight="1" x14ac:dyDescent="0.3">
      <c r="B12" s="276">
        <v>7</v>
      </c>
      <c r="C12" s="277" t="str">
        <f>'Program Descriptions'!C11</f>
        <v>Empty</v>
      </c>
      <c r="D12" s="474"/>
      <c r="E12" s="474"/>
      <c r="G12" s="474"/>
      <c r="H12" s="180"/>
      <c r="K12" s="4"/>
      <c r="N12" s="336">
        <f t="shared" si="0"/>
        <v>0</v>
      </c>
    </row>
    <row r="13" spans="2:14" ht="15" hidden="1" customHeight="1" x14ac:dyDescent="0.3">
      <c r="B13" s="276">
        <v>8</v>
      </c>
      <c r="C13" s="277" t="str">
        <f>'Program Descriptions'!C12</f>
        <v>Empty</v>
      </c>
      <c r="D13" s="474"/>
      <c r="E13" s="474"/>
      <c r="G13" s="474"/>
      <c r="H13" s="180"/>
      <c r="K13" s="4"/>
      <c r="N13" s="336">
        <f t="shared" si="0"/>
        <v>0</v>
      </c>
    </row>
    <row r="14" spans="2:14" ht="15" hidden="1" customHeight="1" x14ac:dyDescent="0.3">
      <c r="B14" s="276">
        <v>9</v>
      </c>
      <c r="C14" s="277" t="str">
        <f>'Program Descriptions'!C13</f>
        <v>Empty</v>
      </c>
      <c r="D14" s="474"/>
      <c r="E14" s="474"/>
      <c r="G14" s="474"/>
      <c r="H14" s="180"/>
      <c r="K14" s="4"/>
      <c r="N14" s="336">
        <f t="shared" si="0"/>
        <v>0</v>
      </c>
    </row>
    <row r="15" spans="2:14" ht="15" hidden="1" customHeight="1" x14ac:dyDescent="0.3">
      <c r="B15" s="276">
        <v>10</v>
      </c>
      <c r="C15" s="277" t="str">
        <f>'Program Descriptions'!C14</f>
        <v>Empty</v>
      </c>
      <c r="D15" s="474"/>
      <c r="E15" s="474"/>
      <c r="G15" s="474"/>
      <c r="H15" s="180"/>
      <c r="K15" s="4"/>
      <c r="N15" s="336">
        <f t="shared" si="0"/>
        <v>0</v>
      </c>
    </row>
    <row r="16" spans="2:14" ht="15" hidden="1" customHeight="1" x14ac:dyDescent="0.3">
      <c r="B16" s="276">
        <v>11</v>
      </c>
      <c r="C16" s="277" t="str">
        <f>'Program Descriptions'!C15</f>
        <v>Empty</v>
      </c>
      <c r="D16" s="474"/>
      <c r="E16" s="474"/>
      <c r="G16" s="474"/>
      <c r="H16" s="180"/>
      <c r="K16" s="4"/>
      <c r="N16" s="336">
        <f t="shared" si="0"/>
        <v>0</v>
      </c>
    </row>
    <row r="17" spans="2:14" ht="15" hidden="1" customHeight="1" x14ac:dyDescent="0.3">
      <c r="B17" s="276">
        <v>12</v>
      </c>
      <c r="C17" s="277" t="str">
        <f>'Program Descriptions'!C16</f>
        <v>Empty</v>
      </c>
      <c r="D17" s="474"/>
      <c r="E17" s="474"/>
      <c r="G17" s="474"/>
      <c r="H17" s="180"/>
      <c r="K17" s="4"/>
      <c r="N17" s="336">
        <f t="shared" si="0"/>
        <v>0</v>
      </c>
    </row>
    <row r="18" spans="2:14" ht="15" hidden="1" customHeight="1" x14ac:dyDescent="0.3">
      <c r="B18" s="276">
        <v>13</v>
      </c>
      <c r="C18" s="277" t="str">
        <f>'Program Descriptions'!C17</f>
        <v>Empty</v>
      </c>
      <c r="D18" s="474"/>
      <c r="E18" s="474"/>
      <c r="G18" s="474"/>
      <c r="H18" s="180"/>
      <c r="K18" s="4"/>
      <c r="N18" s="336">
        <f t="shared" si="0"/>
        <v>0</v>
      </c>
    </row>
    <row r="19" spans="2:14" ht="15" hidden="1" customHeight="1" x14ac:dyDescent="0.3">
      <c r="B19" s="276">
        <v>14</v>
      </c>
      <c r="C19" s="277" t="str">
        <f>'Program Descriptions'!C18</f>
        <v>Empty</v>
      </c>
      <c r="D19" s="474"/>
      <c r="E19" s="474"/>
      <c r="G19" s="474"/>
      <c r="H19" s="180"/>
      <c r="K19" s="4"/>
      <c r="N19" s="336">
        <f t="shared" si="0"/>
        <v>0</v>
      </c>
    </row>
    <row r="20" spans="2:14" ht="15" hidden="1" customHeight="1" x14ac:dyDescent="0.3">
      <c r="B20" s="276">
        <v>15</v>
      </c>
      <c r="C20" s="277" t="str">
        <f>'Program Descriptions'!C19</f>
        <v>Empty</v>
      </c>
      <c r="D20" s="474"/>
      <c r="E20" s="474"/>
      <c r="G20" s="474"/>
      <c r="H20" s="180"/>
      <c r="K20" s="4"/>
      <c r="N20" s="336">
        <f t="shared" si="0"/>
        <v>0</v>
      </c>
    </row>
    <row r="21" spans="2:14" ht="15" hidden="1" customHeight="1" x14ac:dyDescent="0.3">
      <c r="B21" s="276">
        <v>16</v>
      </c>
      <c r="C21" s="277" t="str">
        <f>'Program Descriptions'!C20</f>
        <v>Empty</v>
      </c>
      <c r="D21" s="474"/>
      <c r="E21" s="474"/>
      <c r="G21" s="474"/>
      <c r="H21" s="180"/>
      <c r="K21" s="4"/>
      <c r="N21" s="336">
        <f t="shared" si="0"/>
        <v>0</v>
      </c>
    </row>
    <row r="22" spans="2:14" ht="15" hidden="1" customHeight="1" x14ac:dyDescent="0.3">
      <c r="B22" s="276">
        <v>17</v>
      </c>
      <c r="C22" s="277" t="str">
        <f>'Program Descriptions'!C21</f>
        <v>Empty</v>
      </c>
      <c r="D22" s="474"/>
      <c r="E22" s="474"/>
      <c r="G22" s="474"/>
      <c r="H22" s="180"/>
      <c r="K22" s="4"/>
      <c r="N22" s="336">
        <f t="shared" si="0"/>
        <v>0</v>
      </c>
    </row>
    <row r="23" spans="2:14" ht="15" hidden="1" customHeight="1" x14ac:dyDescent="0.3">
      <c r="B23" s="276">
        <v>18</v>
      </c>
      <c r="C23" s="277" t="str">
        <f>'Program Descriptions'!C22</f>
        <v>Empty</v>
      </c>
      <c r="D23" s="474"/>
      <c r="E23" s="474"/>
      <c r="G23" s="474"/>
      <c r="H23" s="180"/>
      <c r="K23" s="4"/>
      <c r="N23" s="336">
        <f t="shared" si="0"/>
        <v>0</v>
      </c>
    </row>
    <row r="24" spans="2:14" ht="15" hidden="1" customHeight="1" x14ac:dyDescent="0.3">
      <c r="B24" s="276">
        <v>19</v>
      </c>
      <c r="C24" s="277" t="str">
        <f>'Program Descriptions'!C23</f>
        <v>Empty</v>
      </c>
      <c r="D24" s="474"/>
      <c r="E24" s="474"/>
      <c r="G24" s="474"/>
      <c r="H24" s="180"/>
      <c r="K24" s="4"/>
      <c r="N24" s="336">
        <f t="shared" si="0"/>
        <v>0</v>
      </c>
    </row>
    <row r="25" spans="2:14" ht="15" hidden="1" customHeight="1" thickBot="1" x14ac:dyDescent="0.35">
      <c r="B25" s="276">
        <v>20</v>
      </c>
      <c r="C25" s="277" t="str">
        <f>'Program Descriptions'!C24</f>
        <v>Empty</v>
      </c>
      <c r="D25" s="474"/>
      <c r="E25" s="474"/>
      <c r="G25" s="474"/>
      <c r="H25" s="180"/>
      <c r="K25" s="4"/>
      <c r="N25" s="336">
        <f t="shared" si="0"/>
        <v>0</v>
      </c>
    </row>
    <row r="26" spans="2:14" ht="15" customHeight="1" x14ac:dyDescent="0.3">
      <c r="B26" s="8"/>
      <c r="C26" s="281" t="s">
        <v>150</v>
      </c>
      <c r="D26" s="16">
        <f>SUM(D6:D25)</f>
        <v>0</v>
      </c>
      <c r="E26" s="16">
        <f>SUM(E6:E25)</f>
        <v>1291789</v>
      </c>
      <c r="G26" s="16">
        <f>SUM(G6:G25)</f>
        <v>2525</v>
      </c>
      <c r="H26" s="16"/>
      <c r="K26" s="4"/>
      <c r="N26" s="2">
        <f>SUM(N6:N25)</f>
        <v>0</v>
      </c>
    </row>
    <row r="27" spans="2:14" ht="15" customHeight="1" x14ac:dyDescent="0.3">
      <c r="B27" s="8"/>
      <c r="C27" s="281"/>
      <c r="D27" s="11"/>
      <c r="E27" s="11"/>
      <c r="F27" s="11"/>
      <c r="G27" s="11"/>
      <c r="K27" s="4"/>
    </row>
    <row r="28" spans="2:14" ht="15" customHeight="1" x14ac:dyDescent="0.3">
      <c r="B28" s="5"/>
      <c r="C28" s="6"/>
      <c r="D28" s="6"/>
      <c r="E28" s="6"/>
      <c r="F28" s="6"/>
      <c r="G28" s="6"/>
      <c r="H28" s="6"/>
      <c r="I28" s="6"/>
      <c r="J28" s="6"/>
      <c r="K28" s="7"/>
    </row>
    <row r="29" spans="2:14" ht="15" customHeight="1" x14ac:dyDescent="0.3"/>
    <row r="30" spans="2:14" ht="15" customHeight="1" x14ac:dyDescent="0.3"/>
    <row r="31" spans="2:14" ht="15" customHeight="1" x14ac:dyDescent="0.3"/>
    <row r="32" spans="2:14"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sheetData>
  <sheetProtection password="C925" sheet="1" objects="1" scenarios="1" formatRows="0"/>
  <conditionalFormatting sqref="D6:D25">
    <cfRule type="expression" dxfId="79" priority="69">
      <formula>Demand_1=NG_Demand</formula>
    </cfRule>
  </conditionalFormatting>
  <conditionalFormatting sqref="D6:E25 G6:H25">
    <cfRule type="expression" dxfId="78" priority="2">
      <formula>$B6&gt;Programs</formula>
    </cfRule>
  </conditionalFormatting>
  <dataValidations count="1">
    <dataValidation type="list" allowBlank="1" showInputMessage="1" showErrorMessage="1" sqref="H6:H25" xr:uid="{00000000-0002-0000-0700-000000000000}">
      <formula1>Participant_List</formula1>
    </dataValidation>
  </dataValidations>
  <pageMargins left="0.25" right="0.25" top="0.25" bottom="0.2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B1:K104"/>
  <sheetViews>
    <sheetView showGridLines="0" showRowColHeaders="0" zoomScale="110" zoomScaleNormal="110" workbookViewId="0">
      <pane ySplit="2" topLeftCell="A3" activePane="bottomLeft" state="frozen"/>
      <selection activeCell="I21" sqref="I21"/>
      <selection pane="bottomLeft" activeCell="A3" sqref="A3"/>
    </sheetView>
  </sheetViews>
  <sheetFormatPr defaultColWidth="9.1796875" defaultRowHeight="13" x14ac:dyDescent="0.3"/>
  <cols>
    <col min="1" max="1" width="1" style="2" customWidth="1"/>
    <col min="2" max="2" width="3.7265625" style="2" customWidth="1"/>
    <col min="3" max="3" width="21" style="2" customWidth="1"/>
    <col min="4" max="8" width="15.7265625" style="2" customWidth="1"/>
    <col min="9" max="9" width="13.26953125" style="2" customWidth="1"/>
    <col min="10" max="10" width="5.81640625" style="2" customWidth="1"/>
    <col min="11" max="11" width="10.453125" style="2" customWidth="1"/>
    <col min="12" max="12" width="1" style="2" customWidth="1"/>
    <col min="13" max="13" width="16" style="2" customWidth="1"/>
    <col min="14" max="16384" width="9.1796875" style="2"/>
  </cols>
  <sheetData>
    <row r="1" spans="2:11" ht="28.5" customHeight="1" x14ac:dyDescent="0.3"/>
    <row r="2" spans="2:11" ht="64.5" customHeight="1" x14ac:dyDescent="0.3">
      <c r="B2" s="456"/>
      <c r="C2" s="457"/>
      <c r="D2" s="457"/>
      <c r="E2" s="457"/>
      <c r="F2" s="457"/>
      <c r="G2" s="457"/>
      <c r="H2" s="457"/>
      <c r="I2" s="457"/>
      <c r="J2" s="457"/>
      <c r="K2" s="458"/>
    </row>
    <row r="3" spans="2:11" ht="7.5" customHeight="1" x14ac:dyDescent="0.3">
      <c r="B3" s="459"/>
      <c r="C3" s="351"/>
      <c r="D3" s="351"/>
      <c r="E3" s="351"/>
      <c r="F3" s="351"/>
      <c r="G3" s="351"/>
      <c r="H3" s="351"/>
      <c r="I3" s="351"/>
      <c r="J3" s="351"/>
      <c r="K3" s="460"/>
    </row>
    <row r="4" spans="2:11" ht="15" customHeight="1" x14ac:dyDescent="0.3">
      <c r="B4" s="3"/>
      <c r="K4" s="4"/>
    </row>
    <row r="5" spans="2:11" ht="15" customHeight="1" x14ac:dyDescent="0.3">
      <c r="B5" s="3"/>
      <c r="D5" s="17" t="s">
        <v>168</v>
      </c>
      <c r="E5" s="17" t="s">
        <v>169</v>
      </c>
      <c r="F5" s="17" t="s">
        <v>170</v>
      </c>
      <c r="G5" s="17" t="s">
        <v>171</v>
      </c>
      <c r="H5" s="17" t="s">
        <v>172</v>
      </c>
      <c r="K5" s="4"/>
    </row>
    <row r="6" spans="2:11" ht="15" customHeight="1" x14ac:dyDescent="0.35">
      <c r="B6" s="3"/>
      <c r="C6" s="9" t="s">
        <v>173</v>
      </c>
      <c r="D6" s="18">
        <f>External!F27</f>
        <v>13</v>
      </c>
      <c r="E6" s="18">
        <f>External!J27</f>
        <v>93</v>
      </c>
      <c r="F6" s="18">
        <f>External!L27</f>
        <v>1412</v>
      </c>
      <c r="G6" s="18">
        <f>External!N27</f>
        <v>30</v>
      </c>
      <c r="H6" s="465">
        <v>3400</v>
      </c>
      <c r="K6" s="4"/>
    </row>
    <row r="7" spans="2:11" ht="15" customHeight="1" x14ac:dyDescent="0.3">
      <c r="B7" s="3"/>
      <c r="K7" s="4"/>
    </row>
    <row r="8" spans="2:11" ht="15" customHeight="1" x14ac:dyDescent="0.3">
      <c r="B8" s="3"/>
      <c r="K8" s="4"/>
    </row>
    <row r="9" spans="2:11" ht="15" customHeight="1" x14ac:dyDescent="0.3">
      <c r="B9" s="3"/>
      <c r="K9" s="4"/>
    </row>
    <row r="10" spans="2:11" ht="15" customHeight="1" x14ac:dyDescent="0.3">
      <c r="B10" s="3"/>
      <c r="K10" s="4"/>
    </row>
    <row r="11" spans="2:11" ht="15" customHeight="1" x14ac:dyDescent="0.3">
      <c r="B11" s="3"/>
      <c r="D11" s="17" t="s">
        <v>168</v>
      </c>
      <c r="E11" s="17" t="s">
        <v>169</v>
      </c>
      <c r="F11" s="17" t="s">
        <v>170</v>
      </c>
      <c r="G11" s="17" t="s">
        <v>171</v>
      </c>
      <c r="H11" s="17" t="s">
        <v>172</v>
      </c>
      <c r="K11" s="4"/>
    </row>
    <row r="12" spans="2:11" ht="15" customHeight="1" x14ac:dyDescent="0.35">
      <c r="B12" s="3"/>
      <c r="C12" s="9" t="s">
        <v>174</v>
      </c>
      <c r="D12" s="18">
        <f>Internal!F19</f>
        <v>2</v>
      </c>
      <c r="E12" s="18">
        <f>Internal!J19</f>
        <v>16</v>
      </c>
      <c r="F12" s="18">
        <f>Internal!L19</f>
        <v>263</v>
      </c>
      <c r="G12" s="18">
        <f>Internal!N19</f>
        <v>0</v>
      </c>
      <c r="H12" s="465">
        <v>655</v>
      </c>
      <c r="K12" s="4"/>
    </row>
    <row r="13" spans="2:11" ht="15" customHeight="1" x14ac:dyDescent="0.3">
      <c r="B13" s="3"/>
      <c r="K13" s="4"/>
    </row>
    <row r="14" spans="2:11" ht="15" customHeight="1" x14ac:dyDescent="0.3">
      <c r="B14" s="3"/>
      <c r="K14" s="4"/>
    </row>
    <row r="15" spans="2:11" ht="15" customHeight="1" x14ac:dyDescent="0.3">
      <c r="B15" s="3"/>
      <c r="K15" s="4"/>
    </row>
    <row r="16" spans="2:11" ht="15" customHeight="1" x14ac:dyDescent="0.3">
      <c r="B16" s="3"/>
      <c r="K16" s="4"/>
    </row>
    <row r="17" spans="2:11" ht="15" customHeight="1" x14ac:dyDescent="0.3">
      <c r="B17" s="5"/>
      <c r="C17" s="6"/>
      <c r="D17" s="6"/>
      <c r="E17" s="6"/>
      <c r="F17" s="6"/>
      <c r="G17" s="6"/>
      <c r="H17" s="6"/>
      <c r="I17" s="6"/>
      <c r="J17" s="6"/>
      <c r="K17" s="7"/>
    </row>
    <row r="18" spans="2:11" ht="15" customHeight="1" x14ac:dyDescent="0.3"/>
    <row r="19" spans="2:11" ht="15" customHeight="1" x14ac:dyDescent="0.3"/>
    <row r="20" spans="2:11" ht="15" customHeight="1" x14ac:dyDescent="0.3"/>
    <row r="21" spans="2:11" ht="15" customHeight="1" x14ac:dyDescent="0.3"/>
    <row r="22" spans="2:11" ht="15" customHeight="1" x14ac:dyDescent="0.3"/>
    <row r="23" spans="2:11" ht="15" customHeight="1" x14ac:dyDescent="0.3"/>
    <row r="24" spans="2:11" ht="15" customHeight="1" x14ac:dyDescent="0.3"/>
    <row r="25" spans="2:11" ht="15" customHeight="1" x14ac:dyDescent="0.3"/>
    <row r="26" spans="2:11" ht="15" customHeight="1" x14ac:dyDescent="0.3"/>
    <row r="27" spans="2:11" ht="15" customHeight="1" x14ac:dyDescent="0.3"/>
    <row r="28" spans="2:11" ht="15" customHeight="1" x14ac:dyDescent="0.3"/>
    <row r="29" spans="2:11" ht="15" customHeight="1" x14ac:dyDescent="0.3"/>
    <row r="30" spans="2:11" ht="15" customHeight="1" x14ac:dyDescent="0.3"/>
    <row r="31" spans="2:11" ht="15" customHeight="1" x14ac:dyDescent="0.3"/>
    <row r="32" spans="2:11"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sheetData>
  <sheetProtection password="C925" sheet="1" objects="1" scenarios="1" formatRows="0"/>
  <pageMargins left="0.25" right="0.25" top="0.25" bottom="0.25" header="0.3" footer="0.3"/>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e0075eb-d939-4c6f-9fce-238b191ad828">
      <Terms xmlns="http://schemas.microsoft.com/office/infopath/2007/PartnerControls"/>
    </lcf76f155ced4ddcb4097134ff3c332f>
    <TaxCatchAll xmlns="7579d541-898d-4bc9-988d-ee109b3f6376" xsi:nil="true"/>
    <Notes xmlns="4e0075eb-d939-4c6f-9fce-238b191ad82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6A18B90EF3FD4EADBAFB71F2D2C16D" ma:contentTypeVersion="13" ma:contentTypeDescription="Create a new document." ma:contentTypeScope="" ma:versionID="220c9ada4e5a62f4aefdd1aa9784f5b1">
  <xsd:schema xmlns:xsd="http://www.w3.org/2001/XMLSchema" xmlns:xs="http://www.w3.org/2001/XMLSchema" xmlns:p="http://schemas.microsoft.com/office/2006/metadata/properties" xmlns:ns2="4e0075eb-d939-4c6f-9fce-238b191ad828" xmlns:ns3="7579d541-898d-4bc9-988d-ee109b3f6376" targetNamespace="http://schemas.microsoft.com/office/2006/metadata/properties" ma:root="true" ma:fieldsID="9a25a951ca45cb5ab401cd93b3b4ce03" ns2:_="" ns3:_="">
    <xsd:import namespace="4e0075eb-d939-4c6f-9fce-238b191ad828"/>
    <xsd:import namespace="7579d541-898d-4bc9-988d-ee109b3f63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0075eb-d939-4c6f-9fce-238b191ad8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4b1e0d9-c15b-40a3-a6d5-7b1d7b3c0a7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79d541-898d-4bc9-988d-ee109b3f637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9b561ed-f91b-4816-aec3-ca6e977f7248}" ma:internalName="TaxCatchAll" ma:showField="CatchAllData" ma:web="7579d541-898d-4bc9-988d-ee109b3f63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C83F5E-D916-4A2E-A98A-0FE4BB92AFCB}">
  <ds:schemaRefs>
    <ds:schemaRef ds:uri="http://schemas.microsoft.com/sharepoint/v3/contenttype/forms"/>
  </ds:schemaRefs>
</ds:datastoreItem>
</file>

<file path=customXml/itemProps2.xml><?xml version="1.0" encoding="utf-8"?>
<ds:datastoreItem xmlns:ds="http://schemas.openxmlformats.org/officeDocument/2006/customXml" ds:itemID="{C3924E59-99C2-4CC0-A73B-1283438A4703}">
  <ds:schemaRefs>
    <ds:schemaRef ds:uri="7579d541-898d-4bc9-988d-ee109b3f6376"/>
    <ds:schemaRef ds:uri="4e0075eb-d939-4c6f-9fce-238b191ad828"/>
    <ds:schemaRef ds:uri="http://schemas.microsoft.com/office/2006/documentManagement/types"/>
    <ds:schemaRef ds:uri="http://purl.org/dc/terms/"/>
    <ds:schemaRef ds:uri="http://www.w3.org/XML/1998/namespace"/>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6E202C9C-D2B0-4778-99A5-AC9DE4E9F1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0075eb-d939-4c6f-9fce-238b191ad828"/>
    <ds:schemaRef ds:uri="7579d541-898d-4bc9-988d-ee109b3f63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26</vt:i4>
      </vt:variant>
    </vt:vector>
  </HeadingPairs>
  <TitlesOfParts>
    <vt:vector size="75" baseType="lpstr">
      <vt:lpstr>Main Menu</vt:lpstr>
      <vt:lpstr>Instructions</vt:lpstr>
      <vt:lpstr>Utility Information</vt:lpstr>
      <vt:lpstr>Program Descriptions</vt:lpstr>
      <vt:lpstr>Program Detail</vt:lpstr>
      <vt:lpstr>Budgets</vt:lpstr>
      <vt:lpstr>Rec1</vt:lpstr>
      <vt:lpstr>Savings &amp; Participants</vt:lpstr>
      <vt:lpstr>Training</vt:lpstr>
      <vt:lpstr>External</vt:lpstr>
      <vt:lpstr>Internal</vt:lpstr>
      <vt:lpstr>Not Used1</vt:lpstr>
      <vt:lpstr>Actual Expenses</vt:lpstr>
      <vt:lpstr>Rec2</vt:lpstr>
      <vt:lpstr>Evaluated Savings</vt:lpstr>
      <vt:lpstr>Savings Methodology</vt:lpstr>
      <vt:lpstr>Cost-Benefits</vt:lpstr>
      <vt:lpstr>Key Assumptions</vt:lpstr>
      <vt:lpstr>NEBs</vt:lpstr>
      <vt:lpstr>Other CB Test</vt:lpstr>
      <vt:lpstr>LCFC</vt:lpstr>
      <vt:lpstr>Incentives</vt:lpstr>
      <vt:lpstr>Not Used2</vt:lpstr>
      <vt:lpstr>Prior Year Progam</vt:lpstr>
      <vt:lpstr>Prior Year Portfolio</vt:lpstr>
      <vt:lpstr>Glossary</vt:lpstr>
      <vt:lpstr>Definition-Program Type</vt:lpstr>
      <vt:lpstr>Definition-Participants</vt:lpstr>
      <vt:lpstr>Definition-Res</vt:lpstr>
      <vt:lpstr>Definition-C&amp;I</vt:lpstr>
      <vt:lpstr>Definition-CS</vt:lpstr>
      <vt:lpstr>Cost</vt:lpstr>
      <vt:lpstr>List</vt:lpstr>
      <vt:lpstr>Data</vt:lpstr>
      <vt:lpstr>Order</vt:lpstr>
      <vt:lpstr>Tables</vt:lpstr>
      <vt:lpstr>Table 1</vt:lpstr>
      <vt:lpstr>Table 2</vt:lpstr>
      <vt:lpstr>Table 3</vt:lpstr>
      <vt:lpstr>Table 4</vt:lpstr>
      <vt:lpstr>Table 5</vt:lpstr>
      <vt:lpstr>Report 1</vt:lpstr>
      <vt:lpstr>Report 2</vt:lpstr>
      <vt:lpstr>Report 3</vt:lpstr>
      <vt:lpstr>PY Data</vt:lpstr>
      <vt:lpstr>Next Years</vt:lpstr>
      <vt:lpstr>Titles</vt:lpstr>
      <vt:lpstr>Incomplete</vt:lpstr>
      <vt:lpstr>Targets</vt:lpstr>
      <vt:lpstr>Demand_1</vt:lpstr>
      <vt:lpstr>Demand_2</vt:lpstr>
      <vt:lpstr>Discount_Rate</vt:lpstr>
      <vt:lpstr>Energy_1</vt:lpstr>
      <vt:lpstr>Energy_2</vt:lpstr>
      <vt:lpstr>F_Utility</vt:lpstr>
      <vt:lpstr>G_List</vt:lpstr>
      <vt:lpstr>NG_Demand</vt:lpstr>
      <vt:lpstr>Prg_Empty</vt:lpstr>
      <vt:lpstr>Prg_Year</vt:lpstr>
      <vt:lpstr>'Actual Expenses'!Print_Titles</vt:lpstr>
      <vt:lpstr>'Definition-C&amp;I'!Print_Titles</vt:lpstr>
      <vt:lpstr>'Definition-CS'!Print_Titles</vt:lpstr>
      <vt:lpstr>'Definition-Participants'!Print_Titles</vt:lpstr>
      <vt:lpstr>'Definition-Program Type'!Print_Titles</vt:lpstr>
      <vt:lpstr>'Definition-Res'!Print_Titles</vt:lpstr>
      <vt:lpstr>External!Print_Titles</vt:lpstr>
      <vt:lpstr>Glossary!Print_Titles</vt:lpstr>
      <vt:lpstr>Internal!Print_Titles</vt:lpstr>
      <vt:lpstr>'Program Detail'!Print_Titles</vt:lpstr>
      <vt:lpstr>'PY Data'!Print_Titles</vt:lpstr>
      <vt:lpstr>Status</vt:lpstr>
      <vt:lpstr>Target_Type</vt:lpstr>
      <vt:lpstr>Target_Year</vt:lpstr>
      <vt:lpstr>Targets</vt:lpstr>
      <vt:lpstr>Utility_Type</vt:lpstr>
    </vt:vector>
  </TitlesOfParts>
  <Manager/>
  <Company>Arkansas Public Service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MKLUCHER</dc:creator>
  <cp:keywords/>
  <dc:description/>
  <cp:lastModifiedBy>Diann Blevins</cp:lastModifiedBy>
  <cp:revision/>
  <cp:lastPrinted>2025-06-04T14:38:52Z</cp:lastPrinted>
  <dcterms:created xsi:type="dcterms:W3CDTF">2010-09-07T19:03:37Z</dcterms:created>
  <dcterms:modified xsi:type="dcterms:W3CDTF">2025-06-04T15:37:10Z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0x010100566A18B90EF3FD4EADBAFB71F2D2C16D</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