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drawings/drawing36.xml" ContentType="application/vnd.openxmlformats-officedocument.drawing+xml"/>
  <Override PartName="/xl/charts/chart2.xml" ContentType="application/vnd.openxmlformats-officedocument.drawingml.chart+xml"/>
  <Override PartName="/xl/drawings/drawing37.xml" ContentType="application/vnd.openxmlformats-officedocument.drawingml.chartshapes+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https://libertyutil-my.sharepoint.com/personal/jkirby2_libertyutilities_com/Documents/Desktop/"/>
    </mc:Choice>
  </mc:AlternateContent>
  <xr:revisionPtr revIDLastSave="0" documentId="8_{3A61A564-1E92-4A45-910F-CC726E671716}" xr6:coauthVersionLast="47" xr6:coauthVersionMax="47" xr10:uidLastSave="{00000000-0000-0000-0000-000000000000}"/>
  <workbookProtection workbookAlgorithmName="SHA-512" workbookHashValue="o/P9bWnl8CQ0I47Pm4n85HoL9bYjzghEDx9A0geiVTqffGfpD8rACYYgP4SnlRrVKVAcD/QuIRE3RCm4E8SIJg==" workbookSaltValue="xHKqStUxd+PwZrC+Fwiu8A==" workbookSpinCount="100000" lockStructure="1"/>
  <bookViews>
    <workbookView xWindow="-28920" yWindow="-120" windowWidth="29040" windowHeight="15720" tabRatio="860"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Evaluated Savings" sheetId="61" r:id="rId12"/>
    <sheet name="Not Used1" sheetId="56" r:id="rId13"/>
    <sheet name="Actual Expenses" sheetId="60" r:id="rId14"/>
    <sheet name="Rec2" sheetId="71" r:id="rId15"/>
    <sheet name="Savings Methodology" sheetId="72" r:id="rId16"/>
    <sheet name="Cost-Benefits" sheetId="62" r:id="rId17"/>
    <sheet name="Key Assumptions" sheetId="73" r:id="rId18"/>
    <sheet name="NEBs" sheetId="96" r:id="rId19"/>
    <sheet name="Other CB Test" sheetId="74" r:id="rId20"/>
    <sheet name="LCFC" sheetId="63" r:id="rId21"/>
    <sheet name="Not Used2" sheetId="58" state="hidden" r:id="rId22"/>
    <sheet name="Glossary" sheetId="66" state="hidden" r:id="rId23"/>
    <sheet name="Definition-Program Type" sheetId="84" state="hidden" r:id="rId24"/>
    <sheet name="Definition-Participants" sheetId="98" state="hidden" r:id="rId25"/>
    <sheet name="Definition-Res" sheetId="88" state="hidden" r:id="rId26"/>
    <sheet name="Definition-C&amp;I" sheetId="89" state="hidden" r:id="rId27"/>
    <sheet name="Definition-CS" sheetId="90" state="hidden" r:id="rId28"/>
    <sheet name="Cost" sheetId="49" state="hidden" r:id="rId29"/>
    <sheet name="List" sheetId="65" state="hidden" r:id="rId30"/>
    <sheet name="Prior Year Program" sheetId="75" r:id="rId31"/>
    <sheet name="Prior Year Portfolio" sheetId="94" r:id="rId32"/>
    <sheet name="Sheet1" sheetId="100" state="hidden" r:id="rId33"/>
    <sheet name="Tables" sheetId="79" r:id="rId34"/>
    <sheet name="Data" sheetId="78" r:id="rId35"/>
    <sheet name="Order" sheetId="77" r:id="rId36"/>
    <sheet name="Table 1" sheetId="82" r:id="rId37"/>
    <sheet name="Table 2" sheetId="76" r:id="rId38"/>
    <sheet name="Table 3" sheetId="80" r:id="rId39"/>
    <sheet name="Table 4" sheetId="81" r:id="rId40"/>
    <sheet name="Table 5" sheetId="86" r:id="rId41"/>
    <sheet name="Report 1" sheetId="83" r:id="rId42"/>
    <sheet name="Report 2" sheetId="92" r:id="rId43"/>
    <sheet name="Report 3" sheetId="95" r:id="rId44"/>
    <sheet name="PY Data" sheetId="91" r:id="rId45"/>
    <sheet name="Next Years" sheetId="87" r:id="rId46"/>
    <sheet name="Titles" sheetId="45" state="hidden" r:id="rId47"/>
    <sheet name="Incomplete" sheetId="97" state="hidden" r:id="rId48"/>
    <sheet name="Targets" sheetId="93" r:id="rId49"/>
  </sheets>
  <definedNames>
    <definedName name="A">20-COUNTIF('Program Descriptions'!$C$5:$C$24,"Empty")</definedName>
    <definedName name="af">#REF!</definedName>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fa">20-COUNTIF(#REF!,"Empty")</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3">'Actual Expenses'!$4:$4</definedName>
    <definedName name="_xlnm.Print_Titles" localSheetId="26">'Definition-C&amp;I'!$2:$3</definedName>
    <definedName name="_xlnm.Print_Titles" localSheetId="27">'Definition-CS'!$2:$3</definedName>
    <definedName name="_xlnm.Print_Titles" localSheetId="24">'Definition-Participants'!$2:$3</definedName>
    <definedName name="_xlnm.Print_Titles" localSheetId="23">'Definition-Program Type'!$2:$3</definedName>
    <definedName name="_xlnm.Print_Titles" localSheetId="25">'Definition-Res'!$2:$3</definedName>
    <definedName name="_xlnm.Print_Titles" localSheetId="9">External!$6:$6</definedName>
    <definedName name="_xlnm.Print_Titles" localSheetId="22">Glossary!$2:$3</definedName>
    <definedName name="_xlnm.Print_Titles" localSheetId="10">Internal!$6:$6</definedName>
    <definedName name="_xlnm.Print_Titles" localSheetId="4">'Program Detail'!$B:$C</definedName>
    <definedName name="_xlnm.Print_Titles" localSheetId="44">'PY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81" l="1"/>
  <c r="H14" i="81"/>
  <c r="L14" i="81"/>
  <c r="N14" i="81"/>
  <c r="H8" i="63" l="1"/>
  <c r="H7" i="63"/>
  <c r="I9" i="63"/>
  <c r="E9" i="63"/>
  <c r="F9" i="63" l="1"/>
  <c r="C10" i="52"/>
  <c r="C9" i="52"/>
  <c r="C8" i="52"/>
  <c r="C7" i="52"/>
  <c r="L26" i="62" l="1"/>
  <c r="K26" i="62"/>
  <c r="J26" i="62"/>
  <c r="K25" i="62"/>
  <c r="L25" i="62" s="1"/>
  <c r="J25" i="62"/>
  <c r="K24" i="62"/>
  <c r="L24" i="62" s="1"/>
  <c r="J24" i="62"/>
  <c r="K23" i="62"/>
  <c r="L23" i="62" s="1"/>
  <c r="J23" i="62"/>
  <c r="K22" i="62"/>
  <c r="L22" i="62" s="1"/>
  <c r="J22" i="62"/>
  <c r="K21" i="62"/>
  <c r="L21" i="62" s="1"/>
  <c r="J21" i="62"/>
  <c r="L20" i="62"/>
  <c r="K20" i="62"/>
  <c r="J20" i="62"/>
  <c r="L19" i="62"/>
  <c r="K19" i="62"/>
  <c r="J19" i="62"/>
  <c r="L18" i="62"/>
  <c r="K18" i="62"/>
  <c r="J18" i="62"/>
  <c r="L17" i="62"/>
  <c r="K17" i="62"/>
  <c r="J17" i="62"/>
  <c r="J16" i="62"/>
  <c r="K15" i="62"/>
  <c r="K14" i="62"/>
  <c r="L14" i="62" s="1"/>
  <c r="J14" i="62"/>
  <c r="K13" i="62"/>
  <c r="L13" i="62" s="1"/>
  <c r="J13" i="62"/>
  <c r="K12" i="62"/>
  <c r="L12" i="62" s="1"/>
  <c r="J12" i="62"/>
  <c r="L11" i="62"/>
  <c r="K11" i="62"/>
  <c r="J11" i="62"/>
  <c r="L10" i="62"/>
  <c r="K10" i="62"/>
  <c r="J10" i="62"/>
  <c r="J26" i="74" l="1"/>
  <c r="F26" i="74"/>
  <c r="D26" i="74"/>
  <c r="H26" i="74"/>
  <c r="H15" i="81" l="1"/>
  <c r="N15" i="81"/>
  <c r="L15" i="81"/>
  <c r="L10" i="81" l="1"/>
  <c r="F10" i="81"/>
  <c r="N10" i="81"/>
  <c r="H10" i="81"/>
  <c r="D8" i="62" l="1"/>
  <c r="G12" i="87" l="1"/>
  <c r="F12" i="87"/>
  <c r="G11" i="87"/>
  <c r="F11" i="87"/>
  <c r="G10" i="87"/>
  <c r="F10" i="87"/>
  <c r="C13" i="87"/>
  <c r="D12" i="87"/>
  <c r="D10" i="87"/>
  <c r="F57" i="78"/>
  <c r="E57" i="78"/>
  <c r="D13" i="96"/>
  <c r="D12" i="96"/>
  <c r="D11" i="96"/>
  <c r="D10" i="96"/>
  <c r="D9" i="96"/>
  <c r="D8" i="96"/>
  <c r="D7" i="96"/>
  <c r="I13" i="63" l="1"/>
  <c r="I12" i="63"/>
  <c r="E10" i="63"/>
  <c r="D9" i="63"/>
  <c r="H9" i="63" s="1"/>
  <c r="D10" i="63"/>
  <c r="D11" i="63"/>
  <c r="D12" i="63"/>
  <c r="H12" i="63" s="1"/>
  <c r="D13" i="63"/>
  <c r="H13" i="63" s="1"/>
  <c r="G28" i="62"/>
  <c r="D9" i="62" l="1"/>
  <c r="D10" i="62"/>
  <c r="D11" i="62"/>
  <c r="D12" i="62"/>
  <c r="D13" i="62"/>
  <c r="E9" i="72" l="1"/>
  <c r="E10" i="72"/>
  <c r="E11" i="72"/>
  <c r="E12" i="72"/>
  <c r="C10" i="75" l="1"/>
  <c r="C11" i="75"/>
  <c r="D11" i="75" s="1"/>
  <c r="C12" i="75"/>
  <c r="C13" i="75"/>
  <c r="D13" i="75" s="1"/>
  <c r="C14" i="75"/>
  <c r="C15" i="75"/>
  <c r="C16" i="75"/>
  <c r="C17" i="75"/>
  <c r="C18" i="75"/>
  <c r="C19" i="75"/>
  <c r="C20" i="75"/>
  <c r="C21" i="75"/>
  <c r="C22" i="75"/>
  <c r="C23" i="75"/>
  <c r="C24" i="75"/>
  <c r="C25" i="75"/>
  <c r="C26" i="75"/>
  <c r="C27" i="75"/>
  <c r="C28" i="75"/>
  <c r="C29" i="75"/>
  <c r="C9" i="75"/>
  <c r="G29" i="60" l="1"/>
  <c r="G5" i="60"/>
  <c r="E29" i="60"/>
  <c r="F29" i="60"/>
  <c r="H29" i="60"/>
  <c r="D29" i="60"/>
  <c r="D25" i="60"/>
  <c r="E25" i="60"/>
  <c r="F25" i="60"/>
  <c r="G25" i="60"/>
  <c r="H25" i="60"/>
  <c r="E21" i="60"/>
  <c r="F21" i="60"/>
  <c r="G21" i="60"/>
  <c r="H21" i="60"/>
  <c r="D21" i="60"/>
  <c r="E17" i="60"/>
  <c r="F17" i="60"/>
  <c r="G17" i="60"/>
  <c r="H17" i="60"/>
  <c r="D17" i="60"/>
  <c r="E13" i="60"/>
  <c r="F13" i="60"/>
  <c r="G13" i="60"/>
  <c r="H13" i="60"/>
  <c r="D13" i="60"/>
  <c r="E9" i="60"/>
  <c r="F9" i="60"/>
  <c r="G9" i="60"/>
  <c r="H9" i="60"/>
  <c r="D9" i="60"/>
  <c r="E5" i="60"/>
  <c r="F5" i="60"/>
  <c r="H5" i="60"/>
  <c r="D5" i="60"/>
  <c r="D48" i="79"/>
  <c r="C8" i="96" l="1"/>
  <c r="C9" i="96"/>
  <c r="C10" i="96"/>
  <c r="C11" i="96"/>
  <c r="C12" i="96"/>
  <c r="C13" i="96"/>
  <c r="C14" i="96"/>
  <c r="C15" i="96"/>
  <c r="C16" i="96"/>
  <c r="C17" i="96"/>
  <c r="C18" i="96"/>
  <c r="C19" i="96"/>
  <c r="C20" i="96"/>
  <c r="C21" i="96"/>
  <c r="C22" i="96"/>
  <c r="C23" i="96"/>
  <c r="C24" i="96"/>
  <c r="C25" i="96"/>
  <c r="C26" i="96"/>
  <c r="C7" i="96"/>
  <c r="J8" i="62" l="1"/>
  <c r="E10" i="86"/>
  <c r="H10" i="86"/>
  <c r="K10" i="86"/>
  <c r="N10" i="86"/>
  <c r="E11" i="86"/>
  <c r="H11" i="86"/>
  <c r="K11" i="86"/>
  <c r="N11" i="86"/>
  <c r="K12" i="86" l="1"/>
  <c r="F4" i="78" l="1"/>
  <c r="F5" i="78"/>
  <c r="F6" i="78"/>
  <c r="F7" i="78"/>
  <c r="F8" i="78"/>
  <c r="F9" i="78"/>
  <c r="E4" i="78"/>
  <c r="E5" i="78"/>
  <c r="E6" i="78"/>
  <c r="E7" i="78"/>
  <c r="E8" i="78"/>
  <c r="E9" i="78"/>
  <c r="D4" i="78"/>
  <c r="D5" i="78"/>
  <c r="D6" i="78"/>
  <c r="D7" i="78"/>
  <c r="D8" i="78"/>
  <c r="D9" i="78"/>
  <c r="C4" i="78"/>
  <c r="C5" i="78"/>
  <c r="C6" i="78"/>
  <c r="C7" i="78"/>
  <c r="C8" i="78"/>
  <c r="C9" i="78"/>
  <c r="B5" i="78"/>
  <c r="B6" i="78"/>
  <c r="B7" i="78"/>
  <c r="B8" i="78"/>
  <c r="B9" i="78"/>
  <c r="B4" i="78"/>
  <c r="C7" i="74" l="1"/>
  <c r="C8" i="74"/>
  <c r="C9" i="74"/>
  <c r="C10" i="74"/>
  <c r="C11" i="74"/>
  <c r="C12" i="74"/>
  <c r="C13" i="74"/>
  <c r="C14" i="74"/>
  <c r="C15" i="74"/>
  <c r="C16" i="74"/>
  <c r="C17" i="74"/>
  <c r="C18" i="74"/>
  <c r="C19" i="74"/>
  <c r="C20" i="74"/>
  <c r="C21" i="74"/>
  <c r="C22" i="74"/>
  <c r="C23" i="74"/>
  <c r="C24" i="74"/>
  <c r="C25" i="74"/>
  <c r="C6" i="74"/>
  <c r="D14" i="75"/>
  <c r="D10" i="75"/>
  <c r="D12" i="75"/>
  <c r="I7" i="63" l="1"/>
  <c r="I8" i="63"/>
  <c r="I10" i="63"/>
  <c r="C8" i="63"/>
  <c r="C9" i="63"/>
  <c r="C10" i="63"/>
  <c r="C11" i="63"/>
  <c r="C12" i="63"/>
  <c r="C7" i="63"/>
  <c r="D11" i="72" l="1"/>
  <c r="D10" i="72"/>
  <c r="D9" i="72"/>
  <c r="D8" i="72"/>
  <c r="D7" i="72"/>
  <c r="D6" i="72"/>
  <c r="C11" i="61"/>
  <c r="C12" i="62" s="1"/>
  <c r="C10" i="61"/>
  <c r="C11" i="62" s="1"/>
  <c r="C9" i="61"/>
  <c r="C10" i="62" s="1"/>
  <c r="C8" i="61"/>
  <c r="C9" i="62" s="1"/>
  <c r="C25" i="60"/>
  <c r="C21" i="60"/>
  <c r="C17" i="60"/>
  <c r="C13" i="60"/>
  <c r="C7" i="54" l="1"/>
  <c r="C8" i="54"/>
  <c r="C9" i="54"/>
  <c r="C10" i="54"/>
  <c r="C11" i="54"/>
  <c r="C6" i="54"/>
  <c r="C6" i="53"/>
  <c r="C7" i="53"/>
  <c r="C8" i="53"/>
  <c r="C9" i="53"/>
  <c r="C10" i="53"/>
  <c r="C5" i="53"/>
  <c r="C10" i="67" l="1"/>
  <c r="C11" i="67"/>
  <c r="C12" i="67"/>
  <c r="C7" i="67"/>
  <c r="C8" i="67"/>
  <c r="C9" i="67"/>
  <c r="N10" i="96" l="1"/>
  <c r="N9" i="96"/>
  <c r="N8" i="96"/>
  <c r="N11" i="96" l="1"/>
  <c r="I11" i="63" l="1"/>
  <c r="N7" i="96" l="1"/>
  <c r="E25" i="68" l="1"/>
  <c r="D8" i="63" l="1"/>
  <c r="H10" i="63"/>
  <c r="H11" i="63"/>
  <c r="D7" i="63"/>
  <c r="H27" i="63" l="1"/>
  <c r="B6" i="86"/>
  <c r="J55" i="78" l="1"/>
  <c r="J56" i="78"/>
  <c r="J57" i="78"/>
  <c r="J58" i="78"/>
  <c r="J60" i="78"/>
  <c r="J61" i="78"/>
  <c r="J62" i="78"/>
  <c r="J63" i="78"/>
  <c r="J64" i="78"/>
  <c r="J65" i="78"/>
  <c r="J66" i="78"/>
  <c r="J67" i="78"/>
  <c r="J68" i="78"/>
  <c r="J69" i="78"/>
  <c r="J70" i="78"/>
  <c r="J71" i="78"/>
  <c r="J72" i="78"/>
  <c r="J73" i="78"/>
  <c r="J74" i="78"/>
  <c r="N26" i="72" l="1"/>
  <c r="N27" i="69" l="1"/>
  <c r="J27" i="69"/>
  <c r="C26" i="69"/>
  <c r="D26" i="69"/>
  <c r="E14" i="97" l="1"/>
  <c r="F14" i="97" s="1"/>
  <c r="E25" i="97" l="1"/>
  <c r="F25" i="97" s="1"/>
  <c r="H10" i="61"/>
  <c r="H11" i="61"/>
  <c r="H12" i="61"/>
  <c r="H13" i="61"/>
  <c r="H14" i="61"/>
  <c r="H15" i="61"/>
  <c r="H16" i="61"/>
  <c r="H17" i="61"/>
  <c r="H18" i="61"/>
  <c r="H19" i="61"/>
  <c r="H20" i="61"/>
  <c r="H21" i="61"/>
  <c r="H22" i="61"/>
  <c r="H23" i="61"/>
  <c r="H24" i="61"/>
  <c r="H25" i="61"/>
  <c r="N15" i="99"/>
  <c r="G12" i="55" s="1"/>
  <c r="J15" i="99"/>
  <c r="E12" i="55" s="1"/>
  <c r="F15" i="99"/>
  <c r="D12" i="55" s="1"/>
  <c r="D14" i="99"/>
  <c r="C14" i="99"/>
  <c r="D13" i="99"/>
  <c r="C13" i="99"/>
  <c r="D12" i="99"/>
  <c r="C12" i="99"/>
  <c r="D11" i="99"/>
  <c r="C11" i="99"/>
  <c r="D10" i="99"/>
  <c r="C10" i="99"/>
  <c r="D9" i="99"/>
  <c r="C9" i="99"/>
  <c r="D8" i="99"/>
  <c r="C8" i="99"/>
  <c r="D7" i="99"/>
  <c r="C7" i="99"/>
  <c r="C25" i="69"/>
  <c r="D25" i="69"/>
  <c r="D7" i="69"/>
  <c r="D8" i="69"/>
  <c r="D9" i="69"/>
  <c r="D10" i="69"/>
  <c r="D11" i="69"/>
  <c r="D12" i="69"/>
  <c r="D13" i="69"/>
  <c r="D14" i="69"/>
  <c r="D15" i="69"/>
  <c r="D16" i="69"/>
  <c r="D17" i="69"/>
  <c r="D18" i="69"/>
  <c r="D19" i="69"/>
  <c r="D20" i="69"/>
  <c r="D21" i="69"/>
  <c r="D22" i="69"/>
  <c r="D23" i="69"/>
  <c r="D24" i="69"/>
  <c r="F27" i="69"/>
  <c r="C7" i="69"/>
  <c r="C8" i="69"/>
  <c r="C9" i="69"/>
  <c r="C10" i="69"/>
  <c r="C11" i="69"/>
  <c r="C12" i="69"/>
  <c r="C13" i="69"/>
  <c r="C14" i="69"/>
  <c r="C15" i="69"/>
  <c r="C16" i="69"/>
  <c r="C17" i="69"/>
  <c r="C18" i="69"/>
  <c r="C19" i="69"/>
  <c r="C20" i="69"/>
  <c r="C21" i="69"/>
  <c r="C22" i="69"/>
  <c r="C23" i="69"/>
  <c r="C24" i="69"/>
  <c r="D15" i="99" l="1"/>
  <c r="E4" i="99" s="1"/>
  <c r="L15" i="99"/>
  <c r="F12" i="55" s="1"/>
  <c r="D27" i="69" l="1"/>
  <c r="O56" i="78"/>
  <c r="P56" i="78"/>
  <c r="Q56" i="78"/>
  <c r="R56" i="78"/>
  <c r="P57" i="78"/>
  <c r="Q57"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V31" i="75"/>
  <c r="X51" i="75"/>
  <c r="W51" i="75"/>
  <c r="V51" i="75"/>
  <c r="U51" i="75"/>
  <c r="X39" i="75"/>
  <c r="W39" i="75"/>
  <c r="V39" i="75"/>
  <c r="U39" i="75"/>
  <c r="S39" i="75"/>
  <c r="R39" i="75"/>
  <c r="Q39" i="75"/>
  <c r="P39" i="75"/>
  <c r="N39" i="75"/>
  <c r="M39" i="75"/>
  <c r="L39" i="75"/>
  <c r="K39" i="75"/>
  <c r="I39" i="75"/>
  <c r="H39" i="75"/>
  <c r="G39" i="75"/>
  <c r="F39" i="75"/>
  <c r="U37" i="75"/>
  <c r="F37" i="75"/>
  <c r="R57" i="78"/>
  <c r="U31" i="75"/>
  <c r="I4" i="79"/>
  <c r="I9" i="82" s="1"/>
  <c r="C4" i="73"/>
  <c r="N28" i="68"/>
  <c r="N26" i="53"/>
  <c r="U54" i="75" l="1"/>
  <c r="W54" i="75"/>
  <c r="V54" i="75"/>
  <c r="X31" i="75"/>
  <c r="X54" i="75" s="1"/>
  <c r="O57" i="78"/>
  <c r="E4" i="69"/>
  <c r="E13" i="97"/>
  <c r="F13" i="97" s="1"/>
  <c r="E21" i="97"/>
  <c r="F21" i="97" s="1"/>
  <c r="B32" i="96" l="1"/>
  <c r="B33" i="96" s="1"/>
  <c r="B34" i="96" s="1"/>
  <c r="B35" i="96" s="1"/>
  <c r="N26" i="96"/>
  <c r="N25" i="96"/>
  <c r="N24" i="96"/>
  <c r="N23" i="96"/>
  <c r="N22" i="96"/>
  <c r="N21" i="96"/>
  <c r="N20" i="96"/>
  <c r="N19" i="96"/>
  <c r="N18" i="96"/>
  <c r="N17" i="96"/>
  <c r="N16" i="96"/>
  <c r="N15" i="96"/>
  <c r="N14" i="96"/>
  <c r="N13" i="96"/>
  <c r="N12" i="96"/>
  <c r="L27" i="96"/>
  <c r="M27" i="96"/>
  <c r="K27" i="96"/>
  <c r="J27" i="96"/>
  <c r="I27" i="96"/>
  <c r="H27" i="96"/>
  <c r="G27" i="96"/>
  <c r="F27" i="96"/>
  <c r="D27" i="96"/>
  <c r="E27" i="96"/>
  <c r="B8" i="96"/>
  <c r="B9" i="96" s="1"/>
  <c r="B10" i="96" s="1"/>
  <c r="B11" i="96" s="1"/>
  <c r="B12" i="96" s="1"/>
  <c r="B13" i="96" s="1"/>
  <c r="B14" i="96" s="1"/>
  <c r="B15" i="96" s="1"/>
  <c r="B16" i="96" s="1"/>
  <c r="B17" i="96" s="1"/>
  <c r="B18" i="96" s="1"/>
  <c r="B19" i="96" s="1"/>
  <c r="B20" i="96" s="1"/>
  <c r="B21" i="96" s="1"/>
  <c r="B22" i="96" s="1"/>
  <c r="B23" i="96" s="1"/>
  <c r="B24" i="96" s="1"/>
  <c r="B25" i="96" s="1"/>
  <c r="B26" i="96" s="1"/>
  <c r="N27" i="96" l="1"/>
  <c r="B7" i="73"/>
  <c r="B8" i="73" s="1"/>
  <c r="B12" i="73" s="1"/>
  <c r="B13" i="73" s="1"/>
  <c r="B14" i="73" s="1"/>
  <c r="B15" i="73" s="1"/>
  <c r="B16" i="73" s="1"/>
  <c r="B17" i="73" s="1"/>
  <c r="B18" i="73" s="1"/>
  <c r="B19" i="73" s="1"/>
  <c r="B20" i="73" s="1"/>
  <c r="B21" i="73" s="1"/>
  <c r="B24" i="73" s="1"/>
  <c r="B25" i="73" s="1"/>
  <c r="B26" i="73" s="1"/>
  <c r="B27" i="73" s="1"/>
  <c r="B28" i="73" s="1"/>
  <c r="B29" i="73" s="1"/>
  <c r="B30" i="73" s="1"/>
  <c r="B31" i="73" s="1"/>
  <c r="B32" i="73" s="1"/>
  <c r="B33" i="73" s="1"/>
  <c r="B34" i="73" s="1"/>
  <c r="B36" i="73" s="1"/>
  <c r="B37" i="73" s="1"/>
  <c r="B38" i="73" s="1"/>
  <c r="B39" i="73" s="1"/>
  <c r="B40" i="73" s="1"/>
  <c r="B41" i="73" s="1"/>
  <c r="B42" i="73" s="1"/>
  <c r="O26" i="74" l="1"/>
  <c r="D63" i="59"/>
  <c r="D62" i="59"/>
  <c r="D61" i="59"/>
  <c r="D60" i="59"/>
  <c r="D59" i="59"/>
  <c r="D58" i="59"/>
  <c r="C27" i="45" l="1"/>
  <c r="B27" i="45"/>
  <c r="C23" i="45"/>
  <c r="B23" i="45"/>
  <c r="A29" i="45"/>
  <c r="A28" i="45"/>
  <c r="A25" i="45"/>
  <c r="A24" i="45"/>
  <c r="O11" i="51" l="1"/>
  <c r="N6" i="51"/>
  <c r="N7" i="51"/>
  <c r="N8" i="51"/>
  <c r="N9" i="51"/>
  <c r="N10" i="51"/>
  <c r="N11" i="51"/>
  <c r="N12" i="51"/>
  <c r="N13" i="51"/>
  <c r="N5" i="51"/>
  <c r="C11" i="52"/>
  <c r="C10" i="87"/>
  <c r="O8" i="51" l="1"/>
  <c r="N14" i="51" s="1"/>
  <c r="C3" i="51" s="1"/>
  <c r="L8" i="52"/>
  <c r="L11" i="52"/>
  <c r="C12" i="52"/>
  <c r="E6" i="97" l="1"/>
  <c r="F6" i="97" s="1"/>
  <c r="L12" i="52"/>
  <c r="D9" i="95" l="1"/>
  <c r="C48" i="79" l="1"/>
  <c r="N39" i="87"/>
  <c r="M40" i="87"/>
  <c r="N40" i="87"/>
  <c r="K40" i="87"/>
  <c r="L40" i="87"/>
  <c r="I39" i="87"/>
  <c r="I40" i="87"/>
  <c r="I38" i="87"/>
  <c r="H39" i="87"/>
  <c r="H40" i="87"/>
  <c r="H38" i="87"/>
  <c r="I37" i="87"/>
  <c r="H37" i="87"/>
  <c r="D9" i="87"/>
  <c r="D11" i="87"/>
  <c r="D13" i="87"/>
  <c r="D14" i="87"/>
  <c r="D15" i="87"/>
  <c r="D16" i="87"/>
  <c r="D17" i="87"/>
  <c r="D18" i="87"/>
  <c r="D19" i="87"/>
  <c r="D20" i="87"/>
  <c r="D21" i="87"/>
  <c r="D22" i="87"/>
  <c r="D23" i="87"/>
  <c r="D24" i="87"/>
  <c r="D25" i="87"/>
  <c r="D26" i="87"/>
  <c r="D27" i="87"/>
  <c r="D8" i="87"/>
  <c r="F3" i="45"/>
  <c r="E12" i="45" s="1"/>
  <c r="F15" i="45" s="1"/>
  <c r="S51" i="75"/>
  <c r="R51" i="75"/>
  <c r="Q51" i="75"/>
  <c r="P51" i="75"/>
  <c r="N51" i="75"/>
  <c r="M51" i="75"/>
  <c r="L51" i="75"/>
  <c r="K51" i="75"/>
  <c r="I51" i="75"/>
  <c r="H51" i="75"/>
  <c r="G51" i="75"/>
  <c r="F51" i="75"/>
  <c r="S31" i="75"/>
  <c r="R31" i="75"/>
  <c r="Q31" i="75"/>
  <c r="P31" i="75"/>
  <c r="L31" i="75"/>
  <c r="M31" i="75"/>
  <c r="N31" i="75"/>
  <c r="K31" i="75"/>
  <c r="K54" i="75" l="1"/>
  <c r="M54" i="75"/>
  <c r="M38" i="87"/>
  <c r="K67" i="78"/>
  <c r="L31" i="78"/>
  <c r="L43" i="78"/>
  <c r="L10" i="78"/>
  <c r="L14" i="78"/>
  <c r="L22" i="78"/>
  <c r="L57" i="78"/>
  <c r="L59" i="78"/>
  <c r="L61" i="78"/>
  <c r="L63" i="78"/>
  <c r="L65" i="78"/>
  <c r="L66" i="78"/>
  <c r="L69" i="78"/>
  <c r="L71" i="78"/>
  <c r="L73" i="78"/>
  <c r="L33" i="78"/>
  <c r="L37" i="78"/>
  <c r="L41" i="78"/>
  <c r="L45" i="78"/>
  <c r="L29" i="78"/>
  <c r="L8" i="78"/>
  <c r="L12" i="78"/>
  <c r="L16" i="78"/>
  <c r="L20" i="78"/>
  <c r="L4" i="78"/>
  <c r="N56" i="78"/>
  <c r="N57" i="78"/>
  <c r="N58" i="78"/>
  <c r="N59" i="78"/>
  <c r="N60" i="78"/>
  <c r="N61" i="78"/>
  <c r="N62" i="78"/>
  <c r="N63" i="78"/>
  <c r="N64" i="78"/>
  <c r="N65" i="78"/>
  <c r="N66" i="78"/>
  <c r="N67" i="78"/>
  <c r="N68" i="78"/>
  <c r="N69" i="78"/>
  <c r="N70" i="78"/>
  <c r="N71" i="78"/>
  <c r="N72" i="78"/>
  <c r="N73" i="78"/>
  <c r="N74" i="78"/>
  <c r="K55" i="78"/>
  <c r="L30" i="78"/>
  <c r="L34" i="78"/>
  <c r="L38" i="78"/>
  <c r="L42" i="78"/>
  <c r="L46" i="78"/>
  <c r="L5" i="78"/>
  <c r="L9" i="78"/>
  <c r="L13" i="78"/>
  <c r="L17" i="78"/>
  <c r="L21" i="78"/>
  <c r="K56" i="78"/>
  <c r="K57" i="78"/>
  <c r="K58" i="78"/>
  <c r="K59" i="78"/>
  <c r="K60" i="78"/>
  <c r="K61" i="78"/>
  <c r="K62" i="78"/>
  <c r="K63" i="78"/>
  <c r="K64" i="78"/>
  <c r="K65" i="78"/>
  <c r="K66" i="78"/>
  <c r="K68" i="78"/>
  <c r="K69" i="78"/>
  <c r="K70" i="78"/>
  <c r="K71" i="78"/>
  <c r="K72" i="78"/>
  <c r="K73" i="78"/>
  <c r="K74" i="78"/>
  <c r="L55" i="78"/>
  <c r="L35" i="78"/>
  <c r="L39" i="78"/>
  <c r="L47" i="78"/>
  <c r="L6" i="78"/>
  <c r="L18" i="78"/>
  <c r="L56" i="78"/>
  <c r="L58" i="78"/>
  <c r="L60" i="78"/>
  <c r="L62" i="78"/>
  <c r="L64" i="78"/>
  <c r="L67" i="78"/>
  <c r="L68" i="78"/>
  <c r="L70" i="78"/>
  <c r="L72" i="78"/>
  <c r="L74" i="78"/>
  <c r="M55" i="78"/>
  <c r="L32" i="78"/>
  <c r="L36" i="78"/>
  <c r="L40" i="78"/>
  <c r="L48" i="78"/>
  <c r="L15" i="78"/>
  <c r="M57" i="78"/>
  <c r="M61" i="78"/>
  <c r="M65" i="78"/>
  <c r="M69" i="78"/>
  <c r="M73" i="78"/>
  <c r="L44" i="78"/>
  <c r="L19" i="78"/>
  <c r="M58" i="78"/>
  <c r="M62" i="78"/>
  <c r="M66" i="78"/>
  <c r="M70" i="78"/>
  <c r="M74" i="78"/>
  <c r="L7" i="78"/>
  <c r="L23" i="78"/>
  <c r="M59" i="78"/>
  <c r="M63" i="78"/>
  <c r="M67" i="78"/>
  <c r="M71" i="78"/>
  <c r="N55" i="78"/>
  <c r="L11" i="78"/>
  <c r="M56" i="78"/>
  <c r="M60" i="78"/>
  <c r="M64" i="78"/>
  <c r="M68" i="78"/>
  <c r="M72" i="78"/>
  <c r="S54" i="75"/>
  <c r="F13" i="45"/>
  <c r="F16" i="45"/>
  <c r="F14" i="45"/>
  <c r="Q54" i="75"/>
  <c r="L54" i="75"/>
  <c r="L55" i="75" s="1"/>
  <c r="R54" i="75"/>
  <c r="N54" i="75"/>
  <c r="P54" i="75"/>
  <c r="N55" i="75" l="1"/>
  <c r="N38" i="87"/>
  <c r="M39" i="87"/>
  <c r="K55" i="75"/>
  <c r="M55" i="75"/>
  <c r="C29" i="79"/>
  <c r="C29" i="76" s="1"/>
  <c r="D29" i="79"/>
  <c r="D29" i="76" s="1"/>
  <c r="D49" i="78"/>
  <c r="E49" i="78"/>
  <c r="C49" i="78"/>
  <c r="K24" i="78"/>
  <c r="C39" i="79" s="1"/>
  <c r="H7" i="61"/>
  <c r="H8" i="61"/>
  <c r="H9" i="61"/>
  <c r="H6" i="61"/>
  <c r="C6" i="52"/>
  <c r="C11" i="87"/>
  <c r="C12" i="87"/>
  <c r="B10" i="78"/>
  <c r="D10" i="78" s="1"/>
  <c r="C33" i="60"/>
  <c r="C13" i="52"/>
  <c r="C14" i="52"/>
  <c r="C15" i="52"/>
  <c r="C16" i="52"/>
  <c r="C17" i="52"/>
  <c r="C18" i="52"/>
  <c r="C19" i="52"/>
  <c r="C20" i="52"/>
  <c r="C21" i="52"/>
  <c r="C22" i="52"/>
  <c r="C23" i="52"/>
  <c r="C24" i="52"/>
  <c r="C5" i="52"/>
  <c r="C25" i="87" l="1"/>
  <c r="L22" i="52"/>
  <c r="D25" i="75"/>
  <c r="L21" i="52"/>
  <c r="D21" i="75"/>
  <c r="L17" i="52"/>
  <c r="D17" i="75"/>
  <c r="L13" i="52"/>
  <c r="C25" i="54"/>
  <c r="N25" i="54" s="1"/>
  <c r="L24" i="52"/>
  <c r="C65" i="60"/>
  <c r="L20" i="52"/>
  <c r="C49" i="60"/>
  <c r="L16" i="52"/>
  <c r="B22" i="78"/>
  <c r="C22" i="78" s="1"/>
  <c r="C26" i="91" s="1"/>
  <c r="L23" i="52"/>
  <c r="B18" i="78"/>
  <c r="C18" i="78" s="1"/>
  <c r="L19" i="52"/>
  <c r="B14" i="78"/>
  <c r="C14" i="78" s="1"/>
  <c r="C18" i="91" s="1"/>
  <c r="L15" i="52"/>
  <c r="C21" i="87"/>
  <c r="L18" i="52"/>
  <c r="C17" i="87"/>
  <c r="L14" i="52"/>
  <c r="L10" i="52"/>
  <c r="E29" i="79"/>
  <c r="F29" i="76" s="1"/>
  <c r="H28" i="87" s="1"/>
  <c r="L9" i="52"/>
  <c r="D9" i="91"/>
  <c r="L6" i="52"/>
  <c r="L5" i="52"/>
  <c r="L7" i="52"/>
  <c r="N10" i="53"/>
  <c r="N9" i="53"/>
  <c r="C18" i="53"/>
  <c r="N18" i="53" s="1"/>
  <c r="D23" i="68"/>
  <c r="N23" i="68" s="1"/>
  <c r="D15" i="68"/>
  <c r="C14" i="54"/>
  <c r="C16" i="67"/>
  <c r="C17" i="53"/>
  <c r="N17" i="53" s="1"/>
  <c r="D22" i="68"/>
  <c r="N22" i="68" s="1"/>
  <c r="D14" i="68"/>
  <c r="C41" i="60"/>
  <c r="C22" i="61"/>
  <c r="N22" i="61" s="1"/>
  <c r="C22" i="53"/>
  <c r="N22" i="53" s="1"/>
  <c r="C14" i="53"/>
  <c r="N14" i="53" s="1"/>
  <c r="D19" i="68"/>
  <c r="N19" i="68" s="1"/>
  <c r="C22" i="54"/>
  <c r="N22" i="54" s="1"/>
  <c r="C57" i="60"/>
  <c r="C24" i="67"/>
  <c r="C18" i="61"/>
  <c r="N18" i="61" s="1"/>
  <c r="C21" i="53"/>
  <c r="N21" i="53" s="1"/>
  <c r="C13" i="53"/>
  <c r="N13" i="53" s="1"/>
  <c r="D18" i="68"/>
  <c r="N18" i="68" s="1"/>
  <c r="C18" i="54"/>
  <c r="C73" i="60"/>
  <c r="C20" i="67"/>
  <c r="C14" i="61"/>
  <c r="D11" i="68"/>
  <c r="D10" i="68"/>
  <c r="C21" i="54"/>
  <c r="N21" i="54" s="1"/>
  <c r="C29" i="60"/>
  <c r="C77" i="60"/>
  <c r="C23" i="53"/>
  <c r="N23" i="53" s="1"/>
  <c r="C19" i="53"/>
  <c r="N19" i="53" s="1"/>
  <c r="C15" i="53"/>
  <c r="N15" i="53" s="1"/>
  <c r="C11" i="53"/>
  <c r="N11" i="53" s="1"/>
  <c r="D20" i="68"/>
  <c r="N20" i="68" s="1"/>
  <c r="D16" i="68"/>
  <c r="D12" i="68"/>
  <c r="C23" i="54"/>
  <c r="N23" i="54" s="1"/>
  <c r="C19" i="54"/>
  <c r="N19" i="54" s="1"/>
  <c r="C15" i="54"/>
  <c r="C37" i="60"/>
  <c r="C53" i="60"/>
  <c r="C69" i="60"/>
  <c r="C22" i="67"/>
  <c r="C18" i="67"/>
  <c r="C14" i="67"/>
  <c r="C23" i="61"/>
  <c r="N23" i="61" s="1"/>
  <c r="C19" i="61"/>
  <c r="N19" i="61" s="1"/>
  <c r="C15" i="61"/>
  <c r="N15" i="61" s="1"/>
  <c r="D21" i="72"/>
  <c r="D17" i="72"/>
  <c r="D13" i="72"/>
  <c r="C24" i="62"/>
  <c r="C20" i="62"/>
  <c r="C16" i="62"/>
  <c r="O21" i="74"/>
  <c r="O17" i="74"/>
  <c r="O13" i="74"/>
  <c r="C24" i="63"/>
  <c r="C20" i="63"/>
  <c r="C16" i="63"/>
  <c r="D24" i="75"/>
  <c r="D20" i="75"/>
  <c r="D16" i="75"/>
  <c r="B21" i="78"/>
  <c r="B25" i="91" s="1"/>
  <c r="B17" i="78"/>
  <c r="E17" i="78" s="1"/>
  <c r="E42" i="78" s="1"/>
  <c r="B13" i="78"/>
  <c r="B8" i="77"/>
  <c r="C24" i="87"/>
  <c r="C20" i="87"/>
  <c r="C16" i="87"/>
  <c r="C25" i="67"/>
  <c r="C21" i="67"/>
  <c r="C17" i="67"/>
  <c r="C13" i="67"/>
  <c r="D24" i="72"/>
  <c r="D20" i="72"/>
  <c r="D16" i="72"/>
  <c r="D12" i="72"/>
  <c r="C23" i="62"/>
  <c r="C19" i="62"/>
  <c r="C15" i="62"/>
  <c r="O24" i="74"/>
  <c r="O20" i="74"/>
  <c r="O16" i="74"/>
  <c r="O12" i="74"/>
  <c r="C23" i="63"/>
  <c r="C19" i="63"/>
  <c r="C15" i="63"/>
  <c r="D27" i="75"/>
  <c r="D23" i="75"/>
  <c r="D19" i="75"/>
  <c r="D15" i="75"/>
  <c r="B20" i="78"/>
  <c r="D20" i="78" s="1"/>
  <c r="D24" i="91" s="1"/>
  <c r="B16" i="78"/>
  <c r="E16" i="78" s="1"/>
  <c r="E20" i="91" s="1"/>
  <c r="B12" i="78"/>
  <c r="B16" i="91" s="1"/>
  <c r="C27" i="87"/>
  <c r="C23" i="87"/>
  <c r="C19" i="87"/>
  <c r="C15" i="87"/>
  <c r="C17" i="54"/>
  <c r="C61" i="60"/>
  <c r="C21" i="61"/>
  <c r="N21" i="61" s="1"/>
  <c r="C17" i="61"/>
  <c r="N17" i="61" s="1"/>
  <c r="C13" i="61"/>
  <c r="D23" i="72"/>
  <c r="D19" i="72"/>
  <c r="D15" i="72"/>
  <c r="C22" i="62"/>
  <c r="C18" i="62"/>
  <c r="O23" i="74"/>
  <c r="O19" i="74"/>
  <c r="O15" i="74"/>
  <c r="O11" i="74"/>
  <c r="C22" i="63"/>
  <c r="C18" i="63"/>
  <c r="C14" i="63"/>
  <c r="D26" i="75"/>
  <c r="D22" i="75"/>
  <c r="D18" i="75"/>
  <c r="B19" i="78"/>
  <c r="D19" i="78" s="1"/>
  <c r="D23" i="91" s="1"/>
  <c r="B15" i="78"/>
  <c r="C15" i="78" s="1"/>
  <c r="C19" i="91" s="1"/>
  <c r="B11" i="78"/>
  <c r="C11" i="78" s="1"/>
  <c r="C15" i="91" s="1"/>
  <c r="C26" i="87"/>
  <c r="C22" i="87"/>
  <c r="C18" i="87"/>
  <c r="C14" i="87"/>
  <c r="C13" i="54"/>
  <c r="C45" i="60"/>
  <c r="C20" i="53"/>
  <c r="N20" i="53" s="1"/>
  <c r="C16" i="53"/>
  <c r="N16" i="53" s="1"/>
  <c r="C12" i="53"/>
  <c r="N12" i="53" s="1"/>
  <c r="D21" i="68"/>
  <c r="N21" i="68" s="1"/>
  <c r="D17" i="68"/>
  <c r="D13" i="68"/>
  <c r="C24" i="54"/>
  <c r="N24" i="54" s="1"/>
  <c r="C20" i="54"/>
  <c r="N20" i="54" s="1"/>
  <c r="C16" i="54"/>
  <c r="C12" i="54"/>
  <c r="C23" i="67"/>
  <c r="C19" i="67"/>
  <c r="C15" i="67"/>
  <c r="C24" i="61"/>
  <c r="N24" i="61" s="1"/>
  <c r="C20" i="61"/>
  <c r="N20" i="61" s="1"/>
  <c r="C16" i="61"/>
  <c r="N16" i="61" s="1"/>
  <c r="C12" i="61"/>
  <c r="D22" i="72"/>
  <c r="D18" i="72"/>
  <c r="D14" i="72"/>
  <c r="C25" i="62"/>
  <c r="P25" i="62" s="1"/>
  <c r="C21" i="62"/>
  <c r="C17" i="62"/>
  <c r="O22" i="74"/>
  <c r="O18" i="74"/>
  <c r="O14" i="74"/>
  <c r="C25" i="63"/>
  <c r="C21" i="63"/>
  <c r="C17" i="63"/>
  <c r="C13" i="63"/>
  <c r="O10" i="74"/>
  <c r="D9" i="68"/>
  <c r="C9" i="60"/>
  <c r="O9" i="74"/>
  <c r="E11" i="91"/>
  <c r="N8" i="53"/>
  <c r="D8" i="68"/>
  <c r="N7" i="53"/>
  <c r="D7" i="68"/>
  <c r="D10" i="91"/>
  <c r="D6" i="68"/>
  <c r="C9" i="87"/>
  <c r="N6" i="53"/>
  <c r="C7" i="61"/>
  <c r="N5" i="53"/>
  <c r="D9" i="75"/>
  <c r="C5" i="60"/>
  <c r="C6" i="61"/>
  <c r="C8" i="87"/>
  <c r="D5" i="68"/>
  <c r="C25" i="61"/>
  <c r="N25" i="61" s="1"/>
  <c r="D25" i="72"/>
  <c r="O25" i="74"/>
  <c r="C26" i="63"/>
  <c r="D28" i="75"/>
  <c r="B23" i="78"/>
  <c r="C23" i="78" s="1"/>
  <c r="C27" i="91" s="1"/>
  <c r="C26" i="67"/>
  <c r="C26" i="62"/>
  <c r="P26" i="62" s="1"/>
  <c r="E10" i="78"/>
  <c r="E14" i="91" s="1"/>
  <c r="C10" i="78"/>
  <c r="C14" i="91" s="1"/>
  <c r="C24" i="53"/>
  <c r="N24" i="53" s="1"/>
  <c r="C81" i="60"/>
  <c r="D24" i="68"/>
  <c r="N24" i="68" s="1"/>
  <c r="D2" i="93"/>
  <c r="C2" i="93"/>
  <c r="I26" i="62"/>
  <c r="R48" i="78" s="1"/>
  <c r="Q27" i="91" s="1"/>
  <c r="F1" i="45"/>
  <c r="E28" i="78"/>
  <c r="E2" i="77"/>
  <c r="D2" i="77"/>
  <c r="C2" i="77"/>
  <c r="F25" i="68"/>
  <c r="G25" i="68" s="1"/>
  <c r="H25" i="68" s="1"/>
  <c r="D7" i="62"/>
  <c r="D28" i="83"/>
  <c r="B89" i="79"/>
  <c r="B16" i="92" s="1"/>
  <c r="B90" i="79"/>
  <c r="B17" i="92" s="1"/>
  <c r="B91" i="79"/>
  <c r="B19" i="92" s="1"/>
  <c r="B88" i="79"/>
  <c r="B15" i="92" s="1"/>
  <c r="B83" i="79"/>
  <c r="B9" i="92" s="1"/>
  <c r="B84" i="79"/>
  <c r="B10" i="92" s="1"/>
  <c r="B85" i="79"/>
  <c r="B11" i="92" s="1"/>
  <c r="B86" i="79"/>
  <c r="B12" i="92" s="1"/>
  <c r="B87" i="79"/>
  <c r="B13" i="92" s="1"/>
  <c r="B82" i="79"/>
  <c r="B8" i="92" s="1"/>
  <c r="B14" i="91"/>
  <c r="Q30" i="78"/>
  <c r="P9" i="91" s="1"/>
  <c r="Q31" i="78"/>
  <c r="P10" i="91" s="1"/>
  <c r="Q32" i="78"/>
  <c r="P11" i="91" s="1"/>
  <c r="Q33" i="78"/>
  <c r="P12" i="91" s="1"/>
  <c r="Q34" i="78"/>
  <c r="P13" i="91" s="1"/>
  <c r="Q35" i="78"/>
  <c r="P14" i="91" s="1"/>
  <c r="Q36" i="78"/>
  <c r="P15" i="91" s="1"/>
  <c r="Q37" i="78"/>
  <c r="P16" i="91" s="1"/>
  <c r="Q38" i="78"/>
  <c r="P17" i="91" s="1"/>
  <c r="Q39" i="78"/>
  <c r="P18" i="91" s="1"/>
  <c r="Q40" i="78"/>
  <c r="P19" i="91" s="1"/>
  <c r="Q41" i="78"/>
  <c r="P20" i="91" s="1"/>
  <c r="Q42" i="78"/>
  <c r="P21" i="91" s="1"/>
  <c r="Q43" i="78"/>
  <c r="P22" i="91" s="1"/>
  <c r="Q44" i="78"/>
  <c r="P23" i="91" s="1"/>
  <c r="Q45" i="78"/>
  <c r="P24" i="91" s="1"/>
  <c r="Q46" i="78"/>
  <c r="P25" i="91" s="1"/>
  <c r="Q47" i="78"/>
  <c r="P26" i="91" s="1"/>
  <c r="Q48" i="78"/>
  <c r="P27" i="91" s="1"/>
  <c r="Q29" i="78"/>
  <c r="P8" i="91" s="1"/>
  <c r="P30" i="78"/>
  <c r="O9" i="91" s="1"/>
  <c r="P31" i="78"/>
  <c r="O10" i="91" s="1"/>
  <c r="P32" i="78"/>
  <c r="O11" i="91" s="1"/>
  <c r="P33" i="78"/>
  <c r="O12" i="91" s="1"/>
  <c r="P34" i="78"/>
  <c r="O13" i="91" s="1"/>
  <c r="P35" i="78"/>
  <c r="O14" i="91" s="1"/>
  <c r="P36" i="78"/>
  <c r="O15" i="91" s="1"/>
  <c r="P38" i="78"/>
  <c r="O17" i="91" s="1"/>
  <c r="P39" i="78"/>
  <c r="O18" i="91" s="1"/>
  <c r="P40" i="78"/>
  <c r="O19" i="91" s="1"/>
  <c r="P41" i="78"/>
  <c r="O20" i="91" s="1"/>
  <c r="P42" i="78"/>
  <c r="O21" i="91" s="1"/>
  <c r="P43" i="78"/>
  <c r="O22" i="91" s="1"/>
  <c r="P44" i="78"/>
  <c r="O23" i="91" s="1"/>
  <c r="P45" i="78"/>
  <c r="O24" i="91" s="1"/>
  <c r="P46" i="78"/>
  <c r="O25" i="91" s="1"/>
  <c r="P47" i="78"/>
  <c r="O26" i="91" s="1"/>
  <c r="P48" i="78"/>
  <c r="O27" i="91" s="1"/>
  <c r="P29" i="78"/>
  <c r="O8" i="91" s="1"/>
  <c r="O30" i="78"/>
  <c r="N9" i="91" s="1"/>
  <c r="O31" i="78"/>
  <c r="N10" i="91" s="1"/>
  <c r="O32" i="78"/>
  <c r="N11" i="91" s="1"/>
  <c r="O33" i="78"/>
  <c r="N12" i="91" s="1"/>
  <c r="O34" i="78"/>
  <c r="N13" i="91" s="1"/>
  <c r="O35" i="78"/>
  <c r="N14" i="91" s="1"/>
  <c r="O36" i="78"/>
  <c r="N15" i="91" s="1"/>
  <c r="O37" i="78"/>
  <c r="N16" i="91" s="1"/>
  <c r="O38" i="78"/>
  <c r="N17" i="91" s="1"/>
  <c r="O39" i="78"/>
  <c r="N18" i="91" s="1"/>
  <c r="O40" i="78"/>
  <c r="N19" i="91" s="1"/>
  <c r="O41" i="78"/>
  <c r="N20" i="91" s="1"/>
  <c r="O42" i="78"/>
  <c r="N21" i="91" s="1"/>
  <c r="O43" i="78"/>
  <c r="N22" i="91" s="1"/>
  <c r="O44" i="78"/>
  <c r="N23" i="91" s="1"/>
  <c r="O45" i="78"/>
  <c r="N24" i="91" s="1"/>
  <c r="O46" i="78"/>
  <c r="N25" i="91" s="1"/>
  <c r="O47" i="78"/>
  <c r="N26" i="91" s="1"/>
  <c r="O48" i="78"/>
  <c r="N27" i="91" s="1"/>
  <c r="O29" i="78"/>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9" i="87"/>
  <c r="G9"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F8" i="87"/>
  <c r="G56" i="78"/>
  <c r="H56" i="78"/>
  <c r="I56" i="78"/>
  <c r="G57" i="78"/>
  <c r="H57" i="78"/>
  <c r="I57" i="78"/>
  <c r="G58" i="78"/>
  <c r="H58" i="78"/>
  <c r="I58" i="78"/>
  <c r="G59" i="78"/>
  <c r="H59" i="78"/>
  <c r="I59" i="78"/>
  <c r="J59" i="78"/>
  <c r="G60" i="78"/>
  <c r="H60" i="78"/>
  <c r="I60" i="78"/>
  <c r="G61" i="78"/>
  <c r="H61" i="78"/>
  <c r="I61" i="78"/>
  <c r="G62" i="78"/>
  <c r="H62" i="78"/>
  <c r="I62" i="78"/>
  <c r="G63" i="78"/>
  <c r="H63" i="78"/>
  <c r="I63" i="78"/>
  <c r="G64" i="78"/>
  <c r="H64" i="78"/>
  <c r="I64" i="78"/>
  <c r="G65" i="78"/>
  <c r="H65" i="78"/>
  <c r="I65" i="78"/>
  <c r="G66" i="78"/>
  <c r="H66" i="78"/>
  <c r="I66" i="78"/>
  <c r="G67" i="78"/>
  <c r="H67" i="78"/>
  <c r="I67" i="78"/>
  <c r="G68" i="78"/>
  <c r="H68" i="78"/>
  <c r="I68" i="78"/>
  <c r="G69" i="78"/>
  <c r="H69" i="78"/>
  <c r="I69" i="78"/>
  <c r="G70" i="78"/>
  <c r="H70" i="78"/>
  <c r="I70" i="78"/>
  <c r="G71" i="78"/>
  <c r="H71" i="78"/>
  <c r="I71" i="78"/>
  <c r="G72" i="78"/>
  <c r="H72" i="78"/>
  <c r="I72" i="78"/>
  <c r="G73" i="78"/>
  <c r="H73" i="78"/>
  <c r="I73" i="78"/>
  <c r="G74" i="78"/>
  <c r="H74" i="78"/>
  <c r="I74" i="78"/>
  <c r="H55" i="78"/>
  <c r="I55" i="78"/>
  <c r="G55" i="78"/>
  <c r="C56" i="78"/>
  <c r="D56" i="78"/>
  <c r="E56" i="78"/>
  <c r="F56" i="78"/>
  <c r="C57" i="78"/>
  <c r="D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J9" i="62"/>
  <c r="S31" i="78" s="1"/>
  <c r="R10" i="91" s="1"/>
  <c r="S32" i="78"/>
  <c r="R11" i="91" s="1"/>
  <c r="S33" i="78"/>
  <c r="R12" i="91" s="1"/>
  <c r="S34" i="78"/>
  <c r="R13" i="91" s="1"/>
  <c r="S35" i="78"/>
  <c r="R14" i="91" s="1"/>
  <c r="S36" i="78"/>
  <c r="R15" i="91" s="1"/>
  <c r="S38" i="78"/>
  <c r="R17" i="91" s="1"/>
  <c r="S39" i="78"/>
  <c r="R18" i="91" s="1"/>
  <c r="S40" i="78"/>
  <c r="R19" i="91" s="1"/>
  <c r="S41" i="78"/>
  <c r="R20" i="91" s="1"/>
  <c r="S42" i="78"/>
  <c r="R21" i="91" s="1"/>
  <c r="S43" i="78"/>
  <c r="R22" i="91" s="1"/>
  <c r="S44" i="78"/>
  <c r="R23" i="91" s="1"/>
  <c r="S45" i="78"/>
  <c r="R24" i="91" s="1"/>
  <c r="S46" i="78"/>
  <c r="R25" i="91" s="1"/>
  <c r="S47" i="78"/>
  <c r="R26" i="91" s="1"/>
  <c r="S48" i="78"/>
  <c r="R27" i="91" s="1"/>
  <c r="S30" i="78"/>
  <c r="R9" i="91" s="1"/>
  <c r="J7" i="62"/>
  <c r="S29" i="78" s="1"/>
  <c r="I31" i="75"/>
  <c r="H31" i="75"/>
  <c r="G31" i="75"/>
  <c r="F31" i="75"/>
  <c r="E14" i="80"/>
  <c r="K9" i="91"/>
  <c r="M30" i="78"/>
  <c r="I9" i="91" s="1"/>
  <c r="N30" i="78"/>
  <c r="M9" i="91" s="1"/>
  <c r="K10" i="91"/>
  <c r="M31" i="78"/>
  <c r="I10" i="91" s="1"/>
  <c r="N31" i="78"/>
  <c r="M10" i="91" s="1"/>
  <c r="S11" i="87"/>
  <c r="K11" i="91"/>
  <c r="M32" i="78"/>
  <c r="N11" i="87" s="1"/>
  <c r="N32" i="78"/>
  <c r="M11" i="91" s="1"/>
  <c r="K12" i="91"/>
  <c r="M33" i="78"/>
  <c r="N12" i="87" s="1"/>
  <c r="N33" i="78"/>
  <c r="M12" i="91" s="1"/>
  <c r="S13" i="87"/>
  <c r="M34" i="78"/>
  <c r="I13" i="91" s="1"/>
  <c r="N34" i="78"/>
  <c r="M13" i="91" s="1"/>
  <c r="S14" i="87"/>
  <c r="M35" i="78"/>
  <c r="N14" i="87" s="1"/>
  <c r="N35" i="78"/>
  <c r="S15" i="87"/>
  <c r="M36" i="78"/>
  <c r="N15" i="87" s="1"/>
  <c r="N36" i="78"/>
  <c r="M15" i="91" s="1"/>
  <c r="S16" i="87"/>
  <c r="M37" i="78"/>
  <c r="N16" i="87" s="1"/>
  <c r="N37" i="78"/>
  <c r="M16" i="91" s="1"/>
  <c r="S17" i="87"/>
  <c r="M38" i="78"/>
  <c r="I17" i="91" s="1"/>
  <c r="N38" i="78"/>
  <c r="S18" i="87"/>
  <c r="M39" i="78"/>
  <c r="N18" i="87" s="1"/>
  <c r="N39" i="78"/>
  <c r="M18" i="91" s="1"/>
  <c r="S19" i="87"/>
  <c r="M40" i="78"/>
  <c r="N19" i="87" s="1"/>
  <c r="N40" i="78"/>
  <c r="M19" i="91" s="1"/>
  <c r="S20" i="87"/>
  <c r="M41" i="78"/>
  <c r="N20" i="87" s="1"/>
  <c r="N41" i="78"/>
  <c r="M20" i="91" s="1"/>
  <c r="K21" i="91"/>
  <c r="S21" i="87"/>
  <c r="M42" i="78"/>
  <c r="I21" i="91" s="1"/>
  <c r="N42" i="78"/>
  <c r="M21" i="91" s="1"/>
  <c r="S22" i="87"/>
  <c r="M43" i="78"/>
  <c r="N22" i="87" s="1"/>
  <c r="N43" i="78"/>
  <c r="M22" i="91" s="1"/>
  <c r="S23" i="87"/>
  <c r="M44" i="78"/>
  <c r="N23" i="87" s="1"/>
  <c r="N44" i="78"/>
  <c r="M23" i="91" s="1"/>
  <c r="S24" i="87"/>
  <c r="M45" i="78"/>
  <c r="N24" i="87" s="1"/>
  <c r="N45" i="78"/>
  <c r="M24" i="91" s="1"/>
  <c r="K25" i="91"/>
  <c r="M46" i="78"/>
  <c r="I25" i="91" s="1"/>
  <c r="N46" i="78"/>
  <c r="M25" i="91" s="1"/>
  <c r="K26" i="91"/>
  <c r="M47" i="78"/>
  <c r="I26" i="91" s="1"/>
  <c r="N47" i="78"/>
  <c r="M26" i="91" s="1"/>
  <c r="K27" i="91"/>
  <c r="M48" i="78"/>
  <c r="I27" i="91" s="1"/>
  <c r="N48" i="78"/>
  <c r="M27" i="91" s="1"/>
  <c r="N29" i="78"/>
  <c r="M8" i="91" s="1"/>
  <c r="M29" i="78"/>
  <c r="I8" i="91" s="1"/>
  <c r="C28" i="78"/>
  <c r="D28" i="78"/>
  <c r="B28" i="78"/>
  <c r="G5" i="78"/>
  <c r="H5" i="78"/>
  <c r="I5" i="78"/>
  <c r="J5" i="78"/>
  <c r="R9" i="87"/>
  <c r="M5" i="78"/>
  <c r="M9" i="87" s="1"/>
  <c r="N5" i="78"/>
  <c r="L9" i="91" s="1"/>
  <c r="G6" i="78"/>
  <c r="H6" i="78"/>
  <c r="I6" i="78"/>
  <c r="J6" i="78"/>
  <c r="R10" i="87"/>
  <c r="M6" i="78"/>
  <c r="H10" i="91" s="1"/>
  <c r="N6" i="78"/>
  <c r="L10" i="91" s="1"/>
  <c r="G7" i="78"/>
  <c r="H7" i="78"/>
  <c r="I7" i="78"/>
  <c r="J7" i="78"/>
  <c r="R11" i="87"/>
  <c r="M7" i="78"/>
  <c r="M11" i="87" s="1"/>
  <c r="N7" i="78"/>
  <c r="L11" i="91" s="1"/>
  <c r="G8" i="78"/>
  <c r="H8" i="78"/>
  <c r="I8" i="78"/>
  <c r="J8" i="78"/>
  <c r="R12" i="87"/>
  <c r="M8" i="78"/>
  <c r="N8" i="78"/>
  <c r="L12" i="91" s="1"/>
  <c r="G9" i="78"/>
  <c r="H9" i="78"/>
  <c r="I9" i="78"/>
  <c r="J9" i="78"/>
  <c r="R13" i="87"/>
  <c r="M9" i="78"/>
  <c r="M13" i="87" s="1"/>
  <c r="N9" i="78"/>
  <c r="L13" i="91" s="1"/>
  <c r="B9" i="77"/>
  <c r="D14" i="91"/>
  <c r="F10" i="78"/>
  <c r="G10" i="78"/>
  <c r="H10" i="78"/>
  <c r="I10" i="78"/>
  <c r="J10" i="78"/>
  <c r="R14" i="87"/>
  <c r="M10" i="78"/>
  <c r="H14" i="91" s="1"/>
  <c r="N10" i="78"/>
  <c r="L14" i="91" s="1"/>
  <c r="F11" i="78"/>
  <c r="G11" i="78"/>
  <c r="H11" i="78"/>
  <c r="I11" i="78"/>
  <c r="J11" i="78"/>
  <c r="R15" i="87"/>
  <c r="M11" i="78"/>
  <c r="M15" i="87" s="1"/>
  <c r="N11" i="78"/>
  <c r="L15" i="91" s="1"/>
  <c r="F12" i="78"/>
  <c r="G12" i="78"/>
  <c r="H12" i="78"/>
  <c r="I12" i="78"/>
  <c r="J12" i="78"/>
  <c r="R16" i="87"/>
  <c r="M12" i="78"/>
  <c r="M16" i="87" s="1"/>
  <c r="N12" i="78"/>
  <c r="L16" i="91" s="1"/>
  <c r="F13" i="78"/>
  <c r="G13" i="78"/>
  <c r="H13" i="78"/>
  <c r="I13" i="78"/>
  <c r="J13" i="78"/>
  <c r="M13" i="78"/>
  <c r="H17" i="91" s="1"/>
  <c r="N13" i="78"/>
  <c r="L17" i="91" s="1"/>
  <c r="F14" i="78"/>
  <c r="G14" i="78"/>
  <c r="H14" i="78"/>
  <c r="I14" i="78"/>
  <c r="J14" i="78"/>
  <c r="M14" i="78"/>
  <c r="H18" i="91" s="1"/>
  <c r="N14" i="78"/>
  <c r="L18" i="91" s="1"/>
  <c r="F15" i="78"/>
  <c r="G15" i="78"/>
  <c r="H15" i="78"/>
  <c r="I15" i="78"/>
  <c r="J15" i="78"/>
  <c r="R19" i="87"/>
  <c r="M15" i="78"/>
  <c r="M19" i="87" s="1"/>
  <c r="N15" i="78"/>
  <c r="L19" i="91" s="1"/>
  <c r="F16" i="78"/>
  <c r="G16" i="78"/>
  <c r="H16" i="78"/>
  <c r="I16" i="78"/>
  <c r="J16" i="78"/>
  <c r="R20" i="87"/>
  <c r="M16" i="78"/>
  <c r="H20" i="91" s="1"/>
  <c r="N16" i="78"/>
  <c r="F17" i="78"/>
  <c r="G17" i="78"/>
  <c r="H17" i="78"/>
  <c r="I17" i="78"/>
  <c r="J17" i="78"/>
  <c r="R21" i="87"/>
  <c r="M17" i="78"/>
  <c r="M21" i="87" s="1"/>
  <c r="N17" i="78"/>
  <c r="F18" i="78"/>
  <c r="G18" i="78"/>
  <c r="H18" i="78"/>
  <c r="I18" i="78"/>
  <c r="J18" i="78"/>
  <c r="R22" i="87"/>
  <c r="M18" i="78"/>
  <c r="H22" i="91" s="1"/>
  <c r="N18" i="78"/>
  <c r="L22" i="91" s="1"/>
  <c r="F19" i="78"/>
  <c r="G19" i="78"/>
  <c r="H19" i="78"/>
  <c r="I19" i="78"/>
  <c r="J19" i="78"/>
  <c r="J23" i="91"/>
  <c r="M19" i="78"/>
  <c r="N19" i="78"/>
  <c r="L23" i="91" s="1"/>
  <c r="F20" i="78"/>
  <c r="G20" i="78"/>
  <c r="H20" i="78"/>
  <c r="I20" i="78"/>
  <c r="J20" i="78"/>
  <c r="R24" i="87"/>
  <c r="M20" i="78"/>
  <c r="M24" i="87" s="1"/>
  <c r="N20" i="78"/>
  <c r="L24" i="91" s="1"/>
  <c r="F21" i="78"/>
  <c r="G21" i="78"/>
  <c r="H21" i="78"/>
  <c r="I21" i="78"/>
  <c r="J21" i="78"/>
  <c r="M21" i="78"/>
  <c r="H25" i="91" s="1"/>
  <c r="N21" i="78"/>
  <c r="L25" i="91" s="1"/>
  <c r="F22" i="78"/>
  <c r="G22" i="78"/>
  <c r="H22" i="78"/>
  <c r="I22" i="78"/>
  <c r="J22" i="78"/>
  <c r="J26" i="91"/>
  <c r="M22" i="78"/>
  <c r="N22" i="78"/>
  <c r="L26" i="91" s="1"/>
  <c r="F23" i="78"/>
  <c r="G23" i="78"/>
  <c r="H23" i="78"/>
  <c r="I23" i="78"/>
  <c r="J23" i="78"/>
  <c r="J27" i="91"/>
  <c r="M23" i="78"/>
  <c r="H27" i="91" s="1"/>
  <c r="N23" i="78"/>
  <c r="L27" i="91" s="1"/>
  <c r="N4" i="78"/>
  <c r="M4" i="78"/>
  <c r="H8" i="91" s="1"/>
  <c r="J8" i="91"/>
  <c r="N3" i="78"/>
  <c r="N28" i="78" s="1"/>
  <c r="M3" i="78"/>
  <c r="M28" i="78" s="1"/>
  <c r="L3" i="78"/>
  <c r="L28" i="78" s="1"/>
  <c r="G4" i="78"/>
  <c r="H4" i="78"/>
  <c r="I4" i="78"/>
  <c r="J4" i="78"/>
  <c r="K3" i="78"/>
  <c r="K28" i="78" s="1"/>
  <c r="D27" i="63"/>
  <c r="H27" i="62"/>
  <c r="F27" i="62"/>
  <c r="D21" i="62"/>
  <c r="I21" i="62"/>
  <c r="R43" i="78" s="1"/>
  <c r="Q22" i="91" s="1"/>
  <c r="D22" i="62"/>
  <c r="I22" i="62"/>
  <c r="R44" i="78" s="1"/>
  <c r="Q23" i="91" s="1"/>
  <c r="D23" i="62"/>
  <c r="I23" i="62"/>
  <c r="R45" i="78" s="1"/>
  <c r="Q24" i="91" s="1"/>
  <c r="D24" i="62"/>
  <c r="I24" i="62"/>
  <c r="R46" i="78" s="1"/>
  <c r="Q25" i="91" s="1"/>
  <c r="D25" i="62"/>
  <c r="I25" i="62"/>
  <c r="R47" i="78" s="1"/>
  <c r="Q26" i="91" s="1"/>
  <c r="D26" i="62"/>
  <c r="I11" i="62"/>
  <c r="R33" i="78" s="1"/>
  <c r="Q12" i="91" s="1"/>
  <c r="I12" i="62"/>
  <c r="R34" i="78" s="1"/>
  <c r="Q13" i="91" s="1"/>
  <c r="I13" i="62"/>
  <c r="D14" i="62"/>
  <c r="I14" i="62"/>
  <c r="R36" i="78" s="1"/>
  <c r="Q15" i="91" s="1"/>
  <c r="D15" i="62"/>
  <c r="D16" i="62"/>
  <c r="K16" i="62" s="1"/>
  <c r="L16" i="62" s="1"/>
  <c r="I16" i="62"/>
  <c r="R38" i="78" s="1"/>
  <c r="Q17" i="91" s="1"/>
  <c r="D17" i="62"/>
  <c r="I17" i="62"/>
  <c r="R39" i="78" s="1"/>
  <c r="Q18" i="91" s="1"/>
  <c r="D18" i="62"/>
  <c r="I18" i="62"/>
  <c r="R40" i="78" s="1"/>
  <c r="Q19" i="91" s="1"/>
  <c r="D19" i="62"/>
  <c r="I19" i="62"/>
  <c r="R41" i="78" s="1"/>
  <c r="Q20" i="91" s="1"/>
  <c r="D20" i="62"/>
  <c r="I20" i="62"/>
  <c r="R42" i="78" s="1"/>
  <c r="Q21" i="91" s="1"/>
  <c r="I9" i="62"/>
  <c r="R31" i="78" s="1"/>
  <c r="I10" i="62"/>
  <c r="R32" i="78" s="1"/>
  <c r="Q11" i="91" s="1"/>
  <c r="I8" i="62"/>
  <c r="R30" i="78" s="1"/>
  <c r="Q9" i="91" s="1"/>
  <c r="I7" i="62"/>
  <c r="R29" i="78" s="1"/>
  <c r="Q8" i="91" s="1"/>
  <c r="F26" i="72"/>
  <c r="G26" i="72"/>
  <c r="H8" i="72"/>
  <c r="H9" i="72"/>
  <c r="H10" i="72"/>
  <c r="H11" i="72"/>
  <c r="H12" i="72"/>
  <c r="H13" i="72"/>
  <c r="H14" i="72"/>
  <c r="H15" i="72"/>
  <c r="H16" i="72"/>
  <c r="H17" i="72"/>
  <c r="H18" i="72"/>
  <c r="H19" i="72"/>
  <c r="H20" i="72"/>
  <c r="H21" i="72"/>
  <c r="H22" i="72"/>
  <c r="H23" i="72"/>
  <c r="H24" i="72"/>
  <c r="H25" i="72"/>
  <c r="H7" i="72"/>
  <c r="H6" i="72"/>
  <c r="E26" i="72"/>
  <c r="G26" i="61"/>
  <c r="E26" i="61"/>
  <c r="D26" i="61"/>
  <c r="B4" i="79" s="1"/>
  <c r="I87" i="60"/>
  <c r="C28" i="62" s="1"/>
  <c r="I84" i="60"/>
  <c r="I83" i="60"/>
  <c r="I82" i="60"/>
  <c r="H81" i="60"/>
  <c r="J48" i="78" s="1"/>
  <c r="G81" i="60"/>
  <c r="I48" i="78" s="1"/>
  <c r="F81" i="60"/>
  <c r="H48" i="78" s="1"/>
  <c r="E81" i="60"/>
  <c r="G48" i="78" s="1"/>
  <c r="D81" i="60"/>
  <c r="F48" i="78" s="1"/>
  <c r="I80" i="60"/>
  <c r="I79" i="60"/>
  <c r="I78" i="60"/>
  <c r="H77" i="60"/>
  <c r="J47" i="78" s="1"/>
  <c r="G77" i="60"/>
  <c r="I47" i="78" s="1"/>
  <c r="F77" i="60"/>
  <c r="H47" i="78" s="1"/>
  <c r="E77" i="60"/>
  <c r="G47" i="78" s="1"/>
  <c r="D77" i="60"/>
  <c r="F47" i="78" s="1"/>
  <c r="I76" i="60"/>
  <c r="I75" i="60"/>
  <c r="I74" i="60"/>
  <c r="H73" i="60"/>
  <c r="J46" i="78" s="1"/>
  <c r="G73" i="60"/>
  <c r="I46" i="78" s="1"/>
  <c r="F73" i="60"/>
  <c r="H46" i="78" s="1"/>
  <c r="E73" i="60"/>
  <c r="G46" i="78" s="1"/>
  <c r="D73" i="60"/>
  <c r="F46" i="78" s="1"/>
  <c r="I72" i="60"/>
  <c r="I71" i="60"/>
  <c r="I70" i="60"/>
  <c r="H69" i="60"/>
  <c r="J45" i="78" s="1"/>
  <c r="G69" i="60"/>
  <c r="I45" i="78" s="1"/>
  <c r="F69" i="60"/>
  <c r="H45" i="78" s="1"/>
  <c r="E69" i="60"/>
  <c r="G45" i="78" s="1"/>
  <c r="D69" i="60"/>
  <c r="F45" i="78" s="1"/>
  <c r="I68" i="60"/>
  <c r="I67" i="60"/>
  <c r="I66" i="60"/>
  <c r="H65" i="60"/>
  <c r="J44" i="78" s="1"/>
  <c r="G65" i="60"/>
  <c r="I44" i="78" s="1"/>
  <c r="F65" i="60"/>
  <c r="H44" i="78" s="1"/>
  <c r="E65" i="60"/>
  <c r="G44" i="78" s="1"/>
  <c r="D65" i="60"/>
  <c r="F44" i="78" s="1"/>
  <c r="I64" i="60"/>
  <c r="I63" i="60"/>
  <c r="I62" i="60"/>
  <c r="H61" i="60"/>
  <c r="J43" i="78" s="1"/>
  <c r="G61" i="60"/>
  <c r="I43" i="78" s="1"/>
  <c r="F61" i="60"/>
  <c r="H43" i="78" s="1"/>
  <c r="E61" i="60"/>
  <c r="G43" i="78" s="1"/>
  <c r="D61" i="60"/>
  <c r="F43" i="78" s="1"/>
  <c r="I60" i="60"/>
  <c r="I59" i="60"/>
  <c r="I58" i="60"/>
  <c r="H57" i="60"/>
  <c r="J42" i="78" s="1"/>
  <c r="G57" i="60"/>
  <c r="I42" i="78" s="1"/>
  <c r="F57" i="60"/>
  <c r="E57" i="60"/>
  <c r="G42" i="78" s="1"/>
  <c r="D57" i="60"/>
  <c r="F42" i="78" s="1"/>
  <c r="I56" i="60"/>
  <c r="I55" i="60"/>
  <c r="I54" i="60"/>
  <c r="H53" i="60"/>
  <c r="J41" i="78" s="1"/>
  <c r="G53" i="60"/>
  <c r="F53" i="60"/>
  <c r="H41" i="78" s="1"/>
  <c r="E53" i="60"/>
  <c r="G41" i="78" s="1"/>
  <c r="D53" i="60"/>
  <c r="F41" i="78" s="1"/>
  <c r="I52" i="60"/>
  <c r="I51" i="60"/>
  <c r="I50" i="60"/>
  <c r="H49" i="60"/>
  <c r="J40" i="78" s="1"/>
  <c r="G49" i="60"/>
  <c r="I40" i="78" s="1"/>
  <c r="F49" i="60"/>
  <c r="H40" i="78" s="1"/>
  <c r="E49" i="60"/>
  <c r="G40" i="78" s="1"/>
  <c r="D49" i="60"/>
  <c r="F40" i="78" s="1"/>
  <c r="I48" i="60"/>
  <c r="I47" i="60"/>
  <c r="I46" i="60"/>
  <c r="H45" i="60"/>
  <c r="J39" i="78" s="1"/>
  <c r="G45" i="60"/>
  <c r="I39" i="78" s="1"/>
  <c r="F45" i="60"/>
  <c r="H39" i="78" s="1"/>
  <c r="E45" i="60"/>
  <c r="G39" i="78" s="1"/>
  <c r="D45" i="60"/>
  <c r="I44" i="60"/>
  <c r="I43" i="60"/>
  <c r="I42" i="60"/>
  <c r="H41" i="60"/>
  <c r="J38" i="78" s="1"/>
  <c r="G41" i="60"/>
  <c r="I38" i="78" s="1"/>
  <c r="F41" i="60"/>
  <c r="H38" i="78" s="1"/>
  <c r="E41" i="60"/>
  <c r="G38" i="78" s="1"/>
  <c r="D41" i="60"/>
  <c r="F38" i="78" s="1"/>
  <c r="I40" i="60"/>
  <c r="I39" i="60"/>
  <c r="I38" i="60"/>
  <c r="H37" i="60"/>
  <c r="J37" i="78" s="1"/>
  <c r="G37" i="60"/>
  <c r="I37" i="78" s="1"/>
  <c r="F37" i="60"/>
  <c r="H37" i="78" s="1"/>
  <c r="E37" i="60"/>
  <c r="G37" i="78" s="1"/>
  <c r="D37" i="60"/>
  <c r="F37" i="78" s="1"/>
  <c r="I36" i="60"/>
  <c r="I35" i="60"/>
  <c r="I34" i="60"/>
  <c r="H33" i="60"/>
  <c r="G33" i="60"/>
  <c r="F33" i="60"/>
  <c r="H36" i="78" s="1"/>
  <c r="E33" i="60"/>
  <c r="G36" i="78" s="1"/>
  <c r="D33" i="60"/>
  <c r="F36" i="78" s="1"/>
  <c r="I32" i="60"/>
  <c r="I31" i="60"/>
  <c r="I30" i="60"/>
  <c r="J35" i="78"/>
  <c r="I35" i="78"/>
  <c r="H35" i="78"/>
  <c r="G35" i="78"/>
  <c r="F35" i="78"/>
  <c r="I28" i="60"/>
  <c r="I27" i="60"/>
  <c r="F34" i="78"/>
  <c r="I24" i="60"/>
  <c r="I23" i="60"/>
  <c r="I20" i="60"/>
  <c r="I19" i="60"/>
  <c r="I16" i="60"/>
  <c r="I15" i="60"/>
  <c r="B9" i="60"/>
  <c r="B13" i="60" s="1"/>
  <c r="I12" i="60"/>
  <c r="I11" i="60"/>
  <c r="I8" i="60"/>
  <c r="I7" i="60"/>
  <c r="H4" i="60"/>
  <c r="H87" i="60" s="1"/>
  <c r="G4" i="60"/>
  <c r="G87" i="60" s="1"/>
  <c r="F4" i="60"/>
  <c r="F87" i="60" s="1"/>
  <c r="E4" i="60"/>
  <c r="E87" i="60" s="1"/>
  <c r="D4" i="60"/>
  <c r="D87" i="60" s="1"/>
  <c r="G6" i="55"/>
  <c r="E6" i="55"/>
  <c r="G26" i="54"/>
  <c r="E26" i="54"/>
  <c r="D26" i="54"/>
  <c r="H26" i="53"/>
  <c r="I6" i="53"/>
  <c r="I7" i="53"/>
  <c r="I8" i="53"/>
  <c r="I9" i="53"/>
  <c r="I10" i="53"/>
  <c r="I11" i="53"/>
  <c r="I12" i="53"/>
  <c r="F12" i="68" s="1"/>
  <c r="G12" i="68" s="1"/>
  <c r="H12" i="68" s="1"/>
  <c r="I13" i="53"/>
  <c r="F13" i="68" s="1"/>
  <c r="G13" i="68" s="1"/>
  <c r="H13" i="68" s="1"/>
  <c r="I14" i="53"/>
  <c r="F14" i="68" s="1"/>
  <c r="G14" i="68" s="1"/>
  <c r="H14" i="68" s="1"/>
  <c r="I15" i="53"/>
  <c r="F15" i="68" s="1"/>
  <c r="G15" i="68" s="1"/>
  <c r="H15" i="68" s="1"/>
  <c r="I16" i="53"/>
  <c r="F16" i="68" s="1"/>
  <c r="G16" i="68" s="1"/>
  <c r="H16" i="68" s="1"/>
  <c r="I17" i="53"/>
  <c r="F17" i="68" s="1"/>
  <c r="G17" i="68" s="1"/>
  <c r="H17" i="68" s="1"/>
  <c r="I18" i="53"/>
  <c r="F18" i="68" s="1"/>
  <c r="G18" i="68" s="1"/>
  <c r="H18" i="68" s="1"/>
  <c r="I19" i="53"/>
  <c r="F19" i="68" s="1"/>
  <c r="G19" i="68" s="1"/>
  <c r="H19" i="68" s="1"/>
  <c r="I20" i="53"/>
  <c r="F20" i="68" s="1"/>
  <c r="G20" i="68" s="1"/>
  <c r="H20" i="68" s="1"/>
  <c r="I21" i="53"/>
  <c r="F21" i="68" s="1"/>
  <c r="G21" i="68" s="1"/>
  <c r="H21" i="68" s="1"/>
  <c r="I22" i="53"/>
  <c r="F22" i="68" s="1"/>
  <c r="G22" i="68" s="1"/>
  <c r="H22" i="68" s="1"/>
  <c r="I23" i="53"/>
  <c r="F23" i="68" s="1"/>
  <c r="G23" i="68" s="1"/>
  <c r="H23" i="68" s="1"/>
  <c r="I24" i="53"/>
  <c r="F24" i="68" s="1"/>
  <c r="G24" i="68" s="1"/>
  <c r="H24" i="68" s="1"/>
  <c r="I5" i="53"/>
  <c r="E25" i="53"/>
  <c r="F25" i="53"/>
  <c r="G25" i="53"/>
  <c r="H25" i="53"/>
  <c r="D25" i="53"/>
  <c r="H4" i="53"/>
  <c r="J3" i="78" s="1"/>
  <c r="B38" i="79" s="1"/>
  <c r="B13" i="80" s="1"/>
  <c r="G4" i="53"/>
  <c r="I3" i="78" s="1"/>
  <c r="I28" i="78" s="1"/>
  <c r="F4" i="53"/>
  <c r="H3" i="78" s="1"/>
  <c r="B36" i="79" s="1"/>
  <c r="B11" i="80" s="1"/>
  <c r="E4" i="53"/>
  <c r="G3" i="78" s="1"/>
  <c r="G28" i="78" s="1"/>
  <c r="D4" i="53"/>
  <c r="F3" i="78" s="1"/>
  <c r="F28" i="78" s="1"/>
  <c r="F2" i="45"/>
  <c r="B69" i="78"/>
  <c r="B61" i="78"/>
  <c r="B35" i="78"/>
  <c r="L25" i="78"/>
  <c r="S10" i="87"/>
  <c r="S8" i="87"/>
  <c r="K8" i="91"/>
  <c r="R8" i="87"/>
  <c r="J22" i="91"/>
  <c r="J21" i="91"/>
  <c r="J20" i="91"/>
  <c r="J19" i="91"/>
  <c r="J16" i="91"/>
  <c r="J15" i="91"/>
  <c r="J14" i="91"/>
  <c r="J13" i="91"/>
  <c r="J12" i="91"/>
  <c r="J11" i="91"/>
  <c r="J10" i="91"/>
  <c r="J9" i="91"/>
  <c r="D35" i="78"/>
  <c r="J24" i="91"/>
  <c r="G48" i="79" l="1"/>
  <c r="F12" i="86"/>
  <c r="E13" i="78"/>
  <c r="E38" i="78" s="1"/>
  <c r="B64" i="78"/>
  <c r="C4" i="79"/>
  <c r="G12" i="86"/>
  <c r="D13" i="78"/>
  <c r="D38" i="78" s="1"/>
  <c r="I36" i="78"/>
  <c r="G88" i="60" a="1"/>
  <c r="G88" i="60" s="1"/>
  <c r="C7" i="62"/>
  <c r="C8" i="62"/>
  <c r="C13" i="62"/>
  <c r="C14" i="62"/>
  <c r="F11" i="68"/>
  <c r="E11" i="68"/>
  <c r="B10" i="86"/>
  <c r="B11" i="86"/>
  <c r="G54" i="75"/>
  <c r="H12" i="91"/>
  <c r="F54" i="75"/>
  <c r="K39" i="87"/>
  <c r="R35" i="78"/>
  <c r="Q14" i="91" s="1"/>
  <c r="L39" i="87"/>
  <c r="H9" i="91"/>
  <c r="B12" i="77"/>
  <c r="E17" i="91"/>
  <c r="I25" i="53"/>
  <c r="I27" i="53" s="1"/>
  <c r="F15" i="81" s="1"/>
  <c r="D31" i="78"/>
  <c r="M10" i="87"/>
  <c r="B43" i="78"/>
  <c r="B17" i="77"/>
  <c r="B20" i="91"/>
  <c r="B17" i="91"/>
  <c r="C13" i="78"/>
  <c r="C38" i="78" s="1"/>
  <c r="M20" i="87"/>
  <c r="B31" i="78"/>
  <c r="B41" i="78"/>
  <c r="B38" i="78"/>
  <c r="B57" i="78"/>
  <c r="B67" i="78"/>
  <c r="B15" i="77"/>
  <c r="B22" i="91"/>
  <c r="D18" i="78"/>
  <c r="E18" i="78"/>
  <c r="E22" i="91" s="1"/>
  <c r="N9" i="87"/>
  <c r="B66" i="78"/>
  <c r="B63" i="78"/>
  <c r="B26" i="91"/>
  <c r="B35" i="79"/>
  <c r="B10" i="80" s="1"/>
  <c r="F10" i="68"/>
  <c r="E10" i="68"/>
  <c r="F8" i="68"/>
  <c r="E8" i="68"/>
  <c r="F6" i="68"/>
  <c r="E6" i="68"/>
  <c r="I54" i="75"/>
  <c r="L38" i="87"/>
  <c r="F5" i="68"/>
  <c r="E5" i="68"/>
  <c r="F9" i="68"/>
  <c r="E9" i="68"/>
  <c r="F7" i="68"/>
  <c r="E7" i="68"/>
  <c r="H54" i="75"/>
  <c r="K11" i="78"/>
  <c r="H15" i="87" s="1"/>
  <c r="B55" i="78"/>
  <c r="B3" i="77"/>
  <c r="H21" i="91"/>
  <c r="M18" i="87"/>
  <c r="B58" i="78"/>
  <c r="C21" i="78"/>
  <c r="C25" i="91" s="1"/>
  <c r="M8" i="87"/>
  <c r="B42" i="78"/>
  <c r="M17" i="91"/>
  <c r="H48" i="79"/>
  <c r="N15" i="68"/>
  <c r="B37" i="79"/>
  <c r="B12" i="80" s="1"/>
  <c r="K4" i="78"/>
  <c r="K20" i="78"/>
  <c r="F24" i="91" s="1"/>
  <c r="M14" i="91"/>
  <c r="K48" i="78"/>
  <c r="I27" i="87" s="1"/>
  <c r="I49" i="60"/>
  <c r="I69" i="60"/>
  <c r="M14" i="87"/>
  <c r="H15" i="91"/>
  <c r="M12" i="87"/>
  <c r="H13" i="91"/>
  <c r="N13" i="68"/>
  <c r="N12" i="68"/>
  <c r="N17" i="68"/>
  <c r="N16" i="68"/>
  <c r="N14" i="68"/>
  <c r="K10" i="78"/>
  <c r="F14" i="91" s="1"/>
  <c r="K8" i="78"/>
  <c r="H12" i="87" s="1"/>
  <c r="K16" i="78"/>
  <c r="F20" i="91" s="1"/>
  <c r="K13" i="78"/>
  <c r="H17" i="87" s="1"/>
  <c r="K12" i="78"/>
  <c r="F16" i="91" s="1"/>
  <c r="K18" i="78"/>
  <c r="H22" i="87" s="1"/>
  <c r="B29" i="78"/>
  <c r="B18" i="91"/>
  <c r="B39" i="78"/>
  <c r="B71" i="78"/>
  <c r="B21" i="91"/>
  <c r="D14" i="78"/>
  <c r="D39" i="78" s="1"/>
  <c r="E14" i="78"/>
  <c r="E39" i="78" s="1"/>
  <c r="C20" i="78"/>
  <c r="C24" i="91" s="1"/>
  <c r="E21" i="91"/>
  <c r="E41" i="78"/>
  <c r="B45" i="78"/>
  <c r="B68" i="78"/>
  <c r="E23" i="78"/>
  <c r="E48" i="78" s="1"/>
  <c r="J25" i="78"/>
  <c r="C38" i="79" s="1"/>
  <c r="E13" i="80" s="1"/>
  <c r="N25" i="78"/>
  <c r="K14" i="78"/>
  <c r="H18" i="87" s="1"/>
  <c r="K9" i="78"/>
  <c r="H13" i="87" s="1"/>
  <c r="K22" i="78"/>
  <c r="F26" i="91" s="1"/>
  <c r="C40" i="78"/>
  <c r="B20" i="77"/>
  <c r="B40" i="78"/>
  <c r="B19" i="91"/>
  <c r="D15" i="78"/>
  <c r="D40" i="78" s="1"/>
  <c r="E35" i="78"/>
  <c r="B47" i="78"/>
  <c r="B46" i="78"/>
  <c r="B60" i="78"/>
  <c r="B72" i="78"/>
  <c r="N13" i="87"/>
  <c r="O50" i="78"/>
  <c r="N8" i="91"/>
  <c r="K7" i="78"/>
  <c r="H11" i="87" s="1"/>
  <c r="K6" i="78"/>
  <c r="H10" i="87" s="1"/>
  <c r="K5" i="78"/>
  <c r="F9" i="91" s="1"/>
  <c r="H25" i="78"/>
  <c r="C36" i="79" s="1"/>
  <c r="E11" i="80" s="1"/>
  <c r="B34" i="79"/>
  <c r="B9" i="80" s="1"/>
  <c r="E19" i="78"/>
  <c r="C30" i="78"/>
  <c r="H24" i="91"/>
  <c r="Q50" i="78"/>
  <c r="B48" i="78"/>
  <c r="B74" i="78"/>
  <c r="B65" i="78"/>
  <c r="B73" i="78"/>
  <c r="B36" i="78"/>
  <c r="I77" i="60"/>
  <c r="D6" i="80"/>
  <c r="H5" i="63"/>
  <c r="H29" i="63" s="1"/>
  <c r="D5" i="63"/>
  <c r="D29" i="63" s="1"/>
  <c r="B21" i="77"/>
  <c r="B13" i="77"/>
  <c r="D23" i="78"/>
  <c r="D27" i="91" s="1"/>
  <c r="D22" i="78"/>
  <c r="D26" i="91" s="1"/>
  <c r="E22" i="78"/>
  <c r="E26" i="91" s="1"/>
  <c r="H19" i="91"/>
  <c r="I37" i="60"/>
  <c r="G15" i="62" s="1"/>
  <c r="B37" i="78"/>
  <c r="B34" i="78"/>
  <c r="B62" i="78"/>
  <c r="B70" i="78"/>
  <c r="I65" i="60"/>
  <c r="I33" i="60"/>
  <c r="I57" i="60"/>
  <c r="B22" i="77"/>
  <c r="B44" i="78"/>
  <c r="B11" i="77"/>
  <c r="B23" i="91"/>
  <c r="E20" i="78"/>
  <c r="O27" i="74"/>
  <c r="E23" i="97" s="1"/>
  <c r="F23" i="97" s="1"/>
  <c r="N27" i="53"/>
  <c r="E9" i="97" s="1"/>
  <c r="F9" i="97" s="1"/>
  <c r="L27" i="69"/>
  <c r="F6" i="55" s="1"/>
  <c r="G9" i="95" s="1"/>
  <c r="N26" i="54"/>
  <c r="E11" i="97" s="1"/>
  <c r="F11" i="97" s="1"/>
  <c r="H26" i="72"/>
  <c r="L25" i="52"/>
  <c r="D27" i="62"/>
  <c r="L50" i="78"/>
  <c r="S9" i="87"/>
  <c r="N17" i="87"/>
  <c r="B30" i="78"/>
  <c r="E30" i="78"/>
  <c r="E32" i="78"/>
  <c r="B4" i="77"/>
  <c r="B56" i="78"/>
  <c r="B9" i="91"/>
  <c r="E29" i="78"/>
  <c r="B8" i="91"/>
  <c r="C8" i="91"/>
  <c r="M25" i="78"/>
  <c r="N37" i="87"/>
  <c r="I41" i="60"/>
  <c r="I53" i="60"/>
  <c r="J36" i="78"/>
  <c r="I45" i="60"/>
  <c r="I41" i="78"/>
  <c r="H42" i="78"/>
  <c r="K42" i="78" s="1"/>
  <c r="I61" i="60"/>
  <c r="I29" i="60"/>
  <c r="K43" i="78"/>
  <c r="I22" i="87" s="1"/>
  <c r="I81" i="60"/>
  <c r="I73" i="60"/>
  <c r="H11" i="91"/>
  <c r="M37" i="87"/>
  <c r="C35" i="78"/>
  <c r="B7" i="77"/>
  <c r="D30" i="78"/>
  <c r="E8" i="91"/>
  <c r="B11" i="91"/>
  <c r="C36" i="78"/>
  <c r="B33" i="78"/>
  <c r="B19" i="77"/>
  <c r="B16" i="77"/>
  <c r="B14" i="77"/>
  <c r="E15" i="78"/>
  <c r="D13" i="91"/>
  <c r="D44" i="78"/>
  <c r="B32" i="78"/>
  <c r="B59" i="78"/>
  <c r="B18" i="77"/>
  <c r="B6" i="77"/>
  <c r="B10" i="91"/>
  <c r="B24" i="91"/>
  <c r="B13" i="91"/>
  <c r="C19" i="78"/>
  <c r="C17" i="78"/>
  <c r="C42" i="78" s="1"/>
  <c r="D17" i="78"/>
  <c r="D21" i="91" s="1"/>
  <c r="B10" i="77"/>
  <c r="D11" i="78"/>
  <c r="B15" i="91"/>
  <c r="E11" i="78"/>
  <c r="C33" i="78"/>
  <c r="C12" i="91"/>
  <c r="B12" i="91"/>
  <c r="K45" i="78"/>
  <c r="D6" i="63"/>
  <c r="C9" i="95"/>
  <c r="B5" i="77"/>
  <c r="D16" i="78"/>
  <c r="D41" i="78" s="1"/>
  <c r="C16" i="78"/>
  <c r="C20" i="91" s="1"/>
  <c r="E21" i="78"/>
  <c r="D21" i="78"/>
  <c r="D12" i="78"/>
  <c r="E12" i="78"/>
  <c r="C12" i="78"/>
  <c r="D6" i="55"/>
  <c r="F9" i="95" s="1"/>
  <c r="H28" i="78"/>
  <c r="B39" i="79"/>
  <c r="B14" i="80" s="1"/>
  <c r="B24" i="78"/>
  <c r="G37" i="87"/>
  <c r="G38" i="87" s="1"/>
  <c r="G39" i="87" s="1"/>
  <c r="G40" i="87" s="1"/>
  <c r="C10" i="94"/>
  <c r="C11" i="94" s="1"/>
  <c r="C12" i="94" s="1"/>
  <c r="C13" i="94" s="1"/>
  <c r="B48" i="79"/>
  <c r="F30" i="87"/>
  <c r="K30" i="87"/>
  <c r="P30" i="87"/>
  <c r="L30" i="87"/>
  <c r="Q30" i="87"/>
  <c r="G30" i="87"/>
  <c r="F5" i="45"/>
  <c r="F8" i="45"/>
  <c r="F7" i="51"/>
  <c r="B12" i="86"/>
  <c r="B4" i="83"/>
  <c r="F6" i="87"/>
  <c r="B4" i="82"/>
  <c r="B4" i="92"/>
  <c r="F6" i="76"/>
  <c r="B4" i="91"/>
  <c r="F9" i="45"/>
  <c r="I20" i="91"/>
  <c r="I16" i="91"/>
  <c r="N27" i="87"/>
  <c r="N25" i="87"/>
  <c r="I24" i="91"/>
  <c r="N10" i="87"/>
  <c r="S26" i="87"/>
  <c r="I23" i="91"/>
  <c r="I18" i="91"/>
  <c r="B27" i="91"/>
  <c r="I25" i="78"/>
  <c r="C37" i="79" s="1"/>
  <c r="E12" i="80" s="1"/>
  <c r="I22" i="91"/>
  <c r="K13" i="91"/>
  <c r="K17" i="78"/>
  <c r="K15" i="78"/>
  <c r="K35" i="78"/>
  <c r="K37" i="78"/>
  <c r="K47" i="78"/>
  <c r="M27" i="87"/>
  <c r="M25" i="87"/>
  <c r="M17" i="87"/>
  <c r="N21" i="87"/>
  <c r="K23" i="78"/>
  <c r="F27" i="91" s="1"/>
  <c r="K22" i="91"/>
  <c r="I19" i="91"/>
  <c r="I15" i="91"/>
  <c r="I14" i="91"/>
  <c r="I11" i="91"/>
  <c r="Q10" i="91"/>
  <c r="R8" i="91"/>
  <c r="N50" i="78"/>
  <c r="M50" i="78"/>
  <c r="N8" i="87"/>
  <c r="I12" i="91"/>
  <c r="G25" i="78"/>
  <c r="C35" i="79" s="1"/>
  <c r="E10" i="80" s="1"/>
  <c r="F25" i="78"/>
  <c r="C34" i="79" s="1"/>
  <c r="E9" i="80" s="1"/>
  <c r="C47" i="78"/>
  <c r="J28" i="78"/>
  <c r="B17" i="60"/>
  <c r="K44" i="78"/>
  <c r="K46" i="78"/>
  <c r="K38" i="78"/>
  <c r="K40" i="78"/>
  <c r="F39" i="78"/>
  <c r="K39" i="78" s="1"/>
  <c r="C48" i="78"/>
  <c r="L21" i="91"/>
  <c r="R27" i="87"/>
  <c r="M26" i="87"/>
  <c r="H26" i="91"/>
  <c r="J25" i="91"/>
  <c r="R25" i="87"/>
  <c r="K19" i="78"/>
  <c r="R17" i="87"/>
  <c r="J17" i="91"/>
  <c r="F6" i="45"/>
  <c r="D25" i="68"/>
  <c r="N25" i="68" s="1"/>
  <c r="B28" i="83"/>
  <c r="Q28" i="83" s="1"/>
  <c r="R26" i="87"/>
  <c r="K21" i="78"/>
  <c r="C43" i="78"/>
  <c r="C22" i="91"/>
  <c r="L20" i="91"/>
  <c r="L8" i="91"/>
  <c r="M23" i="87"/>
  <c r="H23" i="91"/>
  <c r="R18" i="87"/>
  <c r="J18" i="91"/>
  <c r="H16" i="91"/>
  <c r="S27" i="87"/>
  <c r="N26" i="87"/>
  <c r="S25" i="87"/>
  <c r="K24" i="91"/>
  <c r="K23" i="91"/>
  <c r="K20" i="91"/>
  <c r="K19" i="91"/>
  <c r="K18" i="91"/>
  <c r="K17" i="91"/>
  <c r="K16" i="91"/>
  <c r="K15" i="91"/>
  <c r="K14" i="91"/>
  <c r="D45" i="78"/>
  <c r="R23" i="87"/>
  <c r="M22" i="87"/>
  <c r="C39" i="78"/>
  <c r="S12" i="87"/>
  <c r="I15" i="62" l="1"/>
  <c r="G27" i="62"/>
  <c r="J27" i="62" s="1"/>
  <c r="P37" i="78"/>
  <c r="J15" i="62"/>
  <c r="S37" i="78" s="1"/>
  <c r="L15" i="62"/>
  <c r="D17" i="91"/>
  <c r="N26" i="61"/>
  <c r="C3" i="61" s="1"/>
  <c r="H20" i="87"/>
  <c r="E43" i="78"/>
  <c r="P27" i="62"/>
  <c r="C3" i="62" s="1"/>
  <c r="G11" i="68"/>
  <c r="H11" i="68" s="1"/>
  <c r="N11" i="68" s="1"/>
  <c r="F12" i="91"/>
  <c r="C12" i="86"/>
  <c r="H12" i="86"/>
  <c r="F55" i="75"/>
  <c r="G55" i="75"/>
  <c r="F8" i="91"/>
  <c r="C17" i="91"/>
  <c r="E27" i="91"/>
  <c r="F22" i="91"/>
  <c r="G6" i="68"/>
  <c r="H6" i="68" s="1"/>
  <c r="N6" i="68" s="1"/>
  <c r="D22" i="91"/>
  <c r="D43" i="78"/>
  <c r="F26" i="68"/>
  <c r="G27" i="91"/>
  <c r="C46" i="78"/>
  <c r="F15" i="91"/>
  <c r="H27" i="87"/>
  <c r="K38" i="87"/>
  <c r="E26" i="68"/>
  <c r="H55" i="75"/>
  <c r="G7" i="68"/>
  <c r="H7" i="68" s="1"/>
  <c r="N7" i="68" s="1"/>
  <c r="G9" i="68"/>
  <c r="H9" i="68" s="1"/>
  <c r="N9" i="68" s="1"/>
  <c r="G5" i="68"/>
  <c r="H5" i="68" s="1"/>
  <c r="N5" i="68" s="1"/>
  <c r="I55" i="75"/>
  <c r="G8" i="68"/>
  <c r="H8" i="68" s="1"/>
  <c r="N8" i="68" s="1"/>
  <c r="G10" i="68"/>
  <c r="H10" i="68" s="1"/>
  <c r="N10" i="68" s="1"/>
  <c r="H9" i="87"/>
  <c r="D19" i="91"/>
  <c r="C45" i="78"/>
  <c r="D18" i="91"/>
  <c r="F13" i="91"/>
  <c r="H8" i="87"/>
  <c r="H14" i="87"/>
  <c r="H26" i="87"/>
  <c r="H16" i="87"/>
  <c r="D48" i="78"/>
  <c r="D47" i="78"/>
  <c r="F18" i="91"/>
  <c r="H24" i="87"/>
  <c r="K36" i="78"/>
  <c r="I15" i="87" s="1"/>
  <c r="F17" i="91"/>
  <c r="F11" i="91"/>
  <c r="C9" i="91"/>
  <c r="E47" i="78"/>
  <c r="E18" i="91"/>
  <c r="F10" i="91"/>
  <c r="C41" i="78"/>
  <c r="K41" i="78"/>
  <c r="G20" i="91" s="1"/>
  <c r="C3" i="54"/>
  <c r="K25" i="78"/>
  <c r="C3" i="53"/>
  <c r="C3" i="74"/>
  <c r="D42" i="78"/>
  <c r="H6" i="63"/>
  <c r="D30" i="63"/>
  <c r="D8" i="91"/>
  <c r="D29" i="78"/>
  <c r="E23" i="91"/>
  <c r="E44" i="78"/>
  <c r="E24" i="91"/>
  <c r="E45" i="78"/>
  <c r="F38" i="75"/>
  <c r="J4" i="79"/>
  <c r="D3" i="72"/>
  <c r="E19" i="97"/>
  <c r="F19" i="97" s="1"/>
  <c r="D3" i="52"/>
  <c r="E7" i="97"/>
  <c r="K37" i="87"/>
  <c r="E48" i="79"/>
  <c r="E9" i="91"/>
  <c r="C29" i="78"/>
  <c r="A5" i="77"/>
  <c r="A8" i="77"/>
  <c r="A12" i="77"/>
  <c r="G22" i="91"/>
  <c r="I21" i="87"/>
  <c r="G21" i="91"/>
  <c r="A4" i="77"/>
  <c r="A6" i="77"/>
  <c r="A7" i="77"/>
  <c r="A3" i="77"/>
  <c r="D20" i="91"/>
  <c r="C21" i="91"/>
  <c r="D34" i="78"/>
  <c r="A19" i="77"/>
  <c r="E19" i="91"/>
  <c r="E40" i="78"/>
  <c r="A17" i="77"/>
  <c r="C11" i="91"/>
  <c r="C32" i="78"/>
  <c r="A10" i="77"/>
  <c r="C23" i="91"/>
  <c r="C44" i="78"/>
  <c r="D11" i="91"/>
  <c r="D32" i="78"/>
  <c r="A13" i="77"/>
  <c r="A11" i="77"/>
  <c r="A9" i="77"/>
  <c r="A22" i="77"/>
  <c r="A15" i="77"/>
  <c r="A21" i="77"/>
  <c r="E36" i="78"/>
  <c r="E15" i="91"/>
  <c r="D15" i="91"/>
  <c r="D36" i="78"/>
  <c r="G24" i="91"/>
  <c r="I24" i="87"/>
  <c r="A16" i="77"/>
  <c r="A20" i="77"/>
  <c r="A14" i="77"/>
  <c r="A18" i="77"/>
  <c r="C10" i="91"/>
  <c r="C31" i="78"/>
  <c r="C37" i="78"/>
  <c r="C16" i="91"/>
  <c r="E25" i="91"/>
  <c r="E46" i="78"/>
  <c r="E16" i="91"/>
  <c r="E37" i="78"/>
  <c r="C13" i="91"/>
  <c r="C34" i="78"/>
  <c r="D16" i="91"/>
  <c r="D37" i="78"/>
  <c r="E13" i="91"/>
  <c r="E34" i="78"/>
  <c r="D25" i="91"/>
  <c r="D46" i="78"/>
  <c r="E12" i="91"/>
  <c r="E33" i="78"/>
  <c r="D12" i="91"/>
  <c r="D33" i="78"/>
  <c r="M35" i="87"/>
  <c r="I36" i="87"/>
  <c r="P5" i="87"/>
  <c r="D5" i="61"/>
  <c r="K5" i="87"/>
  <c r="E5" i="72"/>
  <c r="E5" i="61"/>
  <c r="B29" i="79"/>
  <c r="B29" i="76" s="1"/>
  <c r="L29" i="76" s="1"/>
  <c r="B49" i="78"/>
  <c r="R30" i="87"/>
  <c r="S30" i="87"/>
  <c r="M30" i="87"/>
  <c r="N30" i="87"/>
  <c r="K6" i="75"/>
  <c r="K37" i="75" s="1"/>
  <c r="E5" i="54"/>
  <c r="D5" i="54"/>
  <c r="P6" i="75"/>
  <c r="P37" i="75" s="1"/>
  <c r="E6" i="63"/>
  <c r="I33" i="63"/>
  <c r="E10" i="91"/>
  <c r="E31" i="78"/>
  <c r="H6" i="87"/>
  <c r="M6" i="87" s="1"/>
  <c r="R6" i="87" s="1"/>
  <c r="K6" i="87"/>
  <c r="P6" i="87" s="1"/>
  <c r="B47" i="79"/>
  <c r="G47" i="79" s="1"/>
  <c r="E15" i="80"/>
  <c r="D14" i="80" s="1"/>
  <c r="F21" i="91"/>
  <c r="H21" i="87"/>
  <c r="G26" i="91"/>
  <c r="I26" i="87"/>
  <c r="I16" i="87"/>
  <c r="G16" i="91"/>
  <c r="F19" i="91"/>
  <c r="H19" i="87"/>
  <c r="I14" i="87"/>
  <c r="G14" i="91"/>
  <c r="H6" i="91"/>
  <c r="L6" i="62"/>
  <c r="F8" i="86"/>
  <c r="J6" i="91"/>
  <c r="I8" i="86"/>
  <c r="G6" i="83"/>
  <c r="D6" i="62"/>
  <c r="F6" i="92"/>
  <c r="D25" i="92" s="1"/>
  <c r="G17" i="91"/>
  <c r="I17" i="87"/>
  <c r="B21" i="60"/>
  <c r="H23" i="87"/>
  <c r="F23" i="91"/>
  <c r="I18" i="87"/>
  <c r="G18" i="91"/>
  <c r="G25" i="91"/>
  <c r="I25" i="87"/>
  <c r="F25" i="91"/>
  <c r="H25" i="87"/>
  <c r="I19" i="87"/>
  <c r="G19" i="91"/>
  <c r="G23" i="91"/>
  <c r="I23" i="87"/>
  <c r="I27" i="62" l="1"/>
  <c r="R37" i="78"/>
  <c r="P50" i="78"/>
  <c r="O16" i="91"/>
  <c r="S50" i="78"/>
  <c r="R16" i="91"/>
  <c r="E18" i="97"/>
  <c r="F18" i="97" s="1"/>
  <c r="E20" i="97"/>
  <c r="F20" i="97" s="1"/>
  <c r="G15" i="91"/>
  <c r="G26" i="68"/>
  <c r="H26" i="68" s="1"/>
  <c r="N26" i="68" s="1"/>
  <c r="N29" i="68" s="1"/>
  <c r="E10" i="97" s="1"/>
  <c r="F10" i="97" s="1"/>
  <c r="I20" i="87"/>
  <c r="E28" i="97"/>
  <c r="F28" i="97" s="1"/>
  <c r="C6" i="94"/>
  <c r="F7" i="97"/>
  <c r="M7" i="75"/>
  <c r="H38" i="75"/>
  <c r="K38" i="75"/>
  <c r="L4" i="79"/>
  <c r="K4" i="79"/>
  <c r="C18" i="77"/>
  <c r="D18" i="77" s="1"/>
  <c r="C4" i="77"/>
  <c r="D4" i="77" s="1"/>
  <c r="F4" i="77" s="1"/>
  <c r="C21" i="77"/>
  <c r="E21" i="77" s="1"/>
  <c r="C8" i="77"/>
  <c r="C17" i="77"/>
  <c r="E17" i="77" s="1"/>
  <c r="C11" i="77"/>
  <c r="E11" i="77" s="1"/>
  <c r="C20" i="77"/>
  <c r="E20" i="77" s="1"/>
  <c r="C6" i="77"/>
  <c r="E6" i="77" s="1"/>
  <c r="C14" i="77"/>
  <c r="E14" i="77" s="1"/>
  <c r="C22" i="77"/>
  <c r="C16" i="77"/>
  <c r="D16" i="77" s="1"/>
  <c r="C3" i="77"/>
  <c r="E3" i="77" s="1"/>
  <c r="C13" i="77"/>
  <c r="E13" i="77" s="1"/>
  <c r="C7" i="77"/>
  <c r="D7" i="77" s="1"/>
  <c r="F7" i="77" s="1"/>
  <c r="C10" i="77"/>
  <c r="D10" i="77" s="1"/>
  <c r="C19" i="77"/>
  <c r="E19" i="77" s="1"/>
  <c r="C9" i="77"/>
  <c r="D9" i="77" s="1"/>
  <c r="F9" i="77" s="1"/>
  <c r="C5" i="77"/>
  <c r="D5" i="77" s="1"/>
  <c r="F5" i="77" s="1"/>
  <c r="C15" i="77"/>
  <c r="E15" i="77" s="1"/>
  <c r="C12" i="77"/>
  <c r="E12" i="77" s="1"/>
  <c r="I6" i="63"/>
  <c r="I30" i="63" s="1"/>
  <c r="E30" i="63"/>
  <c r="F6" i="63"/>
  <c r="C47" i="79"/>
  <c r="D47" i="79"/>
  <c r="H47" i="79"/>
  <c r="F47" i="79"/>
  <c r="E47" i="79"/>
  <c r="E9" i="94"/>
  <c r="H30" i="87"/>
  <c r="C9" i="82"/>
  <c r="F10" i="51"/>
  <c r="B46" i="79"/>
  <c r="G46" i="79" s="1"/>
  <c r="B8" i="82"/>
  <c r="B9" i="82"/>
  <c r="D10" i="80"/>
  <c r="D15" i="80"/>
  <c r="D13" i="80"/>
  <c r="D9" i="80"/>
  <c r="D11" i="80"/>
  <c r="D12" i="80"/>
  <c r="F5" i="72"/>
  <c r="H5" i="72"/>
  <c r="G5" i="72"/>
  <c r="N7" i="91"/>
  <c r="F6" i="62"/>
  <c r="C8" i="82"/>
  <c r="B25" i="60"/>
  <c r="D8" i="77" l="1"/>
  <c r="F8" i="77" s="1"/>
  <c r="E8" i="77"/>
  <c r="R50" i="78"/>
  <c r="Q16" i="91"/>
  <c r="D3" i="68"/>
  <c r="D3" i="77"/>
  <c r="F3" i="77" s="1"/>
  <c r="D19" i="77"/>
  <c r="F19" i="77" s="1"/>
  <c r="D6" i="77"/>
  <c r="F6" i="77" s="1"/>
  <c r="D14" i="77"/>
  <c r="F14" i="77" s="1"/>
  <c r="E18" i="77"/>
  <c r="F18" i="77" s="1"/>
  <c r="U38" i="75"/>
  <c r="P38" i="75"/>
  <c r="M38" i="75"/>
  <c r="E4" i="77"/>
  <c r="D21" i="77"/>
  <c r="F21" i="77" s="1"/>
  <c r="D17" i="77"/>
  <c r="F17" i="77" s="1"/>
  <c r="E9" i="77"/>
  <c r="D13" i="77"/>
  <c r="F13" i="77" s="1"/>
  <c r="E7" i="77"/>
  <c r="D11" i="77"/>
  <c r="F11" i="77" s="1"/>
  <c r="E5" i="77"/>
  <c r="D12" i="77"/>
  <c r="F12" i="77" s="1"/>
  <c r="E16" i="77"/>
  <c r="F16" i="77" s="1"/>
  <c r="D20" i="77"/>
  <c r="F20" i="77" s="1"/>
  <c r="D15" i="77"/>
  <c r="F15" i="77" s="1"/>
  <c r="E10" i="77"/>
  <c r="F10" i="77" s="1"/>
  <c r="D22" i="77"/>
  <c r="E22" i="77"/>
  <c r="J6" i="63"/>
  <c r="J30" i="63" s="1"/>
  <c r="F30" i="63"/>
  <c r="C46" i="79"/>
  <c r="H46" i="79"/>
  <c r="F46" i="79"/>
  <c r="E46" i="79"/>
  <c r="D46" i="79"/>
  <c r="B45" i="79"/>
  <c r="T41" i="78"/>
  <c r="S20" i="91" s="1"/>
  <c r="T45" i="78"/>
  <c r="S24" i="91" s="1"/>
  <c r="T39" i="78"/>
  <c r="S18" i="91" s="1"/>
  <c r="K27" i="62"/>
  <c r="L27" i="62" s="1"/>
  <c r="T44" i="78"/>
  <c r="S23" i="91" s="1"/>
  <c r="K9" i="62"/>
  <c r="L9" i="62" s="1"/>
  <c r="T31" i="78" s="1"/>
  <c r="S10" i="91" s="1"/>
  <c r="T46" i="78"/>
  <c r="S25" i="91" s="1"/>
  <c r="T47" i="78"/>
  <c r="S26" i="91" s="1"/>
  <c r="T35" i="78"/>
  <c r="S14" i="91" s="1"/>
  <c r="T36" i="78"/>
  <c r="S15" i="91" s="1"/>
  <c r="T43" i="78"/>
  <c r="S22" i="91" s="1"/>
  <c r="K7" i="62"/>
  <c r="L7" i="62" s="1"/>
  <c r="T29" i="78" s="1"/>
  <c r="T34" i="78"/>
  <c r="S13" i="91" s="1"/>
  <c r="T40" i="78"/>
  <c r="S19" i="91" s="1"/>
  <c r="T37" i="78"/>
  <c r="S16" i="91" s="1"/>
  <c r="T42" i="78"/>
  <c r="S21" i="91" s="1"/>
  <c r="T48" i="78"/>
  <c r="S27" i="91" s="1"/>
  <c r="T38" i="78"/>
  <c r="S17" i="91" s="1"/>
  <c r="K8" i="62"/>
  <c r="L8" i="62" s="1"/>
  <c r="T30" i="78" s="1"/>
  <c r="S9" i="91" s="1"/>
  <c r="T32" i="78"/>
  <c r="S11" i="91" s="1"/>
  <c r="T33" i="78"/>
  <c r="S12" i="91" s="1"/>
  <c r="B29" i="60"/>
  <c r="G45" i="79" l="1"/>
  <c r="B44" i="79"/>
  <c r="W38" i="75"/>
  <c r="R38" i="75"/>
  <c r="F22" i="77"/>
  <c r="H22" i="77" s="1"/>
  <c r="C45" i="79"/>
  <c r="E45" i="79"/>
  <c r="D45" i="79"/>
  <c r="H45" i="79"/>
  <c r="F45" i="79"/>
  <c r="G44" i="79"/>
  <c r="S8" i="91"/>
  <c r="T50" i="78"/>
  <c r="M9" i="81"/>
  <c r="K9" i="81"/>
  <c r="B33" i="60"/>
  <c r="H16" i="77" l="1"/>
  <c r="H17" i="77"/>
  <c r="H19" i="77"/>
  <c r="H6" i="77"/>
  <c r="H4" i="77"/>
  <c r="H3" i="77"/>
  <c r="H7" i="77"/>
  <c r="H13" i="77"/>
  <c r="H14" i="77"/>
  <c r="H12" i="77"/>
  <c r="H18" i="77"/>
  <c r="H11" i="77"/>
  <c r="H8" i="77"/>
  <c r="H20" i="77"/>
  <c r="H9" i="77"/>
  <c r="H10" i="77"/>
  <c r="H21" i="77"/>
  <c r="H15" i="77"/>
  <c r="H5" i="77"/>
  <c r="H44" i="79"/>
  <c r="F44" i="79"/>
  <c r="E44" i="79"/>
  <c r="C44" i="79"/>
  <c r="D44" i="79"/>
  <c r="B37" i="60"/>
  <c r="J6" i="77" l="1"/>
  <c r="B61" i="79" s="1"/>
  <c r="J11" i="83" s="1"/>
  <c r="J3" i="77"/>
  <c r="B58" i="79" s="1"/>
  <c r="F58" i="79" s="1"/>
  <c r="G8" i="83" s="1"/>
  <c r="J7" i="77"/>
  <c r="B62" i="79" s="1"/>
  <c r="D62" i="79" s="1"/>
  <c r="D12" i="83" s="1"/>
  <c r="J4" i="77"/>
  <c r="B10" i="79" s="1"/>
  <c r="J8" i="77"/>
  <c r="B14" i="79" s="1"/>
  <c r="B14" i="76" s="1"/>
  <c r="L14" i="76" s="1"/>
  <c r="J5" i="77"/>
  <c r="B11" i="79" s="1"/>
  <c r="J16" i="77"/>
  <c r="B22" i="79" s="1"/>
  <c r="F22" i="79" s="1"/>
  <c r="G22" i="76" s="1"/>
  <c r="J15" i="77"/>
  <c r="B70" i="79" s="1"/>
  <c r="D70" i="79" s="1"/>
  <c r="D20" i="83" s="1"/>
  <c r="J19" i="77"/>
  <c r="B74" i="79" s="1"/>
  <c r="J18" i="77"/>
  <c r="B73" i="79" s="1"/>
  <c r="G73" i="79" s="1"/>
  <c r="H23" i="83" s="1"/>
  <c r="J14" i="77"/>
  <c r="B20" i="79" s="1"/>
  <c r="D20" i="79" s="1"/>
  <c r="D20" i="76" s="1"/>
  <c r="J12" i="77"/>
  <c r="B18" i="79" s="1"/>
  <c r="F18" i="79" s="1"/>
  <c r="G18" i="76" s="1"/>
  <c r="J11" i="77"/>
  <c r="B17" i="79" s="1"/>
  <c r="J20" i="77"/>
  <c r="B75" i="79" s="1"/>
  <c r="J13" i="77"/>
  <c r="B19" i="79" s="1"/>
  <c r="F19" i="79" s="1"/>
  <c r="G19" i="76" s="1"/>
  <c r="J22" i="77"/>
  <c r="B28" i="79" s="1"/>
  <c r="F28" i="79" s="1"/>
  <c r="G28" i="76" s="1"/>
  <c r="J17" i="77"/>
  <c r="B23" i="79" s="1"/>
  <c r="E23" i="79" s="1"/>
  <c r="F23" i="76" s="1"/>
  <c r="J9" i="77"/>
  <c r="B64" i="79" s="1"/>
  <c r="J10" i="77"/>
  <c r="B16" i="79" s="1"/>
  <c r="J21" i="77"/>
  <c r="B76" i="79" s="1"/>
  <c r="E76" i="79" s="1"/>
  <c r="E26" i="83" s="1"/>
  <c r="B41" i="60"/>
  <c r="E20" i="79" l="1"/>
  <c r="F20" i="76" s="1"/>
  <c r="B59" i="79"/>
  <c r="K59" i="79" s="1"/>
  <c r="C22" i="79"/>
  <c r="C22" i="76" s="1"/>
  <c r="B20" i="76"/>
  <c r="L20" i="76" s="1"/>
  <c r="F70" i="79"/>
  <c r="G20" i="83" s="1"/>
  <c r="B15" i="79"/>
  <c r="D15" i="79" s="1"/>
  <c r="D15" i="76" s="1"/>
  <c r="B69" i="79"/>
  <c r="F69" i="79" s="1"/>
  <c r="G19" i="83" s="1"/>
  <c r="D22" i="79"/>
  <c r="D22" i="76" s="1"/>
  <c r="B22" i="76"/>
  <c r="L22" i="76" s="1"/>
  <c r="E22" i="79"/>
  <c r="F22" i="76" s="1"/>
  <c r="I22" i="76" s="1"/>
  <c r="E70" i="79"/>
  <c r="E20" i="83" s="1"/>
  <c r="F20" i="83" s="1"/>
  <c r="B60" i="79"/>
  <c r="B10" i="83" s="1"/>
  <c r="Q10" i="83" s="1"/>
  <c r="B26" i="79"/>
  <c r="C26" i="79" s="1"/>
  <c r="C26" i="76" s="1"/>
  <c r="B25" i="79"/>
  <c r="E25" i="79" s="1"/>
  <c r="F25" i="76" s="1"/>
  <c r="H73" i="79"/>
  <c r="J23" i="83" s="1"/>
  <c r="C73" i="79"/>
  <c r="C23" i="83" s="1"/>
  <c r="F20" i="79"/>
  <c r="G20" i="76" s="1"/>
  <c r="C20" i="79"/>
  <c r="C20" i="76" s="1"/>
  <c r="J70" i="79"/>
  <c r="M20" i="83" s="1"/>
  <c r="D61" i="79"/>
  <c r="D11" i="83" s="1"/>
  <c r="G70" i="79"/>
  <c r="H20" i="83" s="1"/>
  <c r="B20" i="83"/>
  <c r="Q20" i="83" s="1"/>
  <c r="K70" i="79"/>
  <c r="I61" i="79"/>
  <c r="K11" i="83" s="1"/>
  <c r="L11" i="83" s="1"/>
  <c r="I62" i="79"/>
  <c r="K12" i="83" s="1"/>
  <c r="K62" i="79"/>
  <c r="B9" i="79"/>
  <c r="D9" i="79" s="1"/>
  <c r="D9" i="76" s="1"/>
  <c r="C58" i="79"/>
  <c r="C8" i="83" s="1"/>
  <c r="B65" i="79"/>
  <c r="G62" i="79"/>
  <c r="H12" i="83" s="1"/>
  <c r="D18" i="79"/>
  <c r="D18" i="76" s="1"/>
  <c r="C61" i="79"/>
  <c r="C11" i="83" s="1"/>
  <c r="B23" i="76"/>
  <c r="L23" i="76" s="1"/>
  <c r="J12" i="83"/>
  <c r="F62" i="79"/>
  <c r="G12" i="83" s="1"/>
  <c r="B12" i="83"/>
  <c r="Q12" i="83" s="1"/>
  <c r="B28" i="76"/>
  <c r="G61" i="79"/>
  <c r="H11" i="83" s="1"/>
  <c r="F23" i="79"/>
  <c r="G23" i="76" s="1"/>
  <c r="I23" i="76" s="1"/>
  <c r="B66" i="79"/>
  <c r="E66" i="79" s="1"/>
  <c r="F61" i="79"/>
  <c r="G11" i="83" s="1"/>
  <c r="J61" i="79"/>
  <c r="M11" i="83" s="1"/>
  <c r="L61" i="79"/>
  <c r="E14" i="79"/>
  <c r="F14" i="76" s="1"/>
  <c r="H58" i="79"/>
  <c r="J8" i="83" s="1"/>
  <c r="I70" i="79"/>
  <c r="K20" i="83" s="1"/>
  <c r="K61" i="79"/>
  <c r="B11" i="83"/>
  <c r="Q11" i="83" s="1"/>
  <c r="B71" i="79"/>
  <c r="C71" i="79" s="1"/>
  <c r="C21" i="83" s="1"/>
  <c r="I58" i="79"/>
  <c r="K8" i="83" s="1"/>
  <c r="G58" i="79"/>
  <c r="H8" i="83" s="1"/>
  <c r="I8" i="83" s="1"/>
  <c r="B63" i="79"/>
  <c r="H63" i="79" s="1"/>
  <c r="J13" i="83" s="1"/>
  <c r="B77" i="79"/>
  <c r="B27" i="83" s="1"/>
  <c r="Q27" i="83" s="1"/>
  <c r="J58" i="79"/>
  <c r="M8" i="83" s="1"/>
  <c r="C28" i="79"/>
  <c r="C28" i="76" s="1"/>
  <c r="C14" i="79"/>
  <c r="C14" i="76" s="1"/>
  <c r="B8" i="83"/>
  <c r="Q8" i="83" s="1"/>
  <c r="D58" i="79"/>
  <c r="D8" i="83" s="1"/>
  <c r="K58" i="79"/>
  <c r="F73" i="79"/>
  <c r="G23" i="83" s="1"/>
  <c r="I23" i="83" s="1"/>
  <c r="C19" i="79"/>
  <c r="C19" i="76" s="1"/>
  <c r="M76" i="79"/>
  <c r="K76" i="79"/>
  <c r="H70" i="79"/>
  <c r="J20" i="83" s="1"/>
  <c r="B21" i="79"/>
  <c r="D21" i="79" s="1"/>
  <c r="D21" i="76" s="1"/>
  <c r="L70" i="79"/>
  <c r="B24" i="79"/>
  <c r="B24" i="76" s="1"/>
  <c r="L24" i="76" s="1"/>
  <c r="L76" i="79"/>
  <c r="B67" i="79"/>
  <c r="B17" i="83" s="1"/>
  <c r="Q17" i="83" s="1"/>
  <c r="B13" i="79"/>
  <c r="B13" i="76" s="1"/>
  <c r="L13" i="76" s="1"/>
  <c r="L62" i="79"/>
  <c r="C62" i="79"/>
  <c r="C12" i="83" s="1"/>
  <c r="C70" i="79"/>
  <c r="C20" i="83" s="1"/>
  <c r="D73" i="79"/>
  <c r="D23" i="83" s="1"/>
  <c r="B23" i="83"/>
  <c r="Q23" i="83" s="1"/>
  <c r="C23" i="79"/>
  <c r="C23" i="76" s="1"/>
  <c r="G76" i="79"/>
  <c r="H26" i="83" s="1"/>
  <c r="I73" i="79"/>
  <c r="K23" i="83" s="1"/>
  <c r="E73" i="79"/>
  <c r="M73" i="79" s="1"/>
  <c r="E18" i="79"/>
  <c r="F18" i="76" s="1"/>
  <c r="I18" i="76" s="1"/>
  <c r="H76" i="79"/>
  <c r="J26" i="83" s="1"/>
  <c r="C76" i="79"/>
  <c r="C26" i="83" s="1"/>
  <c r="J76" i="79"/>
  <c r="M26" i="83" s="1"/>
  <c r="K73" i="79"/>
  <c r="D14" i="79"/>
  <c r="D14" i="76" s="1"/>
  <c r="B12" i="79"/>
  <c r="B12" i="76" s="1"/>
  <c r="L12" i="76" s="1"/>
  <c r="L58" i="79"/>
  <c r="E28" i="79"/>
  <c r="F28" i="76" s="1"/>
  <c r="I28" i="76" s="1"/>
  <c r="D28" i="79"/>
  <c r="D28" i="76" s="1"/>
  <c r="F76" i="79"/>
  <c r="G26" i="83" s="1"/>
  <c r="I76" i="79"/>
  <c r="K26" i="83" s="1"/>
  <c r="B26" i="83"/>
  <c r="Q26" i="83" s="1"/>
  <c r="D23" i="79"/>
  <c r="D23" i="76" s="1"/>
  <c r="B27" i="79"/>
  <c r="D27" i="79" s="1"/>
  <c r="D27" i="76" s="1"/>
  <c r="L73" i="79"/>
  <c r="B68" i="79"/>
  <c r="E68" i="79" s="1"/>
  <c r="E18" i="83" s="1"/>
  <c r="J73" i="79"/>
  <c r="M23" i="83" s="1"/>
  <c r="B19" i="76"/>
  <c r="L19" i="76" s="1"/>
  <c r="J62" i="79"/>
  <c r="M12" i="83" s="1"/>
  <c r="D76" i="79"/>
  <c r="D26" i="83" s="1"/>
  <c r="F26" i="83" s="1"/>
  <c r="D19" i="79"/>
  <c r="D19" i="76" s="1"/>
  <c r="C18" i="79"/>
  <c r="C18" i="76" s="1"/>
  <c r="B72" i="79"/>
  <c r="E72" i="79" s="1"/>
  <c r="E22" i="83" s="1"/>
  <c r="E19" i="79"/>
  <c r="F19" i="76" s="1"/>
  <c r="I19" i="76" s="1"/>
  <c r="B18" i="76"/>
  <c r="L18" i="76" s="1"/>
  <c r="E11" i="79"/>
  <c r="F11" i="76" s="1"/>
  <c r="D11" i="79"/>
  <c r="D11" i="76" s="1"/>
  <c r="B11" i="76"/>
  <c r="L11" i="76" s="1"/>
  <c r="C11" i="79"/>
  <c r="C11" i="76" s="1"/>
  <c r="C17" i="79"/>
  <c r="C17" i="76" s="1"/>
  <c r="D17" i="79"/>
  <c r="D17" i="76" s="1"/>
  <c r="E17" i="79"/>
  <c r="F17" i="76" s="1"/>
  <c r="F17" i="79"/>
  <c r="G17" i="76" s="1"/>
  <c r="B17" i="76"/>
  <c r="L17" i="76" s="1"/>
  <c r="B16" i="76"/>
  <c r="L16" i="76" s="1"/>
  <c r="D16" i="79"/>
  <c r="D16" i="76" s="1"/>
  <c r="C16" i="79"/>
  <c r="C16" i="76" s="1"/>
  <c r="E16" i="79"/>
  <c r="F16" i="76" s="1"/>
  <c r="D75" i="79"/>
  <c r="D25" i="83" s="1"/>
  <c r="H75" i="79"/>
  <c r="J25" i="83" s="1"/>
  <c r="G75" i="79"/>
  <c r="H25" i="83" s="1"/>
  <c r="L75" i="79"/>
  <c r="F75" i="79"/>
  <c r="G25" i="83" s="1"/>
  <c r="J75" i="79"/>
  <c r="M25" i="83" s="1"/>
  <c r="C75" i="79"/>
  <c r="C25" i="83" s="1"/>
  <c r="E75" i="79"/>
  <c r="K75" i="79"/>
  <c r="B25" i="83"/>
  <c r="Q25" i="83" s="1"/>
  <c r="I75" i="79"/>
  <c r="K25" i="83" s="1"/>
  <c r="D64" i="79"/>
  <c r="D14" i="83" s="1"/>
  <c r="J64" i="79"/>
  <c r="M14" i="83" s="1"/>
  <c r="H64" i="79"/>
  <c r="J14" i="83" s="1"/>
  <c r="L64" i="79"/>
  <c r="B14" i="83"/>
  <c r="Q14" i="83" s="1"/>
  <c r="I64" i="79"/>
  <c r="K14" i="83" s="1"/>
  <c r="F64" i="79"/>
  <c r="G14" i="83" s="1"/>
  <c r="G64" i="79"/>
  <c r="H14" i="83" s="1"/>
  <c r="C64" i="79"/>
  <c r="C14" i="83" s="1"/>
  <c r="K64" i="79"/>
  <c r="B10" i="76"/>
  <c r="L10" i="76" s="1"/>
  <c r="E10" i="79"/>
  <c r="F10" i="76" s="1"/>
  <c r="D10" i="79"/>
  <c r="D10" i="76" s="1"/>
  <c r="C10" i="79"/>
  <c r="C10" i="76" s="1"/>
  <c r="L74" i="79"/>
  <c r="B24" i="83"/>
  <c r="Q24" i="83" s="1"/>
  <c r="G74" i="79"/>
  <c r="H24" i="83" s="1"/>
  <c r="E74" i="79"/>
  <c r="I74" i="79"/>
  <c r="K24" i="83" s="1"/>
  <c r="F74" i="79"/>
  <c r="G24" i="83" s="1"/>
  <c r="H74" i="79"/>
  <c r="J24" i="83" s="1"/>
  <c r="D74" i="79"/>
  <c r="D24" i="83" s="1"/>
  <c r="C74" i="79"/>
  <c r="C24" i="83" s="1"/>
  <c r="J74" i="79"/>
  <c r="M24" i="83" s="1"/>
  <c r="K74" i="79"/>
  <c r="B45" i="60"/>
  <c r="D69" i="79" l="1"/>
  <c r="D19" i="83" s="1"/>
  <c r="G77" i="79"/>
  <c r="H27" i="83" s="1"/>
  <c r="L23" i="83"/>
  <c r="I20" i="83"/>
  <c r="I20" i="76"/>
  <c r="L26" i="83"/>
  <c r="G66" i="79"/>
  <c r="H16" i="83" s="1"/>
  <c r="E15" i="79"/>
  <c r="F15" i="76" s="1"/>
  <c r="B26" i="76"/>
  <c r="L26" i="76" s="1"/>
  <c r="D26" i="79"/>
  <c r="D26" i="76" s="1"/>
  <c r="J66" i="79"/>
  <c r="M16" i="83" s="1"/>
  <c r="E26" i="79"/>
  <c r="F26" i="76" s="1"/>
  <c r="F26" i="79"/>
  <c r="G26" i="76" s="1"/>
  <c r="K66" i="79"/>
  <c r="H66" i="79"/>
  <c r="J16" i="83" s="1"/>
  <c r="B16" i="83"/>
  <c r="Q16" i="83" s="1"/>
  <c r="D66" i="79"/>
  <c r="D16" i="83" s="1"/>
  <c r="C66" i="79"/>
  <c r="C16" i="83" s="1"/>
  <c r="F66" i="79"/>
  <c r="G16" i="83" s="1"/>
  <c r="L66" i="79"/>
  <c r="I66" i="79"/>
  <c r="K16" i="83" s="1"/>
  <c r="G69" i="79"/>
  <c r="H19" i="83" s="1"/>
  <c r="I19" i="83" s="1"/>
  <c r="L28" i="76"/>
  <c r="L59" i="79"/>
  <c r="C25" i="79"/>
  <c r="C25" i="76" s="1"/>
  <c r="H59" i="79"/>
  <c r="J9" i="83" s="1"/>
  <c r="J59" i="79"/>
  <c r="M9" i="83" s="1"/>
  <c r="I59" i="79"/>
  <c r="K9" i="83" s="1"/>
  <c r="K60" i="79"/>
  <c r="G60" i="79"/>
  <c r="H10" i="83" s="1"/>
  <c r="J65" i="79"/>
  <c r="M15" i="83" s="1"/>
  <c r="I71" i="79"/>
  <c r="K21" i="83" s="1"/>
  <c r="H69" i="79"/>
  <c r="J19" i="83" s="1"/>
  <c r="C65" i="79"/>
  <c r="C15" i="83" s="1"/>
  <c r="G59" i="79"/>
  <c r="H9" i="83" s="1"/>
  <c r="F59" i="79"/>
  <c r="G9" i="83" s="1"/>
  <c r="D59" i="79"/>
  <c r="D9" i="83" s="1"/>
  <c r="B9" i="83"/>
  <c r="Q9" i="83" s="1"/>
  <c r="C59" i="79"/>
  <c r="C9" i="83" s="1"/>
  <c r="D71" i="79"/>
  <c r="D21" i="83" s="1"/>
  <c r="H60" i="79"/>
  <c r="J10" i="83" s="1"/>
  <c r="J60" i="79"/>
  <c r="M10" i="83" s="1"/>
  <c r="D60" i="79"/>
  <c r="D10" i="83" s="1"/>
  <c r="F60" i="79"/>
  <c r="G10" i="83" s="1"/>
  <c r="L60" i="79"/>
  <c r="I60" i="79"/>
  <c r="K10" i="83" s="1"/>
  <c r="C60" i="79"/>
  <c r="C10" i="83" s="1"/>
  <c r="F65" i="79"/>
  <c r="G15" i="83" s="1"/>
  <c r="J71" i="79"/>
  <c r="M21" i="83" s="1"/>
  <c r="E67" i="79"/>
  <c r="M67" i="79" s="1"/>
  <c r="C63" i="79"/>
  <c r="C13" i="83" s="1"/>
  <c r="L63" i="79"/>
  <c r="B15" i="83"/>
  <c r="Q15" i="83" s="1"/>
  <c r="G65" i="79"/>
  <c r="H15" i="83" s="1"/>
  <c r="F25" i="79"/>
  <c r="G25" i="76" s="1"/>
  <c r="I25" i="76" s="1"/>
  <c r="B25" i="76"/>
  <c r="L25" i="76" s="1"/>
  <c r="C15" i="79"/>
  <c r="C15" i="76" s="1"/>
  <c r="K71" i="79"/>
  <c r="F71" i="79"/>
  <c r="G21" i="83" s="1"/>
  <c r="J77" i="79"/>
  <c r="L20" i="92" s="1"/>
  <c r="D65" i="79"/>
  <c r="D15" i="83" s="1"/>
  <c r="L65" i="79"/>
  <c r="K65" i="79"/>
  <c r="D25" i="79"/>
  <c r="D25" i="76" s="1"/>
  <c r="B15" i="76"/>
  <c r="L15" i="76" s="1"/>
  <c r="C21" i="79"/>
  <c r="C21" i="76" s="1"/>
  <c r="B21" i="83"/>
  <c r="Q21" i="83" s="1"/>
  <c r="L71" i="79"/>
  <c r="G71" i="79"/>
  <c r="H21" i="83" s="1"/>
  <c r="L77" i="79"/>
  <c r="I65" i="79"/>
  <c r="K15" i="83" s="1"/>
  <c r="H65" i="79"/>
  <c r="J15" i="83" s="1"/>
  <c r="E21" i="79"/>
  <c r="F21" i="76" s="1"/>
  <c r="E71" i="79"/>
  <c r="M71" i="79" s="1"/>
  <c r="H71" i="79"/>
  <c r="J21" i="83" s="1"/>
  <c r="E77" i="79"/>
  <c r="E27" i="83" s="1"/>
  <c r="I69" i="79"/>
  <c r="K19" i="83" s="1"/>
  <c r="B19" i="83"/>
  <c r="Q19" i="83" s="1"/>
  <c r="E69" i="79"/>
  <c r="E19" i="83" s="1"/>
  <c r="K69" i="79"/>
  <c r="J69" i="79"/>
  <c r="M19" i="83" s="1"/>
  <c r="L69" i="79"/>
  <c r="C69" i="79"/>
  <c r="C19" i="83" s="1"/>
  <c r="B21" i="76"/>
  <c r="L21" i="76" s="1"/>
  <c r="I77" i="79"/>
  <c r="J20" i="92" s="1"/>
  <c r="H77" i="79"/>
  <c r="I20" i="92" s="1"/>
  <c r="F21" i="79"/>
  <c r="G21" i="76" s="1"/>
  <c r="C77" i="79"/>
  <c r="C27" i="83" s="1"/>
  <c r="K77" i="79"/>
  <c r="D63" i="79"/>
  <c r="D13" i="83" s="1"/>
  <c r="F63" i="79"/>
  <c r="G13" i="83" s="1"/>
  <c r="M70" i="79"/>
  <c r="K63" i="79"/>
  <c r="J63" i="79"/>
  <c r="M13" i="83" s="1"/>
  <c r="I63" i="79"/>
  <c r="K13" i="83" s="1"/>
  <c r="L13" i="83" s="1"/>
  <c r="C9" i="79"/>
  <c r="C9" i="76" s="1"/>
  <c r="J67" i="79"/>
  <c r="M17" i="83" s="1"/>
  <c r="I67" i="79"/>
  <c r="K17" i="83" s="1"/>
  <c r="I11" i="83"/>
  <c r="D24" i="79"/>
  <c r="D24" i="76" s="1"/>
  <c r="F67" i="79"/>
  <c r="G17" i="83" s="1"/>
  <c r="F77" i="79"/>
  <c r="F20" i="92" s="1"/>
  <c r="D77" i="79"/>
  <c r="D27" i="83" s="1"/>
  <c r="C67" i="79"/>
  <c r="C17" i="83" s="1"/>
  <c r="H67" i="79"/>
  <c r="J17" i="83" s="1"/>
  <c r="K67" i="79"/>
  <c r="E9" i="79"/>
  <c r="F9" i="76" s="1"/>
  <c r="C13" i="79"/>
  <c r="C13" i="76" s="1"/>
  <c r="G63" i="79"/>
  <c r="H13" i="83" s="1"/>
  <c r="B13" i="83"/>
  <c r="Q13" i="83" s="1"/>
  <c r="I12" i="83"/>
  <c r="E13" i="79"/>
  <c r="F13" i="76" s="1"/>
  <c r="I26" i="83"/>
  <c r="G67" i="79"/>
  <c r="H17" i="83" s="1"/>
  <c r="L67" i="79"/>
  <c r="D67" i="79"/>
  <c r="D17" i="83" s="1"/>
  <c r="J68" i="79"/>
  <c r="M18" i="83" s="1"/>
  <c r="L20" i="83"/>
  <c r="C24" i="79"/>
  <c r="C24" i="76" s="1"/>
  <c r="B9" i="76"/>
  <c r="L9" i="76" s="1"/>
  <c r="D12" i="79"/>
  <c r="D12" i="76" s="1"/>
  <c r="C12" i="79"/>
  <c r="C12" i="76" s="1"/>
  <c r="E12" i="79"/>
  <c r="F12" i="76" s="1"/>
  <c r="L12" i="83"/>
  <c r="C68" i="79"/>
  <c r="C18" i="83" s="1"/>
  <c r="F68" i="79"/>
  <c r="G18" i="83" s="1"/>
  <c r="M68" i="79"/>
  <c r="D13" i="79"/>
  <c r="D13" i="76" s="1"/>
  <c r="E23" i="83"/>
  <c r="F23" i="83" s="1"/>
  <c r="G68" i="79"/>
  <c r="H18" i="83" s="1"/>
  <c r="D68" i="79"/>
  <c r="D18" i="83" s="1"/>
  <c r="F18" i="83" s="1"/>
  <c r="L8" i="83"/>
  <c r="I68" i="79"/>
  <c r="K18" i="83" s="1"/>
  <c r="B27" i="76"/>
  <c r="L27" i="76" s="1"/>
  <c r="H68" i="79"/>
  <c r="J18" i="83" s="1"/>
  <c r="B18" i="83"/>
  <c r="Q18" i="83" s="1"/>
  <c r="C27" i="79"/>
  <c r="C27" i="76" s="1"/>
  <c r="K68" i="79"/>
  <c r="L68" i="79"/>
  <c r="E27" i="79"/>
  <c r="F27" i="76" s="1"/>
  <c r="F27" i="79"/>
  <c r="G27" i="76" s="1"/>
  <c r="E24" i="79"/>
  <c r="F24" i="76" s="1"/>
  <c r="F24" i="79"/>
  <c r="G24" i="76" s="1"/>
  <c r="C72" i="79"/>
  <c r="C22" i="83" s="1"/>
  <c r="F72" i="79"/>
  <c r="G22" i="83" s="1"/>
  <c r="D72" i="79"/>
  <c r="D22" i="83" s="1"/>
  <c r="F22" i="83" s="1"/>
  <c r="K72" i="79"/>
  <c r="J72" i="79"/>
  <c r="M22" i="83" s="1"/>
  <c r="B22" i="83"/>
  <c r="Q22" i="83" s="1"/>
  <c r="L72" i="79"/>
  <c r="I72" i="79"/>
  <c r="K22" i="83" s="1"/>
  <c r="G72" i="79"/>
  <c r="H22" i="83" s="1"/>
  <c r="H72" i="79"/>
  <c r="J22" i="83" s="1"/>
  <c r="M72" i="79"/>
  <c r="L14" i="83"/>
  <c r="I14" i="83"/>
  <c r="L24" i="83"/>
  <c r="M74" i="79"/>
  <c r="E24" i="83"/>
  <c r="F24" i="83" s="1"/>
  <c r="M66" i="79"/>
  <c r="E16" i="83"/>
  <c r="L25" i="83"/>
  <c r="I25" i="83"/>
  <c r="I24" i="83"/>
  <c r="I17" i="76"/>
  <c r="E25" i="83"/>
  <c r="F25" i="83" s="1"/>
  <c r="M75" i="79"/>
  <c r="B49" i="60"/>
  <c r="F19" i="83" l="1"/>
  <c r="G20" i="92"/>
  <c r="H20" i="92" s="1"/>
  <c r="I16" i="83"/>
  <c r="F16" i="83"/>
  <c r="I26" i="76"/>
  <c r="L16" i="83"/>
  <c r="Q29" i="83"/>
  <c r="L30" i="76"/>
  <c r="L9" i="83"/>
  <c r="I10" i="83"/>
  <c r="I9" i="83"/>
  <c r="L21" i="83"/>
  <c r="L19" i="83"/>
  <c r="L10" i="83"/>
  <c r="I21" i="83"/>
  <c r="I15" i="83"/>
  <c r="E17" i="83"/>
  <c r="F17" i="83" s="1"/>
  <c r="K27" i="83"/>
  <c r="K29" i="83" s="1"/>
  <c r="L15" i="83"/>
  <c r="M27" i="83"/>
  <c r="M77" i="79"/>
  <c r="D20" i="92"/>
  <c r="I21" i="76"/>
  <c r="E21" i="83"/>
  <c r="F21" i="83" s="1"/>
  <c r="M69" i="79"/>
  <c r="J27" i="83"/>
  <c r="C20" i="92"/>
  <c r="I18" i="83"/>
  <c r="I13" i="83"/>
  <c r="L17" i="83"/>
  <c r="G27" i="83"/>
  <c r="I27" i="83" s="1"/>
  <c r="I22" i="83"/>
  <c r="I17" i="83"/>
  <c r="G90" i="79"/>
  <c r="G17" i="92" s="1"/>
  <c r="G84" i="79"/>
  <c r="G10" i="92" s="1"/>
  <c r="F91" i="79"/>
  <c r="F19" i="92" s="1"/>
  <c r="K87" i="79"/>
  <c r="I91" i="79"/>
  <c r="J19" i="92" s="1"/>
  <c r="I86" i="79"/>
  <c r="J12" i="92" s="1"/>
  <c r="E86" i="79"/>
  <c r="D12" i="92" s="1"/>
  <c r="F88" i="79"/>
  <c r="F15" i="92" s="1"/>
  <c r="I83" i="79"/>
  <c r="J9" i="92" s="1"/>
  <c r="D88" i="79"/>
  <c r="C15" i="92" s="1"/>
  <c r="J89" i="79"/>
  <c r="F86" i="79"/>
  <c r="F12" i="92" s="1"/>
  <c r="D87" i="79"/>
  <c r="C13" i="92" s="1"/>
  <c r="F83" i="79"/>
  <c r="F9" i="92" s="1"/>
  <c r="H83" i="79"/>
  <c r="I9" i="92" s="1"/>
  <c r="K85" i="79"/>
  <c r="G85" i="79"/>
  <c r="G11" i="92" s="1"/>
  <c r="J82" i="79"/>
  <c r="K88" i="79"/>
  <c r="I88" i="79"/>
  <c r="J15" i="92" s="1"/>
  <c r="H82" i="79"/>
  <c r="I8" i="92" s="1"/>
  <c r="L18" i="83"/>
  <c r="J91" i="79"/>
  <c r="D82" i="79"/>
  <c r="C8" i="92" s="1"/>
  <c r="D91" i="79"/>
  <c r="C19" i="92" s="1"/>
  <c r="J87" i="79"/>
  <c r="H87" i="79"/>
  <c r="I13" i="92" s="1"/>
  <c r="H89" i="79"/>
  <c r="I16" i="92" s="1"/>
  <c r="J84" i="79"/>
  <c r="H90" i="79"/>
  <c r="I17" i="92" s="1"/>
  <c r="F84" i="79"/>
  <c r="F10" i="92" s="1"/>
  <c r="E90" i="79"/>
  <c r="D17" i="92" s="1"/>
  <c r="I87" i="79"/>
  <c r="J13" i="92" s="1"/>
  <c r="K91" i="79"/>
  <c r="G82" i="79"/>
  <c r="G8" i="92" s="1"/>
  <c r="F85" i="79"/>
  <c r="F11" i="92" s="1"/>
  <c r="H84" i="79"/>
  <c r="I10" i="92" s="1"/>
  <c r="H86" i="79"/>
  <c r="I12" i="92" s="1"/>
  <c r="K86" i="79"/>
  <c r="I85" i="79"/>
  <c r="J11" i="92" s="1"/>
  <c r="D90" i="79"/>
  <c r="C17" i="92" s="1"/>
  <c r="H85" i="79"/>
  <c r="I11" i="92" s="1"/>
  <c r="E89" i="79"/>
  <c r="D16" i="92" s="1"/>
  <c r="J85" i="79"/>
  <c r="J90" i="79"/>
  <c r="D86" i="79"/>
  <c r="C12" i="92" s="1"/>
  <c r="G86" i="79"/>
  <c r="G12" i="92" s="1"/>
  <c r="D84" i="79"/>
  <c r="C10" i="92" s="1"/>
  <c r="K84" i="79"/>
  <c r="F90" i="79"/>
  <c r="F17" i="92" s="1"/>
  <c r="E83" i="79"/>
  <c r="D9" i="92" s="1"/>
  <c r="J88" i="79"/>
  <c r="G88" i="79"/>
  <c r="G15" i="92" s="1"/>
  <c r="H88" i="79"/>
  <c r="I15" i="92" s="1"/>
  <c r="K89" i="79"/>
  <c r="G89" i="79"/>
  <c r="G16" i="92" s="1"/>
  <c r="H91" i="79"/>
  <c r="I19" i="92" s="1"/>
  <c r="D85" i="79"/>
  <c r="C11" i="92" s="1"/>
  <c r="F82" i="79"/>
  <c r="F8" i="92" s="1"/>
  <c r="G91" i="79"/>
  <c r="G19" i="92" s="1"/>
  <c r="G87" i="79"/>
  <c r="G13" i="92" s="1"/>
  <c r="J86" i="79"/>
  <c r="E85" i="79"/>
  <c r="D11" i="92" s="1"/>
  <c r="I90" i="79"/>
  <c r="J17" i="92" s="1"/>
  <c r="K82" i="79"/>
  <c r="F89" i="79"/>
  <c r="F16" i="92" s="1"/>
  <c r="I89" i="79"/>
  <c r="J16" i="92" s="1"/>
  <c r="J83" i="79"/>
  <c r="D29" i="83"/>
  <c r="D83" i="79"/>
  <c r="C9" i="92" s="1"/>
  <c r="K83" i="79"/>
  <c r="E88" i="79"/>
  <c r="D15" i="92" s="1"/>
  <c r="E87" i="79"/>
  <c r="D13" i="92" s="1"/>
  <c r="F30" i="76"/>
  <c r="K90" i="79"/>
  <c r="I84" i="79"/>
  <c r="J10" i="92" s="1"/>
  <c r="D89" i="79"/>
  <c r="C16" i="92" s="1"/>
  <c r="I82" i="79"/>
  <c r="J8" i="92" s="1"/>
  <c r="F87" i="79"/>
  <c r="F13" i="92" s="1"/>
  <c r="G83" i="79"/>
  <c r="G9" i="92" s="1"/>
  <c r="I27" i="76"/>
  <c r="I24" i="76"/>
  <c r="H29" i="83"/>
  <c r="L22" i="83"/>
  <c r="K20" i="92"/>
  <c r="F27" i="83"/>
  <c r="B53" i="60"/>
  <c r="L84" i="79" l="1"/>
  <c r="H19" i="92"/>
  <c r="E15" i="92"/>
  <c r="K15" i="92"/>
  <c r="H17" i="92"/>
  <c r="L91" i="79"/>
  <c r="B30" i="83"/>
  <c r="I11" i="97"/>
  <c r="J11" i="97" s="1"/>
  <c r="B33" i="76"/>
  <c r="I7" i="97"/>
  <c r="H10" i="92"/>
  <c r="G29" i="83"/>
  <c r="I29" i="83" s="1"/>
  <c r="E20" i="92"/>
  <c r="K9" i="92"/>
  <c r="H11" i="92"/>
  <c r="M82" i="79"/>
  <c r="L8" i="92" s="1"/>
  <c r="L27" i="83"/>
  <c r="L87" i="79"/>
  <c r="J29" i="83"/>
  <c r="M87" i="79"/>
  <c r="L13" i="92" s="1"/>
  <c r="M91" i="79"/>
  <c r="L19" i="92" s="1"/>
  <c r="K19" i="92"/>
  <c r="H15" i="92"/>
  <c r="E17" i="92"/>
  <c r="M84" i="79"/>
  <c r="L10" i="92" s="1"/>
  <c r="M89" i="79"/>
  <c r="L16" i="92" s="1"/>
  <c r="K8" i="92"/>
  <c r="E13" i="92"/>
  <c r="L82" i="79"/>
  <c r="K13" i="92"/>
  <c r="M88" i="79"/>
  <c r="L15" i="92" s="1"/>
  <c r="E12" i="92"/>
  <c r="H12" i="92"/>
  <c r="E16" i="92"/>
  <c r="L85" i="79"/>
  <c r="K11" i="92"/>
  <c r="K12" i="92"/>
  <c r="C86" i="79"/>
  <c r="K17" i="92"/>
  <c r="L88" i="79"/>
  <c r="M85" i="79"/>
  <c r="L11" i="92" s="1"/>
  <c r="L89" i="79"/>
  <c r="I21" i="92"/>
  <c r="L90" i="79"/>
  <c r="K16" i="92"/>
  <c r="H16" i="92"/>
  <c r="M83" i="79"/>
  <c r="L9" i="92" s="1"/>
  <c r="M90" i="79"/>
  <c r="L17" i="92" s="1"/>
  <c r="E9" i="92"/>
  <c r="L86" i="79"/>
  <c r="C85" i="79"/>
  <c r="M86" i="79"/>
  <c r="L12" i="92" s="1"/>
  <c r="C89" i="79"/>
  <c r="L83" i="79"/>
  <c r="F21" i="92"/>
  <c r="C88" i="79"/>
  <c r="C87" i="79"/>
  <c r="E11" i="92"/>
  <c r="H13" i="92"/>
  <c r="C90" i="79"/>
  <c r="C91" i="79"/>
  <c r="H8" i="92"/>
  <c r="G21" i="92"/>
  <c r="J21" i="92"/>
  <c r="C82" i="79"/>
  <c r="C83" i="79"/>
  <c r="C84" i="79"/>
  <c r="K10" i="92"/>
  <c r="H9" i="92"/>
  <c r="C21" i="92"/>
  <c r="B57" i="60"/>
  <c r="L29" i="83" l="1"/>
  <c r="L12" i="86"/>
  <c r="N12" i="86" s="1"/>
  <c r="J7" i="97"/>
  <c r="H21" i="92"/>
  <c r="K21" i="92"/>
  <c r="O88" i="79"/>
  <c r="B100" i="79" s="1"/>
  <c r="F100" i="79" s="1"/>
  <c r="I100" i="79" s="1"/>
  <c r="O85" i="79"/>
  <c r="B97" i="79" s="1"/>
  <c r="E97" i="79" s="1"/>
  <c r="O91" i="79"/>
  <c r="B103" i="79" s="1"/>
  <c r="D103" i="79" s="1"/>
  <c r="O82" i="79"/>
  <c r="B94" i="79" s="1"/>
  <c r="D94" i="79" s="1"/>
  <c r="O89" i="79"/>
  <c r="B101" i="79" s="1"/>
  <c r="E101" i="79" s="1"/>
  <c r="O90" i="79"/>
  <c r="B102" i="79" s="1"/>
  <c r="D102" i="79" s="1"/>
  <c r="O83" i="79"/>
  <c r="B95" i="79" s="1"/>
  <c r="O84" i="79"/>
  <c r="B96" i="79" s="1"/>
  <c r="D96" i="79" s="1"/>
  <c r="O87" i="79"/>
  <c r="B99" i="79" s="1"/>
  <c r="G99" i="79" s="1"/>
  <c r="O86" i="79"/>
  <c r="B98" i="79" s="1"/>
  <c r="E98" i="79" s="1"/>
  <c r="B61" i="60"/>
  <c r="F103" i="79" l="1"/>
  <c r="I103" i="79" s="1"/>
  <c r="G94" i="79"/>
  <c r="F102" i="79"/>
  <c r="I102" i="79" s="1"/>
  <c r="G98" i="79"/>
  <c r="F101" i="79"/>
  <c r="I101" i="79" s="1"/>
  <c r="D100" i="79"/>
  <c r="E100" i="79"/>
  <c r="F96" i="79"/>
  <c r="I96" i="79" s="1"/>
  <c r="F94" i="79"/>
  <c r="I94" i="79" s="1"/>
  <c r="G100" i="79"/>
  <c r="G96" i="79"/>
  <c r="D99" i="79"/>
  <c r="G101" i="79"/>
  <c r="F97" i="79"/>
  <c r="I97" i="79" s="1"/>
  <c r="E99" i="79"/>
  <c r="D97" i="79"/>
  <c r="D101" i="79"/>
  <c r="G97" i="79"/>
  <c r="F99" i="79"/>
  <c r="I99" i="79" s="1"/>
  <c r="G103" i="79"/>
  <c r="F95" i="79"/>
  <c r="I95" i="79" s="1"/>
  <c r="D98" i="79"/>
  <c r="F98" i="79"/>
  <c r="I98" i="79" s="1"/>
  <c r="G102" i="79"/>
  <c r="E102" i="79"/>
  <c r="D95" i="79"/>
  <c r="G95" i="79"/>
  <c r="B65" i="60"/>
  <c r="B69" i="60" l="1"/>
  <c r="B73" i="60" l="1"/>
  <c r="B77" i="60" l="1"/>
  <c r="B81" i="60" l="1"/>
  <c r="I29" i="78" l="1"/>
  <c r="G31" i="78"/>
  <c r="I32" i="78"/>
  <c r="I33" i="78"/>
  <c r="I34" i="78"/>
  <c r="J29" i="78"/>
  <c r="H34" i="78"/>
  <c r="F31" i="78" l="1"/>
  <c r="I30" i="78"/>
  <c r="F33" i="78"/>
  <c r="F29" i="78"/>
  <c r="F32" i="78" l="1"/>
  <c r="G34" i="78"/>
  <c r="I91" i="60" l="1"/>
  <c r="K49" i="78" s="1"/>
  <c r="H32" i="78"/>
  <c r="J31" i="78"/>
  <c r="H33" i="78"/>
  <c r="J32" i="78"/>
  <c r="J33" i="78"/>
  <c r="I6" i="60"/>
  <c r="E28" i="83" l="1"/>
  <c r="G4" i="79"/>
  <c r="G9" i="82" s="1"/>
  <c r="I22" i="60"/>
  <c r="I31" i="78"/>
  <c r="I50" i="78" s="1"/>
  <c r="D37" i="79" s="1"/>
  <c r="F12" i="80" s="1"/>
  <c r="G90" i="60" a="1"/>
  <c r="G90" i="60" s="1"/>
  <c r="H29" i="78"/>
  <c r="J30" i="78"/>
  <c r="H89" i="60" a="1"/>
  <c r="H89" i="60" s="1"/>
  <c r="I26" i="60"/>
  <c r="I10" i="60"/>
  <c r="G30" i="78"/>
  <c r="F90" i="60" a="1"/>
  <c r="F90" i="60" s="1"/>
  <c r="I14" i="60"/>
  <c r="I18" i="60"/>
  <c r="F29" i="79"/>
  <c r="G29" i="76" s="1"/>
  <c r="D39" i="79"/>
  <c r="F14" i="80" s="1"/>
  <c r="H30" i="78"/>
  <c r="G29" i="78"/>
  <c r="I5" i="60" l="1"/>
  <c r="H88" i="60" a="1"/>
  <c r="H88" i="60" s="1"/>
  <c r="H4" i="79"/>
  <c r="H9" i="82" s="1"/>
  <c r="L21" i="92"/>
  <c r="M29" i="83"/>
  <c r="I29" i="76"/>
  <c r="I28" i="87"/>
  <c r="G32" i="78"/>
  <c r="K32" i="78" s="1"/>
  <c r="I17" i="60"/>
  <c r="E88" i="60" a="1"/>
  <c r="E88" i="60" s="1"/>
  <c r="H31" i="78"/>
  <c r="K31" i="78" s="1"/>
  <c r="I13" i="60"/>
  <c r="E89" i="60" a="1"/>
  <c r="E89" i="60" s="1"/>
  <c r="F88" i="60" a="1"/>
  <c r="F88" i="60" s="1"/>
  <c r="K29" i="78"/>
  <c r="F89" i="60" a="1"/>
  <c r="F89" i="60" s="1"/>
  <c r="E90" i="60" a="1"/>
  <c r="E90" i="60" s="1"/>
  <c r="F30" i="78"/>
  <c r="D89" i="60" a="1"/>
  <c r="D89" i="60" s="1"/>
  <c r="I9" i="60"/>
  <c r="D90" i="60" a="1"/>
  <c r="D90" i="60" s="1"/>
  <c r="D88" i="60" a="1"/>
  <c r="D88" i="60" s="1"/>
  <c r="J34" i="78"/>
  <c r="K34" i="78" s="1"/>
  <c r="I25" i="60"/>
  <c r="H90" i="60" a="1"/>
  <c r="H90" i="60" s="1"/>
  <c r="G91" i="60"/>
  <c r="M9" i="95"/>
  <c r="G33" i="78"/>
  <c r="K33" i="78" s="1"/>
  <c r="I21" i="60"/>
  <c r="J88" i="60" l="1"/>
  <c r="F16" i="79"/>
  <c r="G16" i="76" s="1"/>
  <c r="I16" i="76" s="1"/>
  <c r="E65" i="79"/>
  <c r="D12" i="86"/>
  <c r="E12" i="86" s="1"/>
  <c r="E64" i="79"/>
  <c r="F15" i="79"/>
  <c r="G15" i="76" s="1"/>
  <c r="I15" i="76" s="1"/>
  <c r="H50" i="78"/>
  <c r="D36" i="79" s="1"/>
  <c r="F11" i="80" s="1"/>
  <c r="H91" i="60"/>
  <c r="F91" i="60"/>
  <c r="J89" i="60"/>
  <c r="G12" i="91"/>
  <c r="I12" i="87"/>
  <c r="E62" i="79"/>
  <c r="F13" i="79"/>
  <c r="G13" i="76" s="1"/>
  <c r="I13" i="76" s="1"/>
  <c r="G13" i="91"/>
  <c r="I13" i="87"/>
  <c r="F14" i="79"/>
  <c r="G14" i="76" s="1"/>
  <c r="I14" i="76" s="1"/>
  <c r="E63" i="79"/>
  <c r="J90" i="60"/>
  <c r="G8" i="91"/>
  <c r="I8" i="87"/>
  <c r="E58" i="79"/>
  <c r="F9" i="79"/>
  <c r="G9" i="76" s="1"/>
  <c r="I10" i="87"/>
  <c r="G10" i="91"/>
  <c r="J50" i="78"/>
  <c r="D38" i="79" s="1"/>
  <c r="F13" i="80" s="1"/>
  <c r="D91" i="60"/>
  <c r="K30" i="78"/>
  <c r="E59" i="79" s="1"/>
  <c r="F50" i="78"/>
  <c r="D34" i="79" s="1"/>
  <c r="F9" i="80" s="1"/>
  <c r="G50" i="78"/>
  <c r="D35" i="79" s="1"/>
  <c r="F10" i="80" s="1"/>
  <c r="E91" i="60"/>
  <c r="I11" i="87"/>
  <c r="G11" i="91"/>
  <c r="E61" i="79"/>
  <c r="F12" i="79"/>
  <c r="G12" i="76" s="1"/>
  <c r="I12" i="76" s="1"/>
  <c r="J91" i="60" l="1"/>
  <c r="E15" i="83"/>
  <c r="F15" i="83" s="1"/>
  <c r="M65" i="79"/>
  <c r="E14" i="83"/>
  <c r="F14" i="83" s="1"/>
  <c r="M64" i="79"/>
  <c r="F10" i="79"/>
  <c r="G10" i="76" s="1"/>
  <c r="I10" i="76" s="1"/>
  <c r="E11" i="83"/>
  <c r="F11" i="83" s="1"/>
  <c r="M61" i="79"/>
  <c r="G9" i="91"/>
  <c r="I9" i="87"/>
  <c r="I30" i="87" s="1"/>
  <c r="F11" i="79"/>
  <c r="G11" i="76" s="1"/>
  <c r="I11" i="76" s="1"/>
  <c r="E60" i="79"/>
  <c r="E84" i="79" s="1"/>
  <c r="I9" i="76"/>
  <c r="E12" i="83"/>
  <c r="F12" i="83" s="1"/>
  <c r="M62" i="79"/>
  <c r="I9" i="95"/>
  <c r="F15" i="80"/>
  <c r="E9" i="83"/>
  <c r="F9" i="83" s="1"/>
  <c r="M59" i="79"/>
  <c r="K50" i="78"/>
  <c r="M58" i="79"/>
  <c r="E8" i="83"/>
  <c r="M63" i="79"/>
  <c r="E13" i="83"/>
  <c r="F13" i="83" s="1"/>
  <c r="E91" i="79"/>
  <c r="E103" i="79" s="1"/>
  <c r="G30" i="76" l="1"/>
  <c r="I30" i="76" s="1"/>
  <c r="D19" i="92"/>
  <c r="E19" i="92" s="1"/>
  <c r="E96" i="79"/>
  <c r="F8" i="83"/>
  <c r="E5" i="71"/>
  <c r="L37" i="87"/>
  <c r="F48" i="79"/>
  <c r="D4" i="79"/>
  <c r="D9" i="82" s="1"/>
  <c r="G14" i="80"/>
  <c r="G15" i="80"/>
  <c r="H9" i="95"/>
  <c r="J9" i="95" s="1"/>
  <c r="G12" i="80"/>
  <c r="G11" i="80"/>
  <c r="E10" i="83"/>
  <c r="F10" i="83" s="1"/>
  <c r="M60" i="79"/>
  <c r="N72" i="79" s="1"/>
  <c r="G10" i="80"/>
  <c r="E82" i="79"/>
  <c r="E95" i="79" s="1"/>
  <c r="G13" i="80"/>
  <c r="G9" i="80"/>
  <c r="D10" i="92"/>
  <c r="E10" i="92" s="1"/>
  <c r="F50" i="79" l="1"/>
  <c r="F49" i="79"/>
  <c r="N75" i="79"/>
  <c r="N77" i="79"/>
  <c r="N58" i="79"/>
  <c r="N73" i="79"/>
  <c r="N60" i="79"/>
  <c r="N65" i="79"/>
  <c r="N76" i="79"/>
  <c r="N68" i="79"/>
  <c r="N62" i="79"/>
  <c r="N70" i="79"/>
  <c r="N69" i="79"/>
  <c r="N64" i="79"/>
  <c r="N61" i="79"/>
  <c r="N71" i="79"/>
  <c r="N63" i="79"/>
  <c r="N66" i="79"/>
  <c r="N59" i="79"/>
  <c r="N74" i="79"/>
  <c r="N67" i="79"/>
  <c r="D8" i="92"/>
  <c r="E94" i="79"/>
  <c r="E29" i="83"/>
  <c r="F29" i="83" s="1"/>
  <c r="K9" i="95"/>
  <c r="L9" i="95" s="1"/>
  <c r="E9" i="95"/>
  <c r="N9" i="95"/>
  <c r="O61" i="79" l="1"/>
  <c r="B110" i="79" s="1"/>
  <c r="G110" i="79" s="1"/>
  <c r="O72" i="79"/>
  <c r="B121" i="79" s="1"/>
  <c r="E121" i="79" s="1"/>
  <c r="O74" i="79"/>
  <c r="B123" i="79" s="1"/>
  <c r="E123" i="79" s="1"/>
  <c r="O59" i="79"/>
  <c r="B108" i="79" s="1"/>
  <c r="G108" i="79" s="1"/>
  <c r="O63" i="79"/>
  <c r="B112" i="79" s="1"/>
  <c r="G112" i="79" s="1"/>
  <c r="O66" i="79"/>
  <c r="B115" i="79" s="1"/>
  <c r="D115" i="79" s="1"/>
  <c r="O71" i="79"/>
  <c r="B120" i="79" s="1"/>
  <c r="D120" i="79" s="1"/>
  <c r="O68" i="79"/>
  <c r="B117" i="79" s="1"/>
  <c r="F117" i="79" s="1"/>
  <c r="O77" i="79"/>
  <c r="B126" i="79" s="1"/>
  <c r="E126" i="79" s="1"/>
  <c r="O67" i="79"/>
  <c r="B116" i="79" s="1"/>
  <c r="F116" i="79" s="1"/>
  <c r="O62" i="79"/>
  <c r="B111" i="79" s="1"/>
  <c r="E111" i="79" s="1"/>
  <c r="O69" i="79"/>
  <c r="B118" i="79" s="1"/>
  <c r="E118" i="79" s="1"/>
  <c r="O76" i="79"/>
  <c r="B125" i="79" s="1"/>
  <c r="E125" i="79" s="1"/>
  <c r="O60" i="79"/>
  <c r="B109" i="79" s="1"/>
  <c r="E109" i="79" s="1"/>
  <c r="O70" i="79"/>
  <c r="B119" i="79" s="1"/>
  <c r="F119" i="79" s="1"/>
  <c r="O75" i="79"/>
  <c r="B124" i="79" s="1"/>
  <c r="E124" i="79" s="1"/>
  <c r="O64" i="79"/>
  <c r="B113" i="79" s="1"/>
  <c r="G113" i="79" s="1"/>
  <c r="O65" i="79"/>
  <c r="B114" i="79" s="1"/>
  <c r="E114" i="79" s="1"/>
  <c r="O73" i="79"/>
  <c r="B122" i="79" s="1"/>
  <c r="E122" i="79" s="1"/>
  <c r="O58" i="79"/>
  <c r="B107" i="79" s="1"/>
  <c r="D107" i="79" s="1"/>
  <c r="D21" i="92"/>
  <c r="E21" i="92" s="1"/>
  <c r="E8" i="92"/>
  <c r="E115" i="79" l="1"/>
  <c r="F120" i="79"/>
  <c r="F107" i="79"/>
  <c r="F114" i="79"/>
  <c r="F122" i="79"/>
  <c r="D111" i="79"/>
  <c r="E110" i="79"/>
  <c r="D110" i="79"/>
  <c r="F110" i="79"/>
  <c r="F109" i="79"/>
  <c r="F121" i="79"/>
  <c r="D117" i="79"/>
  <c r="F108" i="79"/>
  <c r="D124" i="79"/>
  <c r="G118" i="79"/>
  <c r="D121" i="79"/>
  <c r="G116" i="79"/>
  <c r="F115" i="79"/>
  <c r="E108" i="79"/>
  <c r="E107" i="79"/>
  <c r="D114" i="79"/>
  <c r="G124" i="79"/>
  <c r="D109" i="79"/>
  <c r="D118" i="79"/>
  <c r="G121" i="79"/>
  <c r="D116" i="79"/>
  <c r="G115" i="79"/>
  <c r="E117" i="79"/>
  <c r="D108" i="79"/>
  <c r="D119" i="79"/>
  <c r="F123" i="79"/>
  <c r="F112" i="79"/>
  <c r="F113" i="79"/>
  <c r="F125" i="79"/>
  <c r="D123" i="79"/>
  <c r="G126" i="79"/>
  <c r="D112" i="79"/>
  <c r="D122" i="79"/>
  <c r="E113" i="79"/>
  <c r="E119" i="79"/>
  <c r="G125" i="79"/>
  <c r="G111" i="79"/>
  <c r="G123" i="79"/>
  <c r="D126" i="79"/>
  <c r="G120" i="79"/>
  <c r="E112" i="79"/>
  <c r="G122" i="79"/>
  <c r="D113" i="79"/>
  <c r="G119" i="79"/>
  <c r="D125" i="79"/>
  <c r="F111" i="79"/>
  <c r="F126" i="79"/>
  <c r="E120" i="79"/>
  <c r="G107" i="79"/>
  <c r="G114" i="79"/>
  <c r="F124" i="79"/>
  <c r="G109" i="79"/>
  <c r="F118" i="79"/>
  <c r="E116" i="79"/>
  <c r="G117" i="79"/>
  <c r="J27" i="63" l="1"/>
  <c r="I27" i="63" l="1"/>
  <c r="J33" i="63" s="1"/>
  <c r="E4" i="79" l="1"/>
  <c r="E9" i="82" s="1"/>
  <c r="E27" i="63"/>
  <c r="F27" i="63" l="1"/>
  <c r="E7" i="71" l="1"/>
  <c r="L6" i="71" s="1"/>
  <c r="L11" i="71" s="1"/>
  <c r="D4" i="71" s="1"/>
  <c r="E17" i="97" l="1"/>
  <c r="F17" i="97" l="1"/>
  <c r="E29" i="97"/>
</calcChain>
</file>

<file path=xl/sharedStrings.xml><?xml version="1.0" encoding="utf-8"?>
<sst xmlns="http://schemas.openxmlformats.org/spreadsheetml/2006/main" count="1326" uniqueCount="688">
  <si>
    <t>Arkansas Public Service Commission</t>
  </si>
  <si>
    <r>
      <t xml:space="preserve">Standardized Annual Reporting Workbook </t>
    </r>
    <r>
      <rPr>
        <i/>
        <sz val="12"/>
        <rFont val="Calibri"/>
        <family val="2"/>
        <scheme val="minor"/>
      </rPr>
      <t>v4.0 August 2017</t>
    </r>
  </si>
  <si>
    <t>General</t>
  </si>
  <si>
    <t>Energy Efficeny Portolio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</si>
  <si>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</si>
  <si>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</si>
  <si>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</si>
  <si>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</si>
  <si>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</si>
  <si>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</si>
  <si>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</si>
  <si>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</si>
  <si>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</si>
  <si>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</si>
  <si>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</si>
  <si>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</si>
  <si>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</si>
  <si>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</si>
  <si>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</si>
  <si>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</si>
  <si>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</si>
  <si>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</si>
  <si>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</si>
  <si>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</si>
  <si>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</si>
  <si>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</si>
  <si>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</si>
  <si>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</si>
  <si>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</si>
  <si>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</si>
  <si>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</si>
  <si>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</si>
  <si>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</si>
  <si>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</si>
  <si>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</si>
  <si>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</si>
  <si>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</si>
  <si>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</si>
  <si>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</si>
  <si>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</si>
  <si>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</si>
  <si>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</si>
  <si>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</si>
  <si>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</si>
  <si>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</si>
  <si>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</si>
  <si>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</si>
  <si>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</si>
  <si>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</si>
  <si>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</si>
  <si>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</si>
  <si>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</si>
  <si>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</si>
  <si>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</si>
  <si>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</si>
  <si>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</si>
  <si>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</si>
  <si>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</si>
  <si>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</si>
  <si>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</si>
  <si>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</si>
  <si>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</si>
  <si>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</si>
  <si>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</si>
  <si>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</si>
  <si>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</si>
  <si>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</si>
  <si>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</si>
  <si>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Utility Type</t>
  </si>
  <si>
    <t>Utility Full Name</t>
  </si>
  <si>
    <t>The Empire District Electric Company</t>
  </si>
  <si>
    <t>Electric</t>
  </si>
  <si>
    <t>Utility Abbreviated Name</t>
  </si>
  <si>
    <t>Empire</t>
  </si>
  <si>
    <t>Program Year</t>
  </si>
  <si>
    <t>Docket</t>
  </si>
  <si>
    <t>07-076-TF</t>
  </si>
  <si>
    <t>Date Filed</t>
  </si>
  <si>
    <t>Name of Contact</t>
  </si>
  <si>
    <t>Email Address</t>
  </si>
  <si>
    <t>Telephone Number</t>
  </si>
  <si>
    <t>Full-Time EE Employees</t>
  </si>
  <si>
    <t>Program Name</t>
  </si>
  <si>
    <t>Target Sector</t>
  </si>
  <si>
    <t>Program Type</t>
  </si>
  <si>
    <t>Delivery Channel</t>
  </si>
  <si>
    <t>Residential Products</t>
  </si>
  <si>
    <t>Residential</t>
  </si>
  <si>
    <t>Consumer Product Rebate</t>
  </si>
  <si>
    <t>Trade Ally</t>
  </si>
  <si>
    <t>School-Based Energy Education</t>
  </si>
  <si>
    <t>Self-Install</t>
  </si>
  <si>
    <t>Weatherization</t>
  </si>
  <si>
    <t>Whole Home</t>
  </si>
  <si>
    <t>Commercial and Industrial (Custom)</t>
  </si>
  <si>
    <t>Commercial &amp; Industrial</t>
  </si>
  <si>
    <t>Custom</t>
  </si>
  <si>
    <t>Commercial and Industrial (Prescriptive)</t>
  </si>
  <si>
    <t>Prescriptive/Standard Offer</t>
  </si>
  <si>
    <t>Online Energy Calculator</t>
  </si>
  <si>
    <t>All Classes</t>
  </si>
  <si>
    <t>Behavior/Education</t>
  </si>
  <si>
    <t>Administration</t>
  </si>
  <si>
    <t>Other</t>
  </si>
  <si>
    <t>Utility Outreach (email/direct mail)</t>
  </si>
  <si>
    <t>Marketing</t>
  </si>
  <si>
    <t>EM&amp;V</t>
  </si>
  <si>
    <t>Statewide Administrator</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</si>
  <si>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</si>
  <si>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</si>
  <si>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</si>
  <si>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</si>
  <si>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</si>
  <si>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</si>
  <si>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</si>
  <si>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</si>
  <si>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</si>
  <si>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</si>
  <si>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</si>
  <si>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</si>
  <si>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</si>
  <si>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Manufactured Homes</t>
  </si>
  <si>
    <t>M/TF - HVAC/Furnace</t>
  </si>
  <si>
    <t>M/TF - Insulation</t>
  </si>
  <si>
    <t>M/TF - Pool Pumps</t>
  </si>
  <si>
    <t>M/TF - Water Heater</t>
  </si>
  <si>
    <t>M/TF - Windows</t>
  </si>
  <si>
    <t>Multi-family</t>
  </si>
  <si>
    <t>WH - Audits</t>
  </si>
  <si>
    <t>WH - Direct Install</t>
  </si>
  <si>
    <t>WH - Retrofit</t>
  </si>
  <si>
    <t>Audit</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</si>
  <si>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</si>
  <si>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</si>
  <si>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</si>
  <si>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</si>
  <si>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</si>
  <si>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</si>
  <si>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</si>
  <si>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</si>
  <si>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</si>
  <si>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</si>
  <si>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</si>
  <si>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</si>
  <si>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</si>
  <si>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</si>
  <si>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</si>
  <si>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</si>
  <si>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</si>
  <si>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</si>
  <si>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</si>
  <si>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</si>
  <si>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</si>
  <si>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</si>
  <si>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Total</t>
  </si>
  <si>
    <t>Total:</t>
  </si>
  <si>
    <t>Total Portfolio Budget:</t>
  </si>
  <si>
    <t>Budget Reconciliation Table</t>
  </si>
  <si>
    <t>Initial Budget*</t>
  </si>
  <si>
    <t>Revised Budget</t>
  </si>
  <si>
    <t>Difference</t>
  </si>
  <si>
    <t>Change</t>
  </si>
  <si>
    <t>Explanation for the Change</t>
  </si>
  <si>
    <t>Total Portfolio:</t>
  </si>
  <si>
    <t>Order #</t>
  </si>
  <si>
    <t>approved the Initial Budget.</t>
  </si>
  <si>
    <t>Demand 
Savings</t>
  </si>
  <si>
    <t>Energy 
Savings</t>
  </si>
  <si>
    <t>Participants</t>
  </si>
  <si>
    <t>Participant Definition</t>
  </si>
  <si>
    <t>Customer</t>
  </si>
  <si>
    <t>Homes</t>
  </si>
  <si>
    <t>Projects</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</si>
  <si>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</si>
  <si>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</si>
  <si>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</si>
  <si>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</si>
  <si>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</si>
  <si>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</si>
  <si>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</si>
  <si>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</si>
  <si>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</si>
  <si>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</si>
  <si>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</si>
  <si>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</si>
  <si>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</si>
  <si>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</si>
  <si>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</si>
  <si>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</si>
  <si>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</si>
  <si>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</si>
  <si>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</si>
  <si>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</si>
  <si>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Totals:</t>
  </si>
  <si>
    <t>Events:</t>
  </si>
  <si>
    <t>Internal Training (Utility or Administrator Staff)</t>
  </si>
  <si>
    <t>zz</t>
  </si>
  <si>
    <t xml:space="preserve">Programs savings reported are net savings and do not include adjustments for leakage. </t>
  </si>
  <si>
    <t>NOT USED - HELD FOR FUTURE USE</t>
  </si>
  <si>
    <t>Utility</t>
  </si>
  <si>
    <t>Affiliate</t>
  </si>
  <si>
    <t>3rd Party</t>
  </si>
  <si>
    <t>Portfolio Total</t>
  </si>
  <si>
    <t>EECR Reconciliation Table</t>
  </si>
  <si>
    <t>Total Portfolio Expenditures:</t>
  </si>
  <si>
    <t>EECR Expenses:</t>
  </si>
  <si>
    <t>Explanation for Difference:</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</si>
  <si>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</si>
  <si>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</si>
  <si>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</si>
  <si>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</si>
  <si>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</si>
  <si>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</si>
  <si>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</si>
  <si>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</si>
  <si>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</si>
  <si>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</si>
  <si>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</si>
  <si>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</si>
  <si>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</si>
  <si>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</si>
  <si>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</si>
  <si>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</si>
  <si>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</si>
  <si>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</si>
  <si>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</si>
  <si>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TRC Levelized Cost = Total TRC Cost x Capital Recovery Factor (CRF) / Incremental Annual Net Energy Savings.</t>
  </si>
  <si>
    <t>The CRF is based on weighted average measure life (Lifetime Energy Savings / Annualized Energy Saved) and the discount rate.</t>
  </si>
  <si>
    <t>Key Assumptions</t>
  </si>
  <si>
    <t>Discount Rate</t>
  </si>
  <si>
    <t>Notes/Source Documents</t>
  </si>
  <si>
    <t>Nominal Discount Rate (%)</t>
  </si>
  <si>
    <t>Inflation Rate (%)</t>
  </si>
  <si>
    <t>Real Discount Rate</t>
  </si>
  <si>
    <t>Program Benefits</t>
  </si>
  <si>
    <t>Avoided Energy Costs</t>
  </si>
  <si>
    <t>[Class 1]</t>
  </si>
  <si>
    <t>[Class 2]</t>
  </si>
  <si>
    <t>[Class 3]</t>
  </si>
  <si>
    <t>[Class 4]</t>
  </si>
  <si>
    <t>[Class 5]</t>
  </si>
  <si>
    <t>Natural Gas ($/MMBtu)</t>
  </si>
  <si>
    <t>On-Peak ($/MWh)</t>
  </si>
  <si>
    <t>Off-Peak ($/MWh)</t>
  </si>
  <si>
    <t>Carbon Cost BY ($/ton)</t>
  </si>
  <si>
    <t>Carbon Cost BY (YYYY)</t>
  </si>
  <si>
    <t>Carbon Cost EY (YYYY)</t>
  </si>
  <si>
    <t>[Line Loss Category]</t>
  </si>
  <si>
    <t>Avoided Capacity Cost</t>
  </si>
  <si>
    <t>Proxy Unit $/kW</t>
  </si>
  <si>
    <t>Proxy Unit In Service Date</t>
  </si>
  <si>
    <t>RECC ($/kw-yr)</t>
  </si>
  <si>
    <t>RECC BY (YYYY)</t>
  </si>
  <si>
    <t>RECC EY (YYYY)</t>
  </si>
  <si>
    <t>Market Price ($/kw-yr)</t>
  </si>
  <si>
    <t>Market Price BY (YYYY)</t>
  </si>
  <si>
    <t>Market Price EY (YYYY)</t>
  </si>
  <si>
    <t>Capacity Reserve Margin</t>
  </si>
  <si>
    <t>Marginal Distribution ($/kw-yr)</t>
  </si>
  <si>
    <t>Marginal Transmission ($/kw-yr)</t>
  </si>
  <si>
    <t>NEBs</t>
  </si>
  <si>
    <t>Electricity ($/kWh)</t>
  </si>
  <si>
    <t>Natural Gas ($/Therm)</t>
  </si>
  <si>
    <t>LPG ($/gallon)</t>
  </si>
  <si>
    <t>Water ($/gallon)</t>
  </si>
  <si>
    <t>Waste Water ($/gallon)</t>
  </si>
  <si>
    <t>Avoided Replacement Cost ($PV)</t>
  </si>
  <si>
    <t>Deferred Replacement Cost ($PV)</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</si>
  <si>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</si>
  <si>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</si>
  <si>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</si>
  <si>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</si>
  <si>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Electric Savings</t>
  </si>
  <si>
    <t>Natural Gas Savings</t>
  </si>
  <si>
    <t>Propane Savings</t>
  </si>
  <si>
    <t>Water/Waste Water</t>
  </si>
  <si>
    <t>Replacement Cost</t>
  </si>
  <si>
    <t>Total
NPV $</t>
  </si>
  <si>
    <t>Annual
KWh</t>
  </si>
  <si>
    <t>NPV $</t>
  </si>
  <si>
    <t>Annual
Therms</t>
  </si>
  <si>
    <t>Annual
Gallons</t>
  </si>
  <si>
    <t>Avoided
NPV $</t>
  </si>
  <si>
    <t>Deferred
NPV $</t>
  </si>
  <si>
    <t>Cost-Effectiveness Test</t>
  </si>
  <si>
    <t>Participant Cost Test
(PCT)</t>
  </si>
  <si>
    <t>Ratepayer Impact Measure
(RIM)</t>
  </si>
  <si>
    <t>Program Administrator Cost
(PAC)</t>
  </si>
  <si>
    <t>Societal Test
(SCT)</t>
  </si>
  <si>
    <t>Net Benefits
($000's)</t>
  </si>
  <si>
    <t>Current Programs</t>
  </si>
  <si>
    <t>Discontinued Programs</t>
  </si>
  <si>
    <t>Is the Utility currently operating under a Formula Rate Plan (FRP)?</t>
  </si>
  <si>
    <t>No</t>
  </si>
  <si>
    <t>If Yes, provide the effective date of FRP.</t>
  </si>
  <si>
    <t xml:space="preserve">Programs savings reported are net savings and include adjustments for leakage. </t>
  </si>
  <si>
    <t>Glossary</t>
  </si>
  <si>
    <t>Term</t>
  </si>
  <si>
    <t>Definition</t>
  </si>
  <si>
    <t>Actual Expenditures</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</si>
  <si>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</si>
  <si>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</si>
  <si>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</si>
  <si>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</si>
  <si>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</si>
  <si>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</si>
  <si>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</si>
  <si>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</si>
  <si>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</si>
  <si>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</si>
  <si>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Savings</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</si>
  <si>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</si>
  <si>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</si>
  <si>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</si>
  <si>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</si>
  <si>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</si>
  <si>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</si>
  <si>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</si>
  <si>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Initial Budget</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</si>
  <si>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</si>
  <si>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</si>
  <si>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</si>
  <si>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</si>
  <si>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</si>
  <si>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</si>
  <si>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</si>
  <si>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</si>
  <si>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</si>
  <si>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</si>
  <si>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</si>
  <si>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</si>
  <si>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</si>
  <si>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</si>
  <si>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</si>
  <si>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</si>
  <si>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</si>
  <si>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</si>
  <si>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</si>
  <si>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</si>
  <si>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</si>
  <si>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</si>
  <si>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</si>
  <si>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</si>
  <si>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</si>
  <si>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</si>
  <si>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</si>
  <si>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</si>
  <si>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</si>
  <si>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</si>
  <si>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Program</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</si>
  <si>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</si>
  <si>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</si>
  <si>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</si>
  <si>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</si>
  <si>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</si>
  <si>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</si>
  <si>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</si>
  <si>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</si>
  <si>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</si>
  <si>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</si>
  <si>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</si>
  <si>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</si>
  <si>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</si>
  <si>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</si>
  <si>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</si>
  <si>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</si>
  <si>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</si>
  <si>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</si>
  <si>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</si>
  <si>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Market Specific/Hard to Reach</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</si>
  <si>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</si>
  <si>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New Construction</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</si>
  <si>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</si>
  <si>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</si>
  <si>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 programs that encourage the purchase and installation of some or all of a specified set of pre-approved measures.</t>
  </si>
  <si>
    <t>Measure/Technology Focus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</si>
  <si>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</si>
  <si>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</si>
  <si>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</si>
  <si>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Accounts</t>
  </si>
  <si>
    <t>The number of individually metered accounts. A participating customer may have more than one account.</t>
  </si>
  <si>
    <t xml:space="preserve">The number of specific end-users identified by a unique customer identifier. A single customer may have one or more accounts. </t>
  </si>
  <si>
    <t>Equipment</t>
  </si>
  <si>
    <t>The specific number of units of energy efficiency equipment installed through the program.</t>
  </si>
  <si>
    <t>The number of residences where assessments were conducted and/or energy efficiency measure(s) installed.</t>
  </si>
  <si>
    <t>Measure</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</si>
  <si>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</si>
  <si>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</si>
  <si>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</si>
  <si>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</si>
  <si>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</si>
  <si>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</si>
  <si>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</si>
  <si>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</si>
  <si>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</si>
  <si>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</si>
  <si>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</si>
  <si>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</si>
  <si>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</si>
  <si>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</si>
  <si>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</si>
  <si>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</si>
  <si>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</si>
  <si>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</si>
  <si>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</si>
  <si>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</si>
  <si>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</si>
  <si>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</si>
  <si>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</si>
  <si>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</si>
  <si>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</si>
  <si>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</si>
  <si>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</si>
  <si>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</si>
  <si>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</si>
  <si>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</si>
  <si>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</si>
  <si>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</si>
  <si>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</si>
  <si>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</si>
  <si>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</si>
  <si>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</si>
  <si>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</si>
  <si>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</si>
  <si>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</si>
  <si>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</si>
  <si>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</si>
  <si>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</si>
  <si>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</si>
  <si>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</si>
  <si>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</si>
  <si>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</si>
  <si>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</si>
  <si>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</si>
  <si>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</si>
  <si>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</si>
  <si>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</si>
  <si>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</si>
  <si>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</si>
  <si>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</si>
  <si>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</si>
  <si>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</si>
  <si>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</si>
  <si>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</si>
  <si>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</si>
  <si>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</si>
  <si>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</si>
  <si>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</si>
  <si>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</si>
  <si>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</si>
  <si>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</si>
  <si>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</si>
  <si>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</si>
  <si>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</si>
  <si>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</si>
  <si>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</si>
  <si>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</si>
  <si>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</si>
  <si>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</si>
  <si>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</si>
  <si>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</si>
  <si>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</si>
  <si>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</si>
  <si>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</si>
  <si>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</si>
  <si>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</si>
  <si>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</si>
  <si>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</si>
  <si>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</si>
  <si>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</si>
  <si>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</si>
  <si>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</si>
  <si>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</si>
  <si>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</si>
  <si>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</si>
  <si>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</si>
  <si>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</si>
  <si>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</si>
  <si>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</si>
  <si>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</si>
  <si>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</si>
  <si>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</si>
  <si>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contractors for weatherization services</t>
  </si>
  <si>
    <t>Direct install costs for all programs with direct install provisions</t>
  </si>
  <si>
    <t>Coupons and upstream program incentives</t>
  </si>
  <si>
    <t>Payments to consultants for preparation/update of Deemed Savings and</t>
  </si>
  <si>
    <t>Residential energy audits</t>
  </si>
  <si>
    <t>Technical Reference Manual</t>
  </si>
  <si>
    <t>Consultants costs for IEM and independent third party evaluations</t>
  </si>
  <si>
    <t>Regulatory</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</si>
  <si>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</si>
  <si>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</si>
  <si>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</si>
  <si>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</si>
  <si>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</si>
  <si>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</si>
  <si>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</si>
  <si>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</si>
  <si>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</si>
  <si>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</si>
  <si>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</si>
  <si>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Coupon Redemption</t>
  </si>
  <si>
    <t>******Single-Class******</t>
  </si>
  <si>
    <t>Direct Install</t>
  </si>
  <si>
    <t>Implementing Contractor</t>
  </si>
  <si>
    <t>Small Business</t>
  </si>
  <si>
    <t>Retail Outlets</t>
  </si>
  <si>
    <t>Municipalities/Schools</t>
  </si>
  <si>
    <t>Agriculture</t>
  </si>
  <si>
    <t>******Multi-Class******</t>
  </si>
  <si>
    <t>Website</t>
  </si>
  <si>
    <t>Res/Small Business</t>
  </si>
  <si>
    <t>Res/C&amp;I</t>
  </si>
  <si>
    <t>Small Business/C&amp;I</t>
  </si>
  <si>
    <t>Historical Data (Program Data - Prior Two Years)</t>
  </si>
  <si>
    <t>Annual Budget &amp; Actual Costs</t>
  </si>
  <si>
    <t>Number of Participants</t>
  </si>
  <si>
    <t>Budget</t>
  </si>
  <si>
    <t>Actual</t>
  </si>
  <si>
    <t>Plan</t>
  </si>
  <si>
    <t>Evaluated</t>
  </si>
  <si>
    <t>Total Portfolio - Current Programs</t>
  </si>
  <si>
    <t xml:space="preserve">Note any changes made to a program in the primary reporting year that differ from the prior two years. </t>
  </si>
  <si>
    <t>Total Portfolio - Discontinued Programs</t>
  </si>
  <si>
    <t xml:space="preserve">Total Portfolio - Prior Two Years </t>
  </si>
  <si>
    <t>Historical Data (Portfolio Data - Prior Four Years)</t>
  </si>
  <si>
    <t>EE Portfolio</t>
  </si>
  <si>
    <t>Revenue and Sales</t>
  </si>
  <si>
    <t>Costs</t>
  </si>
  <si>
    <t>Savings (MWh)</t>
  </si>
  <si>
    <t>Revenue</t>
  </si>
  <si>
    <t>Table 1</t>
  </si>
  <si>
    <t>Energy</t>
  </si>
  <si>
    <t>TRC Net $</t>
  </si>
  <si>
    <t>TRC Ratio</t>
  </si>
  <si>
    <t>PAC Ratio</t>
  </si>
  <si>
    <t>Target</t>
  </si>
  <si>
    <t>Achieved</t>
  </si>
  <si>
    <t>% Achieved</t>
  </si>
  <si>
    <t>n/a</t>
  </si>
  <si>
    <t>Table 2</t>
  </si>
  <si>
    <t>Sector</t>
  </si>
  <si>
    <t>Type</t>
  </si>
  <si>
    <t>Table 3</t>
  </si>
  <si>
    <t>Table 4</t>
  </si>
  <si>
    <t>Year</t>
  </si>
  <si>
    <t>Sales</t>
  </si>
  <si>
    <t>EE Budget</t>
  </si>
  <si>
    <t>EE Expense</t>
  </si>
  <si>
    <t>Report 1</t>
  </si>
  <si>
    <t>Benefits</t>
  </si>
  <si>
    <t>Rank</t>
  </si>
  <si>
    <t>Report 2</t>
  </si>
  <si>
    <t>Net</t>
  </si>
  <si>
    <t>Value</t>
  </si>
  <si>
    <t>Portfolio Information</t>
  </si>
  <si>
    <t>Channel</t>
  </si>
  <si>
    <t>-</t>
  </si>
  <si>
    <t>Program Year Evaluation</t>
  </si>
  <si>
    <t>Lifetime Savings</t>
  </si>
  <si>
    <t>TRC Total Cost</t>
  </si>
  <si>
    <t>TRC Total Benefits</t>
  </si>
  <si>
    <t>TRC Net Benefits</t>
  </si>
  <si>
    <t>History</t>
  </si>
  <si>
    <t>Savings Energy</t>
  </si>
  <si>
    <t>Savings Demand</t>
  </si>
  <si>
    <t xml:space="preserve">Budget </t>
  </si>
  <si>
    <t>Group</t>
  </si>
  <si>
    <t>Cost-Effectiveness</t>
  </si>
  <si>
    <t>Goal Achievement</t>
  </si>
  <si>
    <t>Actual 
Expenditures</t>
  </si>
  <si>
    <t>Performance 
Incentives</t>
  </si>
  <si>
    <t>TRC 
Net Benefits</t>
  </si>
  <si>
    <t>TRC
Ratio</t>
  </si>
  <si>
    <t>PAC
Ratio</t>
  </si>
  <si>
    <t>Commission 
Established 
Target</t>
  </si>
  <si>
    <t>Actual 
Savings 
Achieved</t>
  </si>
  <si>
    <t>% of 
Target 
Achieved</t>
  </si>
  <si>
    <t>(NPV)</t>
  </si>
  <si>
    <t>% of Baseline</t>
  </si>
  <si>
    <t>(%)</t>
  </si>
  <si>
    <t>Work Book is Incomplete 
- Click Here For Details-</t>
  </si>
  <si>
    <t>% of 
Budget</t>
  </si>
  <si>
    <t>($)</t>
  </si>
  <si>
    <t>EE Portfolio Expenditure Summary by Cost Type</t>
  </si>
  <si>
    <t>% of</t>
  </si>
  <si>
    <t>Cost Type</t>
  </si>
  <si>
    <t>Revenue and Expenditures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</si>
  <si>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</si>
  <si>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</si>
  <si>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</si>
  <si>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</si>
  <si>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</si>
  <si>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</si>
  <si>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</si>
  <si>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</si>
  <si>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</si>
  <si>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</si>
  <si>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(MWh)</t>
  </si>
  <si>
    <t>(%=e/d)</t>
  </si>
  <si>
    <t>(%=f/d)</t>
  </si>
  <si>
    <t>Table 5</t>
  </si>
  <si>
    <t>Select program from dropdown menu to view details.</t>
  </si>
  <si>
    <t>Expenditures</t>
  </si>
  <si>
    <t>%</t>
  </si>
  <si>
    <t>TOTAL:</t>
  </si>
  <si>
    <t>TOTAL</t>
  </si>
  <si>
    <t>Select the Data to be Displayed in Chart</t>
  </si>
  <si>
    <t>Savings (kWh)</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</si>
  <si>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</si>
  <si>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</si>
  <si>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</si>
  <si>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</si>
  <si>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</si>
  <si>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</si>
  <si>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</si>
  <si>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</si>
  <si>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</si>
  <si>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</si>
  <si>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</si>
  <si>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</si>
  <si>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</si>
  <si>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</si>
  <si>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Expenditures
(A)</t>
  </si>
  <si>
    <t>Planning &amp; Design
(B)</t>
  </si>
  <si>
    <t>As % of Total Portfolio Expenditures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</si>
  <si>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</si>
  <si>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</si>
  <si>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</si>
  <si>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</si>
  <si>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</si>
  <si>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</si>
  <si>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</si>
  <si>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</si>
  <si>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</si>
  <si>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</si>
  <si>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</si>
  <si>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</si>
  <si>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</si>
  <si>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</si>
  <si>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</si>
  <si>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</si>
  <si>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</si>
  <si>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</si>
  <si>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</si>
  <si>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</si>
  <si>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Expenses</t>
  </si>
  <si>
    <t>Total Cost</t>
  </si>
  <si>
    <t>Levelized cost</t>
  </si>
  <si>
    <t>Historical Data (Next Annual Report)</t>
  </si>
  <si>
    <t>Annual Budget &amp; Actual Cost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</si>
  <si>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</si>
  <si>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</si>
  <si>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</si>
  <si>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</si>
  <si>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</si>
  <si>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</si>
  <si>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</si>
  <si>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</si>
  <si>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</si>
  <si>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</si>
  <si>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</si>
  <si>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</si>
  <si>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</si>
  <si>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</si>
  <si>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Natural Gas</t>
  </si>
  <si>
    <t>MWh</t>
  </si>
  <si>
    <t>Therms</t>
  </si>
  <si>
    <t>MW</t>
  </si>
  <si>
    <t>Empty List</t>
  </si>
  <si>
    <t>Status Report</t>
  </si>
  <si>
    <t>Cells Incomplete</t>
  </si>
  <si>
    <t>Status</t>
  </si>
  <si>
    <t>Report 4</t>
  </si>
  <si>
    <t>Errors:</t>
  </si>
  <si>
    <t>Baseline Year</t>
  </si>
  <si>
    <t>Docket No.</t>
  </si>
  <si>
    <t>Order No.</t>
  </si>
  <si>
    <t>08-137-U</t>
  </si>
  <si>
    <t>13-002-U</t>
  </si>
  <si>
    <t>20xx</t>
  </si>
  <si>
    <t>Electric line losses</t>
  </si>
  <si>
    <t>Electric Peak line losses</t>
  </si>
  <si>
    <t>2024-2026 Liberty AR Ben Cost Model, General Inputs</t>
  </si>
  <si>
    <t xml:space="preserve">Programs were underspent across most categories. </t>
  </si>
  <si>
    <t>Kimberly Dragoo</t>
  </si>
  <si>
    <t>Kimberly.Dragoo@libertyutilities.com</t>
  </si>
  <si>
    <t>774-301-3384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</si>
</sst>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_(&quot;$&quot;* #,##0.00_);_(&quot;$&quot;* \(#,##0.00\);_(&quot;$&quot;* &quot;-&quot;_);_(@_)"/>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sz val="10"/>
      <name val="Arial"/>
      <family val="2"/>
    </font>
    <font>
      <sz val="10"/>
      <color rgb="FFFF0000"/>
      <name val="Calibri"/>
      <family val="2"/>
    </font>
    <font>
      <sz val="10"/>
      <color theme="1"/>
      <name val="Calibri"/>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3"/>
      </left>
      <right style="thin">
        <color indexed="63"/>
      </right>
      <top style="thin">
        <color indexed="63"/>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s>
  <cellStyleXfs count="107">
    <xf numFmtId="0" fontId="0" fillId="0" borderId="0"/>
    <xf numFmtId="0" fontId="22" fillId="2" borderId="0" applyFill="0">
      <alignment horizontal="left"/>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25" fillId="0" borderId="0" applyNumberFormat="0" applyBorder="0" applyProtection="0">
      <alignment horizontal="left"/>
    </xf>
    <xf numFmtId="0" fontId="7" fillId="8"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0" borderId="0" applyNumberFormat="0" applyBorder="0" applyAlignment="0" applyProtection="0"/>
    <xf numFmtId="0" fontId="49" fillId="29" borderId="79" applyNumberFormat="0" applyProtection="0">
      <alignment horizontal="center" vertical="center"/>
    </xf>
    <xf numFmtId="0" fontId="7"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41" fontId="4"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37" fontId="21" fillId="0" borderId="0" applyFill="0" applyBorder="0" applyProtection="0">
      <alignment horizontal="center"/>
    </xf>
    <xf numFmtId="169" fontId="21" fillId="0" borderId="0" applyFill="0" applyBorder="0" applyAlignment="0" applyProtection="0"/>
    <xf numFmtId="43" fontId="6" fillId="0" borderId="0" applyFont="0" applyFill="0" applyBorder="0" applyAlignment="0" applyProtection="0"/>
    <xf numFmtId="42" fontId="4"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4" fontId="20" fillId="0" borderId="0" applyFont="0" applyFill="0" applyBorder="0" applyAlignment="0" applyProtection="0"/>
    <xf numFmtId="44" fontId="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23" fillId="0" borderId="0" applyNumberFormat="0" applyFill="0" applyProtection="0">
      <alignment horizontal="left"/>
    </xf>
    <xf numFmtId="0" fontId="23" fillId="0" borderId="0" applyNumberFormat="0" applyFill="0" applyProtection="0">
      <alignment horizontal="left"/>
    </xf>
    <xf numFmtId="0" fontId="24" fillId="0" borderId="0" applyNumberFormat="0" applyFill="0" applyProtection="0">
      <alignment horizontal="left"/>
    </xf>
    <xf numFmtId="0" fontId="24" fillId="0" borderId="0" applyNumberFormat="0" applyFill="0" applyProtection="0">
      <alignment horizontal="left"/>
    </xf>
    <xf numFmtId="0" fontId="14" fillId="0" borderId="3"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1" fillId="27" borderId="4" applyNumberFormat="0">
      <alignment horizontal="left"/>
      <protection locked="0"/>
    </xf>
    <xf numFmtId="0" fontId="21" fillId="27" borderId="4" applyNumberFormat="0">
      <alignment horizontal="left"/>
      <protection locked="0"/>
    </xf>
    <xf numFmtId="0" fontId="15" fillId="0" borderId="5" applyNumberFormat="0" applyFill="0" applyAlignment="0" applyProtection="0"/>
    <xf numFmtId="0" fontId="15" fillId="0" borderId="5" applyNumberFormat="0" applyFill="0" applyAlignment="0" applyProtection="0"/>
    <xf numFmtId="0" fontId="16" fillId="23" borderId="0" applyNumberFormat="0" applyBorder="0" applyAlignment="0" applyProtection="0"/>
    <xf numFmtId="0" fontId="16" fillId="23" borderId="0" applyNumberFormat="0" applyBorder="0" applyAlignment="0" applyProtection="0"/>
    <xf numFmtId="0" fontId="5" fillId="24" borderId="6" applyNumberFormat="0" applyFont="0" applyAlignment="0" applyProtection="0"/>
    <xf numFmtId="0" fontId="5" fillId="24" borderId="6" applyNumberFormat="0" applyFont="0" applyAlignment="0" applyProtection="0"/>
    <xf numFmtId="0" fontId="24" fillId="28" borderId="7" applyNumberFormat="0" applyAlignment="0" applyProtection="0"/>
    <xf numFmtId="0" fontId="24" fillId="28" borderId="7" applyNumberFormat="0" applyAlignment="0" applyProtection="0"/>
    <xf numFmtId="9" fontId="4"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7" fontId="21" fillId="0" borderId="0"/>
    <xf numFmtId="0" fontId="22" fillId="2" borderId="0" applyFill="0">
      <alignment horizontal="left"/>
    </xf>
    <xf numFmtId="0" fontId="22" fillId="2" borderId="4" applyFill="0">
      <alignment horizontal="left" vertical="top" wrapText="1"/>
    </xf>
    <xf numFmtId="37" fontId="21" fillId="27" borderId="4" applyProtection="0">
      <alignment horizontal="center"/>
    </xf>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3" fontId="4" fillId="0" borderId="0" applyFont="0" applyFill="0" applyBorder="0" applyAlignment="0" applyProtection="0"/>
    <xf numFmtId="0" fontId="21" fillId="27" borderId="90" applyNumberFormat="0">
      <alignment horizontal="left"/>
      <protection locked="0"/>
    </xf>
    <xf numFmtId="43" fontId="69"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 borderId="90" applyFill="0">
      <alignment horizontal="left" vertical="top" wrapText="1"/>
    </xf>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714">
    <xf numFmtId="0" fontId="0" fillId="0" borderId="0" xfId="0"/>
    <xf numFmtId="0" fontId="6" fillId="0" borderId="0" xfId="0" applyFont="1"/>
    <xf numFmtId="0" fontId="21" fillId="0" borderId="0" xfId="0" applyFont="1"/>
    <xf numFmtId="0" fontId="21" fillId="0" borderId="9" xfId="0" applyFont="1" applyBorder="1"/>
    <xf numFmtId="0" fontId="21" fillId="0" borderId="10" xfId="0" applyFont="1" applyBorder="1"/>
    <xf numFmtId="0" fontId="21" fillId="0" borderId="11" xfId="0" applyFont="1" applyBorder="1"/>
    <xf numFmtId="0" fontId="21" fillId="0" borderId="12" xfId="0" applyFont="1" applyBorder="1"/>
    <xf numFmtId="0" fontId="21" fillId="0" borderId="13" xfId="0" applyFont="1" applyBorder="1"/>
    <xf numFmtId="0" fontId="0" fillId="0" borderId="9" xfId="0" applyBorder="1"/>
    <xf numFmtId="0" fontId="23" fillId="0" borderId="0" xfId="51">
      <alignment horizontal="left"/>
    </xf>
    <xf numFmtId="0" fontId="24" fillId="0" borderId="0" xfId="53">
      <alignment horizontal="left"/>
    </xf>
    <xf numFmtId="42" fontId="24" fillId="0" borderId="0" xfId="0" applyNumberFormat="1" applyFont="1"/>
    <xf numFmtId="42" fontId="24" fillId="0" borderId="0" xfId="0" applyNumberFormat="1" applyFont="1" applyAlignment="1">
      <alignment horizontal="right"/>
    </xf>
    <xf numFmtId="42" fontId="24" fillId="0" borderId="14" xfId="0" applyNumberFormat="1" applyFont="1" applyBorder="1"/>
    <xf numFmtId="42" fontId="24" fillId="0" borderId="15" xfId="0" applyNumberFormat="1" applyFont="1" applyBorder="1"/>
    <xf numFmtId="37" fontId="24" fillId="0" borderId="15" xfId="35" applyFont="1" applyBorder="1">
      <alignment horizontal="center"/>
    </xf>
    <xf numFmtId="0" fontId="26" fillId="0" borderId="0" xfId="53" applyFont="1" applyAlignment="1">
      <alignment horizontal="center"/>
    </xf>
    <xf numFmtId="37" fontId="21" fillId="0" borderId="0" xfId="35" applyBorder="1">
      <alignment horizontal="center"/>
    </xf>
    <xf numFmtId="0" fontId="0" fillId="0" borderId="10" xfId="0" applyBorder="1"/>
    <xf numFmtId="0" fontId="23" fillId="0" borderId="9" xfId="51" applyBorder="1">
      <alignment horizontal="left"/>
    </xf>
    <xf numFmtId="0" fontId="23" fillId="0" borderId="10" xfId="51" applyBorder="1">
      <alignment horizontal="left"/>
    </xf>
    <xf numFmtId="0" fontId="29" fillId="0" borderId="9" xfId="51" applyFont="1" applyBorder="1">
      <alignment horizontal="left"/>
    </xf>
    <xf numFmtId="0" fontId="28" fillId="0" borderId="9" xfId="0" applyFont="1" applyBorder="1"/>
    <xf numFmtId="0" fontId="28" fillId="0" borderId="0" xfId="0" quotePrefix="1" applyFont="1"/>
    <xf numFmtId="0" fontId="28" fillId="0" borderId="0" xfId="0" applyFont="1"/>
    <xf numFmtId="0" fontId="29" fillId="0" borderId="0" xfId="51" applyFont="1">
      <alignment horizontal="left"/>
    </xf>
    <xf numFmtId="0" fontId="30" fillId="0" borderId="0" xfId="0" applyFont="1"/>
    <xf numFmtId="0" fontId="0" fillId="0" borderId="0" xfId="0" applyAlignment="1">
      <alignment horizontal="left"/>
    </xf>
    <xf numFmtId="0" fontId="24" fillId="0" borderId="0" xfId="53" applyAlignment="1">
      <alignment horizontal="center"/>
    </xf>
    <xf numFmtId="0" fontId="21" fillId="0" borderId="0" xfId="0" applyFont="1" applyAlignment="1">
      <alignment vertical="top"/>
    </xf>
    <xf numFmtId="0" fontId="24" fillId="0" borderId="0" xfId="53" applyAlignment="1">
      <alignment horizontal="right" vertical="top"/>
    </xf>
    <xf numFmtId="0" fontId="32" fillId="27" borderId="4" xfId="59" applyFont="1" applyAlignment="1">
      <alignment horizontal="left" vertical="center" wrapText="1"/>
      <protection locked="0"/>
    </xf>
    <xf numFmtId="42" fontId="24" fillId="0" borderId="0" xfId="0" applyNumberFormat="1" applyFont="1" applyAlignment="1">
      <alignment vertical="top"/>
    </xf>
    <xf numFmtId="9" fontId="24" fillId="0" borderId="0" xfId="69" applyFont="1" applyBorder="1" applyAlignment="1">
      <alignment horizontal="center" vertical="top"/>
    </xf>
    <xf numFmtId="0" fontId="32" fillId="27" borderId="4" xfId="59" applyFont="1" applyAlignment="1">
      <alignment horizontal="left" vertical="top" wrapText="1"/>
      <protection locked="0"/>
    </xf>
    <xf numFmtId="0" fontId="21" fillId="0" borderId="20" xfId="0" applyFont="1" applyBorder="1" applyAlignment="1">
      <alignment horizontal="centerContinuous"/>
    </xf>
    <xf numFmtId="0" fontId="32" fillId="0" borderId="21" xfId="0" applyFont="1" applyBorder="1" applyAlignment="1">
      <alignment horizontal="center" vertical="center" wrapText="1"/>
    </xf>
    <xf numFmtId="0" fontId="21" fillId="0" borderId="22" xfId="0" applyFont="1" applyBorder="1"/>
    <xf numFmtId="0" fontId="32" fillId="0" borderId="23" xfId="0" applyFont="1" applyBorder="1" applyAlignment="1">
      <alignment horizontal="center"/>
    </xf>
    <xf numFmtId="0" fontId="24" fillId="0" borderId="24" xfId="53" applyBorder="1" applyAlignment="1">
      <alignment horizontal="centerContinuous"/>
    </xf>
    <xf numFmtId="0" fontId="24" fillId="0" borderId="25" xfId="53" applyBorder="1" applyAlignment="1">
      <alignment horizontal="center"/>
    </xf>
    <xf numFmtId="0" fontId="21" fillId="0" borderId="27" xfId="0" applyFont="1" applyBorder="1"/>
    <xf numFmtId="0" fontId="21" fillId="0" borderId="29" xfId="0" applyFont="1" applyBorder="1" applyAlignment="1">
      <alignment horizontal="center"/>
    </xf>
    <xf numFmtId="0" fontId="24" fillId="0" borderId="30" xfId="53" applyBorder="1" applyAlignment="1">
      <alignment horizontal="centerContinuous"/>
    </xf>
    <xf numFmtId="0" fontId="24" fillId="0" borderId="31" xfId="53" applyBorder="1" applyAlignment="1">
      <alignment horizontal="center" vertical="center" wrapText="1"/>
    </xf>
    <xf numFmtId="0" fontId="24" fillId="0" borderId="21" xfId="53" applyBorder="1" applyAlignment="1">
      <alignment horizontal="center" vertical="center" wrapText="1"/>
    </xf>
    <xf numFmtId="0" fontId="21" fillId="0" borderId="23" xfId="0" applyFont="1" applyBorder="1"/>
    <xf numFmtId="0" fontId="24" fillId="0" borderId="26" xfId="53" applyBorder="1" applyAlignment="1">
      <alignment horizontal="center" vertical="center" wrapText="1"/>
    </xf>
    <xf numFmtId="0" fontId="32" fillId="0" borderId="32" xfId="0" applyFont="1" applyBorder="1" applyAlignment="1">
      <alignment horizontal="center"/>
    </xf>
    <xf numFmtId="0" fontId="21" fillId="0" borderId="33" xfId="0" applyFont="1" applyBorder="1"/>
    <xf numFmtId="0" fontId="24" fillId="0" borderId="34" xfId="53" applyBorder="1" applyAlignment="1">
      <alignment horizontal="center" vertical="center" wrapText="1"/>
    </xf>
    <xf numFmtId="0" fontId="32" fillId="0" borderId="27" xfId="0" applyFont="1" applyBorder="1" applyAlignment="1">
      <alignment horizontal="center"/>
    </xf>
    <xf numFmtId="0" fontId="24" fillId="0" borderId="35" xfId="53" applyBorder="1" applyAlignment="1">
      <alignment horizontal="center" vertical="center" wrapText="1"/>
    </xf>
    <xf numFmtId="0" fontId="32" fillId="0" borderId="22" xfId="0" applyFont="1" applyBorder="1" applyAlignment="1">
      <alignment horizontal="center"/>
    </xf>
    <xf numFmtId="42" fontId="21" fillId="22" borderId="36" xfId="38" applyFont="1" applyFill="1" applyBorder="1" applyAlignment="1" applyProtection="1">
      <alignment horizontal="left"/>
      <protection locked="0"/>
    </xf>
    <xf numFmtId="42" fontId="21" fillId="22" borderId="37" xfId="38" applyFont="1" applyFill="1" applyBorder="1" applyAlignment="1" applyProtection="1">
      <alignment horizontal="left"/>
      <protection locked="0"/>
    </xf>
    <xf numFmtId="42" fontId="21" fillId="22" borderId="38" xfId="38" applyFont="1" applyFill="1" applyBorder="1" applyAlignment="1" applyProtection="1">
      <alignment horizontal="left"/>
      <protection locked="0"/>
    </xf>
    <xf numFmtId="0" fontId="44" fillId="0" borderId="0" xfId="0" applyFont="1" applyAlignment="1">
      <alignment horizontal="left" vertical="center"/>
    </xf>
    <xf numFmtId="0" fontId="45" fillId="0" borderId="0" xfId="0" applyFont="1" applyAlignment="1">
      <alignment horizontal="left" vertical="center"/>
    </xf>
    <xf numFmtId="169" fontId="21" fillId="25" borderId="39" xfId="36" applyFill="1" applyBorder="1" applyAlignment="1">
      <alignment horizontal="center"/>
    </xf>
    <xf numFmtId="165" fontId="33" fillId="25" borderId="39" xfId="69" applyNumberFormat="1" applyFont="1" applyFill="1" applyBorder="1" applyAlignment="1">
      <alignment horizontal="center"/>
    </xf>
    <xf numFmtId="42" fontId="21" fillId="25" borderId="40" xfId="38" applyFont="1" applyFill="1" applyBorder="1"/>
    <xf numFmtId="42" fontId="21" fillId="0" borderId="0" xfId="0" applyNumberFormat="1" applyFont="1"/>
    <xf numFmtId="0" fontId="21" fillId="0" borderId="0" xfId="0" applyFont="1" applyAlignment="1">
      <alignment horizontal="left" indent="2"/>
    </xf>
    <xf numFmtId="0" fontId="21" fillId="0" borderId="10" xfId="0" applyFont="1" applyBorder="1" applyAlignment="1">
      <alignment vertical="top" wrapText="1"/>
    </xf>
    <xf numFmtId="42" fontId="21" fillId="0" borderId="0" xfId="0" applyNumberFormat="1" applyFont="1" applyAlignment="1">
      <alignment vertical="center"/>
    </xf>
    <xf numFmtId="0" fontId="35" fillId="0" borderId="48" xfId="0" applyFont="1" applyBorder="1" applyAlignment="1">
      <alignment horizontal="center"/>
    </xf>
    <xf numFmtId="42" fontId="21" fillId="25" borderId="7" xfId="38" applyFont="1" applyFill="1" applyBorder="1"/>
    <xf numFmtId="37" fontId="24" fillId="0" borderId="15" xfId="0" applyNumberFormat="1" applyFont="1" applyBorder="1"/>
    <xf numFmtId="0" fontId="21" fillId="0" borderId="15" xfId="0" applyFont="1" applyBorder="1"/>
    <xf numFmtId="0" fontId="27" fillId="0" borderId="0" xfId="0" applyFont="1" applyAlignment="1">
      <alignment horizontal="right"/>
    </xf>
    <xf numFmtId="0" fontId="24" fillId="0" borderId="49" xfId="0" applyFont="1" applyBorder="1" applyAlignment="1">
      <alignment horizontal="center"/>
    </xf>
    <xf numFmtId="0" fontId="24" fillId="0" borderId="50" xfId="0" applyFont="1" applyBorder="1" applyAlignment="1">
      <alignment horizontal="center"/>
    </xf>
    <xf numFmtId="0" fontId="24" fillId="0" borderId="28" xfId="0" applyFont="1" applyBorder="1" applyAlignment="1">
      <alignment horizontal="center"/>
    </xf>
    <xf numFmtId="0" fontId="24" fillId="0" borderId="29" xfId="0" applyFont="1" applyBorder="1" applyAlignment="1">
      <alignment horizontal="center"/>
    </xf>
    <xf numFmtId="0" fontId="21" fillId="0" borderId="51" xfId="0" applyFont="1" applyBorder="1"/>
    <xf numFmtId="0" fontId="21" fillId="0" borderId="52" xfId="0" applyFont="1" applyBorder="1"/>
    <xf numFmtId="0" fontId="21" fillId="0" borderId="53" xfId="0" applyFont="1" applyBorder="1"/>
    <xf numFmtId="0" fontId="21" fillId="0" borderId="54" xfId="0" applyFont="1" applyBorder="1"/>
    <xf numFmtId="0" fontId="21" fillId="0" borderId="55" xfId="0" applyFont="1" applyBorder="1"/>
    <xf numFmtId="0" fontId="21" fillId="0" borderId="56" xfId="0" applyFont="1" applyBorder="1"/>
    <xf numFmtId="0" fontId="21" fillId="0" borderId="57" xfId="0" applyFont="1" applyBorder="1"/>
    <xf numFmtId="0" fontId="0" fillId="25" borderId="0" xfId="0" applyFill="1"/>
    <xf numFmtId="0" fontId="29" fillId="0" borderId="0" xfId="0" applyFont="1"/>
    <xf numFmtId="0" fontId="29" fillId="25" borderId="27" xfId="0" applyFont="1" applyFill="1" applyBorder="1" applyAlignment="1">
      <alignment horizontal="center"/>
    </xf>
    <xf numFmtId="0" fontId="38" fillId="25" borderId="41" xfId="0" applyFont="1" applyFill="1" applyBorder="1" applyAlignment="1">
      <alignment horizontal="center"/>
    </xf>
    <xf numFmtId="0" fontId="38" fillId="25" borderId="58" xfId="0" applyFont="1" applyFill="1" applyBorder="1" applyAlignment="1">
      <alignment horizontal="center"/>
    </xf>
    <xf numFmtId="0" fontId="38" fillId="25" borderId="59" xfId="0" applyFont="1" applyFill="1" applyBorder="1" applyAlignment="1">
      <alignment horizontal="center"/>
    </xf>
    <xf numFmtId="0" fontId="38" fillId="25" borderId="60" xfId="0" applyFont="1" applyFill="1" applyBorder="1" applyAlignment="1">
      <alignment horizontal="center"/>
    </xf>
    <xf numFmtId="41" fontId="38" fillId="0" borderId="16" xfId="0" applyNumberFormat="1" applyFont="1" applyBorder="1"/>
    <xf numFmtId="41" fontId="39" fillId="0" borderId="36" xfId="31" applyFont="1" applyBorder="1"/>
    <xf numFmtId="41" fontId="39" fillId="0" borderId="61" xfId="31" applyFont="1" applyBorder="1"/>
    <xf numFmtId="41" fontId="39" fillId="0" borderId="37" xfId="31" applyFont="1" applyBorder="1"/>
    <xf numFmtId="41" fontId="39" fillId="0" borderId="42" xfId="31" applyFont="1" applyBorder="1"/>
    <xf numFmtId="9" fontId="39" fillId="0" borderId="25" xfId="69" applyFont="1" applyBorder="1" applyAlignment="1">
      <alignment horizontal="center"/>
    </xf>
    <xf numFmtId="9" fontId="39" fillId="0" borderId="50" xfId="69" applyFont="1" applyBorder="1" applyAlignment="1">
      <alignment horizontal="center"/>
    </xf>
    <xf numFmtId="0" fontId="29" fillId="25" borderId="49" xfId="0" applyFont="1" applyFill="1" applyBorder="1" applyAlignment="1">
      <alignment horizontal="right"/>
    </xf>
    <xf numFmtId="0" fontId="24" fillId="0" borderId="37" xfId="51" applyFont="1" applyBorder="1" applyAlignment="1">
      <alignment horizontal="center" wrapText="1"/>
    </xf>
    <xf numFmtId="0" fontId="24" fillId="0" borderId="42" xfId="51" applyFont="1" applyBorder="1" applyAlignment="1">
      <alignment horizontal="center" wrapText="1"/>
    </xf>
    <xf numFmtId="2" fontId="21" fillId="27" borderId="42" xfId="59" applyNumberFormat="1" applyBorder="1" applyAlignment="1">
      <alignment horizontal="center"/>
      <protection locked="0"/>
    </xf>
    <xf numFmtId="42" fontId="21" fillId="22" borderId="31" xfId="38" applyFont="1" applyFill="1" applyBorder="1" applyAlignment="1" applyProtection="1">
      <alignment horizontal="left"/>
      <protection locked="0"/>
    </xf>
    <xf numFmtId="2" fontId="21" fillId="27" borderId="21" xfId="59" applyNumberFormat="1" applyBorder="1" applyAlignment="1">
      <alignment horizontal="center"/>
      <protection locked="0"/>
    </xf>
    <xf numFmtId="42" fontId="21" fillId="22" borderId="62" xfId="38" applyFont="1" applyFill="1" applyBorder="1" applyAlignment="1" applyProtection="1">
      <alignment horizontal="left"/>
      <protection locked="0"/>
    </xf>
    <xf numFmtId="0" fontId="24" fillId="0" borderId="31" xfId="53" applyBorder="1" applyAlignment="1">
      <alignment horizontal="center" wrapText="1"/>
    </xf>
    <xf numFmtId="0" fontId="24" fillId="0" borderId="21" xfId="53" applyBorder="1" applyAlignment="1">
      <alignment horizontal="center" wrapText="1"/>
    </xf>
    <xf numFmtId="0" fontId="35" fillId="0" borderId="63" xfId="0" applyFont="1" applyBorder="1" applyAlignment="1">
      <alignment horizontal="center"/>
    </xf>
    <xf numFmtId="0" fontId="35" fillId="0" borderId="46" xfId="0" applyFont="1" applyBorder="1" applyAlignment="1">
      <alignment horizontal="center"/>
    </xf>
    <xf numFmtId="37" fontId="21" fillId="0" borderId="37" xfId="0" applyNumberFormat="1" applyFont="1" applyBorder="1"/>
    <xf numFmtId="37" fontId="21" fillId="22" borderId="42" xfId="35" applyFill="1" applyBorder="1" applyProtection="1">
      <alignment horizontal="center"/>
      <protection locked="0"/>
    </xf>
    <xf numFmtId="37" fontId="21" fillId="0" borderId="38" xfId="0" applyNumberFormat="1" applyFont="1" applyBorder="1"/>
    <xf numFmtId="2" fontId="21" fillId="27" borderId="64" xfId="59" applyNumberFormat="1" applyBorder="1" applyAlignment="1">
      <alignment horizontal="center"/>
      <protection locked="0"/>
    </xf>
    <xf numFmtId="37" fontId="21" fillId="22" borderId="43" xfId="35" applyFill="1" applyBorder="1" applyProtection="1">
      <alignment horizontal="center"/>
      <protection locked="0"/>
    </xf>
    <xf numFmtId="2" fontId="21" fillId="28" borderId="7" xfId="67" applyNumberFormat="1" applyFont="1" applyAlignment="1" applyProtection="1">
      <alignment horizontal="center"/>
      <protection locked="0"/>
    </xf>
    <xf numFmtId="42" fontId="21" fillId="22" borderId="64" xfId="38" applyFont="1" applyFill="1" applyBorder="1" applyAlignment="1" applyProtection="1">
      <alignment horizontal="left"/>
      <protection locked="0"/>
    </xf>
    <xf numFmtId="42" fontId="21" fillId="25" borderId="65" xfId="38" applyFont="1" applyFill="1" applyBorder="1"/>
    <xf numFmtId="0" fontId="0" fillId="26" borderId="0" xfId="0" applyFill="1"/>
    <xf numFmtId="41" fontId="38" fillId="0" borderId="19" xfId="0" applyNumberFormat="1" applyFont="1" applyBorder="1"/>
    <xf numFmtId="9" fontId="38" fillId="0" borderId="49" xfId="69" applyFont="1" applyBorder="1" applyAlignment="1">
      <alignment horizontal="center"/>
    </xf>
    <xf numFmtId="42" fontId="21" fillId="22" borderId="42" xfId="38" applyFont="1" applyFill="1" applyBorder="1" applyAlignment="1" applyProtection="1">
      <alignment horizontal="left"/>
      <protection locked="0"/>
    </xf>
    <xf numFmtId="37" fontId="21" fillId="22" borderId="36" xfId="35" applyFill="1" applyBorder="1" applyProtection="1">
      <alignment horizontal="center"/>
      <protection locked="0"/>
    </xf>
    <xf numFmtId="37" fontId="21" fillId="22" borderId="61" xfId="35" applyFill="1" applyBorder="1" applyProtection="1">
      <alignment horizontal="center"/>
      <protection locked="0"/>
    </xf>
    <xf numFmtId="37" fontId="21" fillId="22" borderId="37" xfId="35" applyFill="1" applyBorder="1" applyProtection="1">
      <alignment horizontal="center"/>
      <protection locked="0"/>
    </xf>
    <xf numFmtId="37" fontId="21" fillId="22" borderId="38" xfId="35" applyFill="1" applyBorder="1" applyProtection="1">
      <alignment horizontal="center"/>
      <protection locked="0"/>
    </xf>
    <xf numFmtId="42" fontId="21" fillId="22" borderId="61" xfId="38" applyFont="1" applyFill="1" applyBorder="1" applyAlignment="1" applyProtection="1">
      <alignment horizontal="left"/>
      <protection locked="0"/>
    </xf>
    <xf numFmtId="0" fontId="24" fillId="25" borderId="38" xfId="53" applyFill="1" applyBorder="1" applyAlignment="1">
      <alignment horizontal="center"/>
    </xf>
    <xf numFmtId="0" fontId="24" fillId="25" borderId="43" xfId="53" applyFill="1" applyBorder="1" applyAlignment="1">
      <alignment horizontal="center"/>
    </xf>
    <xf numFmtId="0" fontId="24" fillId="25" borderId="31" xfId="53" applyFill="1" applyBorder="1" applyAlignment="1">
      <alignment horizontal="center"/>
    </xf>
    <xf numFmtId="0" fontId="24" fillId="25" borderId="21" xfId="53" applyFill="1" applyBorder="1" applyAlignment="1">
      <alignment horizontal="center"/>
    </xf>
    <xf numFmtId="37" fontId="24" fillId="0" borderId="0" xfId="0" applyNumberFormat="1" applyFont="1" applyAlignment="1">
      <alignment horizontal="center"/>
    </xf>
    <xf numFmtId="0" fontId="29" fillId="25" borderId="33" xfId="0" applyFont="1" applyFill="1" applyBorder="1" applyAlignment="1">
      <alignment horizontal="center"/>
    </xf>
    <xf numFmtId="0" fontId="29" fillId="0" borderId="0" xfId="0" applyFont="1" applyAlignment="1">
      <alignment horizontal="center"/>
    </xf>
    <xf numFmtId="0" fontId="40" fillId="25" borderId="66" xfId="0" applyFont="1" applyFill="1" applyBorder="1" applyAlignment="1">
      <alignment horizontal="center"/>
    </xf>
    <xf numFmtId="0" fontId="38" fillId="25" borderId="66" xfId="0" applyFont="1" applyFill="1" applyBorder="1" applyAlignment="1">
      <alignment horizontal="center"/>
    </xf>
    <xf numFmtId="9" fontId="39" fillId="0" borderId="20" xfId="69" applyFont="1" applyBorder="1" applyAlignment="1">
      <alignment horizontal="center"/>
    </xf>
    <xf numFmtId="0" fontId="40" fillId="25" borderId="33" xfId="0" applyFont="1" applyFill="1" applyBorder="1" applyAlignment="1">
      <alignment horizontal="center"/>
    </xf>
    <xf numFmtId="0" fontId="40" fillId="25" borderId="58" xfId="0" applyFont="1" applyFill="1" applyBorder="1" applyAlignment="1">
      <alignment horizontal="center"/>
    </xf>
    <xf numFmtId="0" fontId="40" fillId="25" borderId="34" xfId="0" applyFont="1" applyFill="1" applyBorder="1" applyAlignment="1">
      <alignment horizontal="center"/>
    </xf>
    <xf numFmtId="0" fontId="38" fillId="25" borderId="0" xfId="0" applyFont="1" applyFill="1" applyAlignment="1">
      <alignment horizontal="center"/>
    </xf>
    <xf numFmtId="9" fontId="39" fillId="0" borderId="28" xfId="69" applyFont="1" applyBorder="1" applyAlignment="1">
      <alignment horizontal="center"/>
    </xf>
    <xf numFmtId="9" fontId="39" fillId="0" borderId="29" xfId="69" applyFont="1" applyBorder="1" applyAlignment="1">
      <alignment horizontal="center"/>
    </xf>
    <xf numFmtId="9" fontId="39" fillId="0" borderId="27" xfId="69" applyFont="1" applyBorder="1" applyAlignment="1">
      <alignment horizontal="center"/>
    </xf>
    <xf numFmtId="41" fontId="39" fillId="0" borderId="25" xfId="31" applyFont="1" applyBorder="1"/>
    <xf numFmtId="41" fontId="39" fillId="0" borderId="28" xfId="31" applyFont="1" applyBorder="1"/>
    <xf numFmtId="41" fontId="39" fillId="0" borderId="29" xfId="31" applyFont="1" applyBorder="1"/>
    <xf numFmtId="41" fontId="38" fillId="0" borderId="27" xfId="0" applyNumberFormat="1" applyFont="1" applyBorder="1"/>
    <xf numFmtId="9" fontId="39" fillId="0" borderId="54" xfId="69" applyFont="1" applyBorder="1" applyAlignment="1">
      <alignment horizontal="center"/>
    </xf>
    <xf numFmtId="9" fontId="39" fillId="0" borderId="57" xfId="69" applyFont="1" applyBorder="1" applyAlignment="1">
      <alignment horizontal="center"/>
    </xf>
    <xf numFmtId="9" fontId="39" fillId="0" borderId="60" xfId="69" applyFont="1" applyBorder="1" applyAlignment="1">
      <alignment horizontal="center"/>
    </xf>
    <xf numFmtId="0" fontId="21" fillId="0" borderId="45" xfId="0" applyFont="1" applyBorder="1"/>
    <xf numFmtId="0" fontId="21" fillId="0" borderId="66" xfId="0" applyFont="1" applyBorder="1"/>
    <xf numFmtId="170" fontId="21" fillId="25" borderId="42"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1" fillId="0" borderId="10" xfId="0" applyFont="1" applyBorder="1" applyAlignment="1">
      <alignment horizontal="left" indent="1"/>
    </xf>
    <xf numFmtId="41" fontId="39" fillId="0" borderId="37" xfId="31" applyFont="1" applyBorder="1" applyAlignment="1">
      <alignment horizontal="center"/>
    </xf>
    <xf numFmtId="42" fontId="39" fillId="0" borderId="53" xfId="69" applyNumberFormat="1" applyFont="1" applyBorder="1" applyAlignment="1">
      <alignment horizontal="center"/>
    </xf>
    <xf numFmtId="41" fontId="39" fillId="0" borderId="53" xfId="31" applyFont="1" applyBorder="1" applyAlignment="1">
      <alignment horizontal="center"/>
    </xf>
    <xf numFmtId="0" fontId="33" fillId="0" borderId="51" xfId="53" applyFont="1" applyBorder="1" applyAlignment="1">
      <alignment horizontal="center" vertical="center" wrapText="1"/>
    </xf>
    <xf numFmtId="0" fontId="33" fillId="0" borderId="63" xfId="53" applyFont="1" applyBorder="1" applyAlignment="1">
      <alignment horizontal="center" vertical="center" wrapText="1"/>
    </xf>
    <xf numFmtId="0" fontId="33" fillId="0" borderId="46" xfId="53" applyFont="1" applyBorder="1" applyAlignment="1">
      <alignment horizontal="center" vertical="center" wrapText="1"/>
    </xf>
    <xf numFmtId="0" fontId="33" fillId="0" borderId="13" xfId="53" applyFont="1" applyBorder="1" applyAlignment="1">
      <alignment horizontal="center" vertical="center" wrapText="1"/>
    </xf>
    <xf numFmtId="0" fontId="29" fillId="0" borderId="47" xfId="0" applyFont="1" applyBorder="1" applyAlignment="1">
      <alignment horizontal="center" wrapText="1"/>
    </xf>
    <xf numFmtId="6" fontId="39" fillId="0" borderId="48" xfId="0" applyNumberFormat="1" applyFont="1" applyBorder="1" applyAlignment="1">
      <alignment horizontal="center" vertical="center" wrapText="1"/>
    </xf>
    <xf numFmtId="0" fontId="39" fillId="0" borderId="63" xfId="0" applyFont="1" applyBorder="1" applyAlignment="1">
      <alignment horizontal="center" vertical="center" wrapText="1"/>
    </xf>
    <xf numFmtId="0" fontId="29" fillId="0" borderId="69" xfId="0" applyFont="1" applyBorder="1" applyAlignment="1">
      <alignment horizontal="center" wrapText="1"/>
    </xf>
    <xf numFmtId="0" fontId="29" fillId="0" borderId="70" xfId="0" applyFont="1" applyBorder="1" applyAlignment="1">
      <alignment horizontal="center" wrapText="1"/>
    </xf>
    <xf numFmtId="0" fontId="39" fillId="0" borderId="46" xfId="0" applyFont="1" applyBorder="1" applyAlignment="1">
      <alignment horizontal="center" vertical="center" wrapText="1"/>
    </xf>
    <xf numFmtId="6" fontId="39" fillId="0" borderId="63" xfId="0" applyNumberFormat="1" applyFont="1" applyBorder="1" applyAlignment="1">
      <alignment horizontal="center" vertical="center" wrapText="1"/>
    </xf>
    <xf numFmtId="0" fontId="24" fillId="0" borderId="0" xfId="0" applyFont="1"/>
    <xf numFmtId="0" fontId="21" fillId="27" borderId="4" xfId="59">
      <alignment horizontal="left"/>
      <protection locked="0"/>
    </xf>
    <xf numFmtId="0" fontId="0" fillId="25" borderId="45" xfId="0" applyFill="1" applyBorder="1"/>
    <xf numFmtId="0" fontId="0" fillId="25" borderId="66" xfId="0" applyFill="1" applyBorder="1"/>
    <xf numFmtId="0" fontId="0" fillId="25" borderId="59" xfId="0" applyFill="1" applyBorder="1"/>
    <xf numFmtId="0" fontId="0" fillId="25" borderId="60" xfId="0" applyFill="1" applyBorder="1"/>
    <xf numFmtId="0" fontId="0" fillId="25" borderId="67" xfId="0" applyFill="1" applyBorder="1"/>
    <xf numFmtId="42" fontId="0" fillId="0" borderId="0" xfId="0" applyNumberFormat="1" applyAlignment="1">
      <alignment horizontal="center"/>
    </xf>
    <xf numFmtId="0" fontId="21" fillId="0" borderId="24" xfId="0" applyFont="1" applyBorder="1"/>
    <xf numFmtId="0" fontId="42" fillId="0" borderId="0" xfId="0" applyFont="1"/>
    <xf numFmtId="165" fontId="39" fillId="0" borderId="42" xfId="31" applyNumberFormat="1" applyFont="1" applyBorder="1" applyAlignment="1">
      <alignment horizontal="center"/>
    </xf>
    <xf numFmtId="42" fontId="39" fillId="0" borderId="37" xfId="0" applyNumberFormat="1" applyFont="1" applyBorder="1"/>
    <xf numFmtId="9" fontId="41" fillId="0" borderId="42" xfId="69" applyFont="1" applyBorder="1" applyAlignment="1">
      <alignment horizontal="center"/>
    </xf>
    <xf numFmtId="37" fontId="39" fillId="0" borderId="37" xfId="31" applyNumberFormat="1" applyFont="1" applyBorder="1" applyAlignment="1">
      <alignment horizontal="center" vertical="center"/>
    </xf>
    <xf numFmtId="39" fontId="39" fillId="0" borderId="28" xfId="0" applyNumberFormat="1" applyFont="1" applyBorder="1" applyAlignment="1">
      <alignment horizontal="center"/>
    </xf>
    <xf numFmtId="42" fontId="39" fillId="0" borderId="28" xfId="0" applyNumberFormat="1" applyFont="1" applyBorder="1"/>
    <xf numFmtId="42" fontId="39" fillId="0" borderId="29" xfId="0" applyNumberFormat="1" applyFont="1" applyBorder="1"/>
    <xf numFmtId="0" fontId="29" fillId="0" borderId="38" xfId="0" applyFont="1" applyBorder="1" applyAlignment="1">
      <alignment horizontal="center" wrapText="1"/>
    </xf>
    <xf numFmtId="0" fontId="29" fillId="0" borderId="64" xfId="0" applyFont="1" applyBorder="1" applyAlignment="1">
      <alignment horizontal="center" wrapText="1"/>
    </xf>
    <xf numFmtId="0" fontId="29" fillId="0" borderId="43" xfId="0" applyFont="1" applyBorder="1" applyAlignment="1">
      <alignment horizontal="center" wrapText="1"/>
    </xf>
    <xf numFmtId="42" fontId="39" fillId="0" borderId="50" xfId="0" applyNumberFormat="1" applyFont="1" applyBorder="1"/>
    <xf numFmtId="0" fontId="29" fillId="0" borderId="49" xfId="0" applyFont="1" applyBorder="1" applyAlignment="1">
      <alignment horizontal="center" wrapText="1"/>
    </xf>
    <xf numFmtId="42" fontId="21" fillId="0" borderId="36" xfId="38" applyFont="1" applyFill="1" applyBorder="1" applyAlignment="1" applyProtection="1">
      <alignment horizontal="left"/>
      <protection locked="0"/>
    </xf>
    <xf numFmtId="42" fontId="21" fillId="0" borderId="61" xfId="38" applyFont="1" applyFill="1" applyBorder="1" applyAlignment="1" applyProtection="1">
      <alignment horizontal="left"/>
      <protection locked="0"/>
    </xf>
    <xf numFmtId="42" fontId="21" fillId="0" borderId="37" xfId="38" applyFont="1" applyFill="1" applyBorder="1" applyAlignment="1" applyProtection="1">
      <alignment horizontal="left"/>
      <protection locked="0"/>
    </xf>
    <xf numFmtId="42" fontId="21" fillId="0" borderId="42" xfId="38" applyFont="1" applyFill="1" applyBorder="1" applyAlignment="1" applyProtection="1">
      <alignment horizontal="left"/>
      <protection locked="0"/>
    </xf>
    <xf numFmtId="42" fontId="21" fillId="0" borderId="38" xfId="38" applyFont="1" applyFill="1" applyBorder="1" applyAlignment="1" applyProtection="1">
      <alignment horizontal="left"/>
      <protection locked="0"/>
    </xf>
    <xf numFmtId="42" fontId="21" fillId="0" borderId="43" xfId="38" applyFont="1" applyFill="1" applyBorder="1" applyAlignment="1" applyProtection="1">
      <alignment horizontal="left"/>
      <protection locked="0"/>
    </xf>
    <xf numFmtId="37" fontId="21" fillId="0" borderId="36" xfId="35" applyFill="1" applyBorder="1" applyProtection="1">
      <alignment horizontal="center"/>
      <protection locked="0"/>
    </xf>
    <xf numFmtId="37" fontId="21" fillId="0" borderId="61" xfId="35" applyFill="1" applyBorder="1" applyProtection="1">
      <alignment horizontal="center"/>
      <protection locked="0"/>
    </xf>
    <xf numFmtId="37" fontId="21" fillId="0" borderId="37" xfId="35" applyFill="1" applyBorder="1" applyProtection="1">
      <alignment horizontal="center"/>
      <protection locked="0"/>
    </xf>
    <xf numFmtId="37" fontId="21" fillId="0" borderId="42" xfId="35" applyFill="1" applyBorder="1" applyProtection="1">
      <alignment horizontal="center"/>
      <protection locked="0"/>
    </xf>
    <xf numFmtId="37" fontId="21" fillId="0" borderId="38" xfId="35" applyFill="1" applyBorder="1" applyProtection="1">
      <alignment horizontal="center"/>
      <protection locked="0"/>
    </xf>
    <xf numFmtId="37" fontId="21" fillId="0" borderId="43" xfId="35" applyFill="1" applyBorder="1" applyProtection="1">
      <alignment horizontal="center"/>
      <protection locked="0"/>
    </xf>
    <xf numFmtId="42" fontId="21" fillId="0" borderId="72" xfId="38" applyFont="1" applyFill="1" applyBorder="1" applyAlignment="1" applyProtection="1">
      <alignment horizontal="left"/>
      <protection locked="0"/>
    </xf>
    <xf numFmtId="42" fontId="21" fillId="0" borderId="73" xfId="38" applyFont="1" applyFill="1" applyBorder="1" applyAlignment="1" applyProtection="1">
      <alignment horizontal="left"/>
      <protection locked="0"/>
    </xf>
    <xf numFmtId="37" fontId="21" fillId="0" borderId="72" xfId="35" applyFill="1" applyBorder="1" applyProtection="1">
      <alignment horizontal="center"/>
      <protection locked="0"/>
    </xf>
    <xf numFmtId="37" fontId="21" fillId="0" borderId="73" xfId="35" applyFill="1" applyBorder="1" applyProtection="1">
      <alignment horizontal="center"/>
      <protection locked="0"/>
    </xf>
    <xf numFmtId="42" fontId="39" fillId="0" borderId="51" xfId="0" applyNumberFormat="1" applyFont="1" applyBorder="1"/>
    <xf numFmtId="42" fontId="39" fillId="0" borderId="53" xfId="0" applyNumberFormat="1" applyFont="1" applyBorder="1"/>
    <xf numFmtId="42" fontId="39" fillId="0" borderId="55" xfId="0" applyNumberFormat="1" applyFont="1" applyBorder="1"/>
    <xf numFmtId="42" fontId="39" fillId="0" borderId="25" xfId="0" applyNumberFormat="1" applyFont="1" applyBorder="1"/>
    <xf numFmtId="42" fontId="39" fillId="0" borderId="31" xfId="0" applyNumberFormat="1" applyFont="1" applyBorder="1"/>
    <xf numFmtId="9" fontId="41" fillId="0" borderId="21" xfId="69" applyFont="1" applyBorder="1" applyAlignment="1">
      <alignment horizontal="center"/>
    </xf>
    <xf numFmtId="37" fontId="39" fillId="0" borderId="31" xfId="31" applyNumberFormat="1" applyFont="1" applyBorder="1" applyAlignment="1">
      <alignment horizontal="center" vertical="center"/>
    </xf>
    <xf numFmtId="39" fontId="39" fillId="0" borderId="26" xfId="0" applyNumberFormat="1" applyFont="1" applyBorder="1" applyAlignment="1">
      <alignment horizontal="center"/>
    </xf>
    <xf numFmtId="42" fontId="39" fillId="0" borderId="74" xfId="0" applyNumberFormat="1" applyFont="1" applyBorder="1"/>
    <xf numFmtId="9" fontId="41" fillId="0" borderId="61" xfId="69" applyFont="1" applyBorder="1" applyAlignment="1">
      <alignment horizontal="center"/>
    </xf>
    <xf numFmtId="37" fontId="39" fillId="0" borderId="36" xfId="31" applyNumberFormat="1" applyFont="1" applyBorder="1" applyAlignment="1">
      <alignment horizontal="center" vertical="center"/>
    </xf>
    <xf numFmtId="37" fontId="39" fillId="0" borderId="74" xfId="31" applyNumberFormat="1" applyFont="1" applyBorder="1" applyAlignment="1">
      <alignment horizontal="center" vertical="center"/>
    </xf>
    <xf numFmtId="39" fontId="39" fillId="0" borderId="52" xfId="0" applyNumberFormat="1" applyFont="1" applyBorder="1" applyAlignment="1">
      <alignment horizontal="center"/>
    </xf>
    <xf numFmtId="39" fontId="39" fillId="0" borderId="54" xfId="0" applyNumberFormat="1" applyFont="1" applyBorder="1" applyAlignment="1">
      <alignment horizontal="center"/>
    </xf>
    <xf numFmtId="39" fontId="39" fillId="0" borderId="71" xfId="0" applyNumberFormat="1" applyFont="1" applyBorder="1" applyAlignment="1">
      <alignment horizontal="center"/>
    </xf>
    <xf numFmtId="0" fontId="29" fillId="0" borderId="31" xfId="0" applyFont="1" applyBorder="1" applyAlignment="1">
      <alignment horizontal="center" wrapText="1"/>
    </xf>
    <xf numFmtId="0" fontId="29" fillId="0" borderId="21" xfId="0" applyFont="1" applyBorder="1" applyAlignment="1">
      <alignment horizontal="center" wrapText="1"/>
    </xf>
    <xf numFmtId="0" fontId="29" fillId="0" borderId="16" xfId="0" applyFont="1" applyBorder="1" applyAlignment="1">
      <alignment horizontal="center" wrapText="1"/>
    </xf>
    <xf numFmtId="42" fontId="38" fillId="0" borderId="62" xfId="0" applyNumberFormat="1" applyFont="1" applyBorder="1"/>
    <xf numFmtId="42" fontId="38" fillId="0" borderId="17" xfId="0" applyNumberFormat="1" applyFont="1" applyBorder="1"/>
    <xf numFmtId="9" fontId="39" fillId="0" borderId="19" xfId="69" applyFont="1" applyBorder="1" applyAlignment="1">
      <alignment horizontal="center"/>
    </xf>
    <xf numFmtId="37" fontId="38" fillId="0" borderId="62" xfId="0" applyNumberFormat="1" applyFont="1" applyBorder="1"/>
    <xf numFmtId="37" fontId="38" fillId="0" borderId="17" xfId="0" applyNumberFormat="1" applyFont="1" applyBorder="1"/>
    <xf numFmtId="2" fontId="38" fillId="0" borderId="49" xfId="0" applyNumberFormat="1" applyFont="1" applyBorder="1" applyAlignment="1">
      <alignment horizontal="center"/>
    </xf>
    <xf numFmtId="0" fontId="43" fillId="0" borderId="0" xfId="0" applyFont="1" applyAlignment="1">
      <alignment horizontal="center"/>
    </xf>
    <xf numFmtId="0" fontId="21" fillId="0" borderId="0" xfId="0" applyFont="1" applyProtection="1">
      <protection locked="0"/>
    </xf>
    <xf numFmtId="0" fontId="29" fillId="0" borderId="68" xfId="0" applyFont="1" applyBorder="1" applyAlignment="1">
      <alignment horizontal="center" wrapText="1"/>
    </xf>
    <xf numFmtId="42" fontId="39" fillId="0" borderId="75" xfId="0" applyNumberFormat="1" applyFont="1" applyBorder="1"/>
    <xf numFmtId="42" fontId="39" fillId="0" borderId="29" xfId="0" applyNumberFormat="1" applyFont="1" applyBorder="1" applyAlignment="1">
      <alignment horizontal="left" indent="1"/>
    </xf>
    <xf numFmtId="37" fontId="0" fillId="0" borderId="0" xfId="0" applyNumberFormat="1"/>
    <xf numFmtId="10" fontId="21" fillId="0" borderId="0" xfId="0" applyNumberFormat="1" applyFont="1"/>
    <xf numFmtId="164" fontId="21" fillId="0" borderId="0" xfId="0" applyNumberFormat="1" applyFont="1" applyAlignment="1">
      <alignment horizontal="center"/>
    </xf>
    <xf numFmtId="0" fontId="21" fillId="0" borderId="0" xfId="0" applyFont="1" applyAlignment="1">
      <alignment horizontal="center"/>
    </xf>
    <xf numFmtId="170" fontId="21" fillId="0" borderId="0" xfId="0" applyNumberFormat="1" applyFont="1"/>
    <xf numFmtId="0" fontId="23" fillId="0" borderId="0" xfId="51" applyFill="1" applyAlignment="1">
      <alignment horizontal="center"/>
    </xf>
    <xf numFmtId="0" fontId="24" fillId="0" borderId="0" xfId="51" applyFont="1" applyFill="1" applyAlignment="1">
      <alignment horizontal="center"/>
    </xf>
    <xf numFmtId="0" fontId="46" fillId="0" borderId="0" xfId="51" applyFont="1">
      <alignment horizontal="left"/>
    </xf>
    <xf numFmtId="0" fontId="47" fillId="0" borderId="0" xfId="0" applyFont="1"/>
    <xf numFmtId="2" fontId="21" fillId="28" borderId="0" xfId="67" applyNumberFormat="1" applyFont="1" applyBorder="1" applyAlignment="1" applyProtection="1">
      <alignment horizontal="center"/>
      <protection locked="0"/>
    </xf>
    <xf numFmtId="2" fontId="21" fillId="28" borderId="18" xfId="67" applyNumberFormat="1" applyFont="1" applyBorder="1" applyAlignment="1" applyProtection="1">
      <alignment horizontal="center"/>
      <protection locked="0"/>
    </xf>
    <xf numFmtId="170" fontId="24" fillId="25" borderId="19" xfId="38" applyNumberFormat="1" applyFont="1" applyFill="1" applyBorder="1" applyAlignment="1" applyProtection="1">
      <alignment horizontal="left"/>
      <protection locked="0"/>
    </xf>
    <xf numFmtId="0" fontId="21" fillId="0" borderId="0" xfId="0" applyFont="1" applyAlignment="1">
      <alignment horizontal="left" indent="1"/>
    </xf>
    <xf numFmtId="0" fontId="24" fillId="0" borderId="12" xfId="0" applyFont="1" applyBorder="1" applyAlignment="1">
      <alignment horizontal="right"/>
    </xf>
    <xf numFmtId="42" fontId="21" fillId="0" borderId="12" xfId="0" applyNumberFormat="1" applyFont="1" applyBorder="1"/>
    <xf numFmtId="42" fontId="21" fillId="22" borderId="37" xfId="39" applyFont="1" applyFill="1" applyBorder="1" applyAlignment="1" applyProtection="1">
      <alignment horizontal="left"/>
      <protection locked="0"/>
    </xf>
    <xf numFmtId="2" fontId="21" fillId="27" borderId="4" xfId="59" applyNumberFormat="1" applyAlignment="1">
      <alignment horizontal="center"/>
      <protection locked="0"/>
    </xf>
    <xf numFmtId="42" fontId="21" fillId="0" borderId="0" xfId="39" applyFont="1" applyFill="1" applyBorder="1" applyAlignment="1" applyProtection="1">
      <alignment horizontal="left"/>
      <protection locked="0"/>
    </xf>
    <xf numFmtId="42" fontId="24" fillId="0" borderId="0" xfId="53" applyNumberFormat="1" applyAlignment="1">
      <alignment horizontal="center"/>
    </xf>
    <xf numFmtId="0" fontId="21" fillId="0" borderId="0" xfId="0" applyFont="1" applyAlignment="1" applyProtection="1">
      <alignment horizontal="right"/>
      <protection locked="0"/>
    </xf>
    <xf numFmtId="0" fontId="21" fillId="27" borderId="4" xfId="60">
      <alignment horizontal="left"/>
      <protection locked="0"/>
    </xf>
    <xf numFmtId="42" fontId="0" fillId="0" borderId="0" xfId="0" applyNumberFormat="1"/>
    <xf numFmtId="0" fontId="48" fillId="0" borderId="0" xfId="0" applyFont="1"/>
    <xf numFmtId="172" fontId="39" fillId="0" borderId="37" xfId="69" applyNumberFormat="1" applyFont="1" applyBorder="1" applyAlignment="1">
      <alignment horizontal="center"/>
    </xf>
    <xf numFmtId="167" fontId="21" fillId="0" borderId="9" xfId="76" applyBorder="1"/>
    <xf numFmtId="0" fontId="22" fillId="0" borderId="0" xfId="77" applyFill="1">
      <alignment horizontal="left"/>
    </xf>
    <xf numFmtId="0" fontId="24" fillId="0" borderId="0" xfId="53" applyAlignment="1">
      <alignment horizontal="center" wrapText="1"/>
    </xf>
    <xf numFmtId="0" fontId="26" fillId="0" borderId="0" xfId="53" applyFont="1" applyAlignment="1">
      <alignment horizontal="center" wrapText="1"/>
    </xf>
    <xf numFmtId="0" fontId="27" fillId="0" borderId="0" xfId="53" applyFont="1" applyFill="1" applyAlignment="1">
      <alignment horizontal="right"/>
    </xf>
    <xf numFmtId="0" fontId="24" fillId="0" borderId="0" xfId="53" applyFill="1" applyAlignment="1">
      <alignment horizontal="right"/>
    </xf>
    <xf numFmtId="167" fontId="24" fillId="0" borderId="9" xfId="76" applyFont="1" applyBorder="1"/>
    <xf numFmtId="42" fontId="24" fillId="28" borderId="7" xfId="67" applyNumberFormat="1"/>
    <xf numFmtId="167" fontId="21" fillId="0" borderId="0" xfId="76"/>
    <xf numFmtId="0" fontId="23" fillId="0" borderId="0" xfId="51" applyAlignment="1">
      <alignment horizontal="center"/>
    </xf>
    <xf numFmtId="0" fontId="22" fillId="0" borderId="4" xfId="78" applyFill="1">
      <alignment horizontal="left" vertical="top" wrapText="1"/>
    </xf>
    <xf numFmtId="37" fontId="21" fillId="27" borderId="4" xfId="79" applyProtection="1">
      <alignment horizontal="center"/>
      <protection locked="0"/>
    </xf>
    <xf numFmtId="0" fontId="23" fillId="0" borderId="0" xfId="51" applyAlignment="1">
      <alignment horizontal="right"/>
    </xf>
    <xf numFmtId="0" fontId="21" fillId="27" borderId="4" xfId="59" applyAlignment="1">
      <alignment horizontal="left" vertical="center"/>
      <protection locked="0"/>
    </xf>
    <xf numFmtId="166" fontId="21" fillId="27" borderId="4" xfId="59" applyNumberFormat="1">
      <alignment horizontal="left"/>
      <protection locked="0"/>
    </xf>
    <xf numFmtId="44" fontId="0" fillId="0" borderId="0" xfId="0" applyNumberFormat="1"/>
    <xf numFmtId="0" fontId="23" fillId="0" borderId="0" xfId="51" applyAlignment="1"/>
    <xf numFmtId="0" fontId="50" fillId="0" borderId="0" xfId="51" applyFont="1" applyAlignment="1">
      <alignment horizontal="center"/>
    </xf>
    <xf numFmtId="0" fontId="23" fillId="30" borderId="0" xfId="51" applyFill="1" applyAlignment="1">
      <alignment horizontal="right"/>
    </xf>
    <xf numFmtId="42" fontId="24" fillId="30" borderId="0" xfId="0" applyNumberFormat="1" applyFont="1" applyFill="1"/>
    <xf numFmtId="0" fontId="21" fillId="30" borderId="0" xfId="0" applyFont="1" applyFill="1"/>
    <xf numFmtId="37" fontId="24" fillId="30" borderId="0" xfId="0" applyNumberFormat="1" applyFont="1" applyFill="1" applyAlignment="1">
      <alignment horizontal="center"/>
    </xf>
    <xf numFmtId="0" fontId="36" fillId="0" borderId="0" xfId="51" applyFont="1">
      <alignment horizontal="left"/>
    </xf>
    <xf numFmtId="0" fontId="23" fillId="0" borderId="81" xfId="51" applyBorder="1" applyAlignment="1">
      <alignment horizontal="right"/>
    </xf>
    <xf numFmtId="37" fontId="24" fillId="0" borderId="81" xfId="0" applyNumberFormat="1" applyFont="1" applyBorder="1" applyAlignment="1">
      <alignment horizontal="center"/>
    </xf>
    <xf numFmtId="0" fontId="21" fillId="0" borderId="81" xfId="0" applyFont="1" applyBorder="1"/>
    <xf numFmtId="42" fontId="21" fillId="22" borderId="21" xfId="38" applyFont="1" applyFill="1" applyBorder="1" applyAlignment="1" applyProtection="1">
      <alignment horizontal="left"/>
      <protection locked="0"/>
    </xf>
    <xf numFmtId="42" fontId="21" fillId="22" borderId="19" xfId="38" applyFont="1" applyFill="1" applyBorder="1" applyAlignment="1" applyProtection="1">
      <alignment horizontal="left"/>
      <protection locked="0"/>
    </xf>
    <xf numFmtId="0" fontId="22" fillId="0" borderId="0" xfId="77" applyFill="1" applyAlignment="1">
      <alignment horizontal="center"/>
    </xf>
    <xf numFmtId="0" fontId="34" fillId="0" borderId="0" xfId="0" applyFont="1" applyAlignment="1">
      <alignment horizontal="centerContinuous"/>
    </xf>
    <xf numFmtId="0" fontId="21" fillId="0" borderId="0" xfId="0" applyFont="1" applyAlignment="1">
      <alignment horizontal="centerContinuous"/>
    </xf>
    <xf numFmtId="0" fontId="23" fillId="0" borderId="0" xfId="51" applyFill="1">
      <alignment horizontal="left"/>
    </xf>
    <xf numFmtId="0" fontId="24" fillId="0" borderId="0" xfId="53" applyFill="1" applyAlignment="1">
      <alignment horizontal="center" wrapText="1"/>
    </xf>
    <xf numFmtId="0" fontId="21" fillId="0" borderId="0" xfId="53" applyFont="1" applyFill="1" applyAlignment="1">
      <alignment horizontal="center" wrapText="1"/>
    </xf>
    <xf numFmtId="10" fontId="33" fillId="0" borderId="0" xfId="69" applyNumberFormat="1" applyFont="1" applyFill="1" applyBorder="1" applyAlignment="1">
      <alignment horizontal="center"/>
    </xf>
    <xf numFmtId="37" fontId="21" fillId="0" borderId="0" xfId="79" applyFill="1" applyBorder="1" applyProtection="1">
      <alignment horizontal="center"/>
      <protection locked="0"/>
    </xf>
    <xf numFmtId="37" fontId="21" fillId="0" borderId="0" xfId="0" applyNumberFormat="1" applyFont="1"/>
    <xf numFmtId="42" fontId="21" fillId="0" borderId="29" xfId="39" applyFont="1" applyFill="1" applyBorder="1" applyAlignment="1" applyProtection="1">
      <alignment horizontal="left"/>
      <protection locked="0"/>
    </xf>
    <xf numFmtId="42" fontId="21" fillId="0" borderId="38" xfId="39" applyFont="1" applyFill="1" applyBorder="1" applyAlignment="1" applyProtection="1">
      <alignment horizontal="left"/>
      <protection locked="0"/>
    </xf>
    <xf numFmtId="42" fontId="21" fillId="0" borderId="68" xfId="39" applyFont="1" applyFill="1" applyBorder="1" applyAlignment="1" applyProtection="1">
      <alignment horizontal="left"/>
      <protection locked="0"/>
    </xf>
    <xf numFmtId="37" fontId="21" fillId="0" borderId="29" xfId="35" applyFill="1" applyBorder="1" applyProtection="1">
      <alignment horizontal="center"/>
      <protection locked="0"/>
    </xf>
    <xf numFmtId="0" fontId="0" fillId="0" borderId="11" xfId="0" applyBorder="1"/>
    <xf numFmtId="0" fontId="0" fillId="0" borderId="12" xfId="0" applyBorder="1"/>
    <xf numFmtId="0" fontId="0" fillId="0" borderId="13" xfId="0" applyBorder="1"/>
    <xf numFmtId="0" fontId="24" fillId="0" borderId="26" xfId="0" applyFont="1" applyBorder="1" applyAlignment="1">
      <alignment horizontal="center" vertical="center" wrapText="1"/>
    </xf>
    <xf numFmtId="0" fontId="23" fillId="0" borderId="0" xfId="51" applyFill="1" applyAlignment="1">
      <alignment horizontal="centerContinuous"/>
    </xf>
    <xf numFmtId="0" fontId="24" fillId="0" borderId="0" xfId="53" applyFill="1" applyAlignment="1">
      <alignment horizontal="center"/>
    </xf>
    <xf numFmtId="0" fontId="24" fillId="0" borderId="0" xfId="53" applyFill="1" applyAlignment="1">
      <alignment horizontal="centerContinuous"/>
    </xf>
    <xf numFmtId="0" fontId="24" fillId="0" borderId="0" xfId="53" applyFill="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xf>
    <xf numFmtId="37" fontId="21" fillId="0" borderId="0" xfId="35" applyFill="1" applyBorder="1" applyProtection="1">
      <alignment horizontal="center"/>
      <protection locked="0"/>
    </xf>
    <xf numFmtId="169" fontId="21" fillId="0" borderId="0" xfId="36" applyFill="1" applyBorder="1" applyAlignment="1">
      <alignment horizontal="center"/>
    </xf>
    <xf numFmtId="165" fontId="33" fillId="0" borderId="0" xfId="69" applyNumberFormat="1" applyFont="1" applyFill="1" applyBorder="1" applyAlignment="1">
      <alignment horizontal="center"/>
    </xf>
    <xf numFmtId="42" fontId="21" fillId="0" borderId="0" xfId="38" applyFont="1" applyFill="1" applyBorder="1"/>
    <xf numFmtId="0" fontId="24" fillId="0" borderId="0" xfId="0" applyFont="1" applyAlignment="1">
      <alignment horizontal="center"/>
    </xf>
    <xf numFmtId="0" fontId="51" fillId="0" borderId="0" xfId="0" applyFont="1" applyAlignment="1">
      <alignment horizontal="left" vertical="center"/>
    </xf>
    <xf numFmtId="0" fontId="52" fillId="0" borderId="0" xfId="0" applyFont="1" applyAlignment="1">
      <alignment horizontal="left" vertical="center"/>
    </xf>
    <xf numFmtId="0" fontId="21" fillId="27" borderId="4" xfId="59" applyAlignment="1">
      <alignment horizontal="center"/>
      <protection locked="0"/>
    </xf>
    <xf numFmtId="0" fontId="18" fillId="0" borderId="0" xfId="77" applyFont="1" applyFill="1">
      <alignment horizontal="left"/>
    </xf>
    <xf numFmtId="0" fontId="21" fillId="0" borderId="0" xfId="0" applyFont="1" applyAlignment="1">
      <alignment horizontal="right"/>
    </xf>
    <xf numFmtId="173" fontId="21" fillId="27" borderId="4" xfId="59" applyNumberFormat="1" applyAlignment="1">
      <alignment horizontal="center"/>
      <protection locked="0"/>
    </xf>
    <xf numFmtId="0" fontId="57" fillId="0" borderId="0" xfId="0" applyFont="1" applyAlignment="1" applyProtection="1">
      <alignment horizontal="left"/>
      <protection hidden="1"/>
    </xf>
    <xf numFmtId="0" fontId="58" fillId="0" borderId="0" xfId="0" applyFont="1" applyProtection="1">
      <protection hidden="1"/>
    </xf>
    <xf numFmtId="0" fontId="39" fillId="0" borderId="0" xfId="0" applyFont="1"/>
    <xf numFmtId="0" fontId="28" fillId="0" borderId="0" xfId="0" applyFont="1" applyAlignment="1">
      <alignment horizontal="left"/>
    </xf>
    <xf numFmtId="0" fontId="28" fillId="0" borderId="0" xfId="0" applyFont="1" applyAlignment="1">
      <alignment horizontal="left" vertical="center"/>
    </xf>
    <xf numFmtId="0" fontId="59" fillId="0" borderId="0" xfId="0" quotePrefix="1" applyFont="1"/>
    <xf numFmtId="0" fontId="59" fillId="0" borderId="0" xfId="0" quotePrefix="1" applyFont="1" applyAlignment="1">
      <alignment horizontal="left"/>
    </xf>
    <xf numFmtId="0" fontId="59" fillId="0" borderId="0" xfId="0" quotePrefix="1" applyFont="1" applyAlignment="1">
      <alignment horizontal="right"/>
    </xf>
    <xf numFmtId="0" fontId="60" fillId="0" borderId="0" xfId="0" quotePrefix="1" applyFont="1" applyAlignment="1">
      <alignment horizontal="left" indent="1"/>
    </xf>
    <xf numFmtId="0" fontId="28" fillId="0" borderId="0" xfId="0" applyFont="1" applyAlignment="1">
      <alignment vertical="center"/>
    </xf>
    <xf numFmtId="167" fontId="21" fillId="0" borderId="0" xfId="76" quotePrefix="1"/>
    <xf numFmtId="0" fontId="24" fillId="28" borderId="7" xfId="68" applyAlignment="1">
      <alignment horizontal="center"/>
    </xf>
    <xf numFmtId="167" fontId="24" fillId="0" borderId="0" xfId="76" quotePrefix="1" applyFont="1"/>
    <xf numFmtId="0" fontId="28" fillId="0" borderId="11" xfId="0" applyFont="1" applyBorder="1"/>
    <xf numFmtId="0" fontId="28" fillId="0" borderId="12" xfId="0" applyFont="1" applyBorder="1"/>
    <xf numFmtId="0" fontId="21" fillId="0" borderId="88" xfId="0" applyFont="1" applyBorder="1"/>
    <xf numFmtId="0" fontId="21" fillId="0" borderId="83" xfId="0" applyFont="1" applyBorder="1"/>
    <xf numFmtId="0" fontId="24" fillId="0" borderId="0" xfId="0" applyFont="1" applyAlignment="1">
      <alignment horizontal="left"/>
    </xf>
    <xf numFmtId="0" fontId="63" fillId="0" borderId="0" xfId="0" applyFont="1" applyAlignment="1" applyProtection="1">
      <alignment horizontal="left" vertical="center"/>
      <protection hidden="1"/>
    </xf>
    <xf numFmtId="0" fontId="24" fillId="0" borderId="90" xfId="53" applyFill="1" applyBorder="1">
      <alignment horizontal="left"/>
    </xf>
    <xf numFmtId="0" fontId="22" fillId="0" borderId="91" xfId="77" applyFill="1" applyBorder="1" applyAlignment="1">
      <alignment horizontal="right"/>
    </xf>
    <xf numFmtId="0" fontId="22" fillId="0" borderId="47" xfId="77" applyFill="1" applyBorder="1" applyAlignment="1">
      <alignment horizontal="right"/>
    </xf>
    <xf numFmtId="0" fontId="22" fillId="0" borderId="48" xfId="77" applyFill="1" applyBorder="1" applyAlignment="1">
      <alignment horizontal="right"/>
    </xf>
    <xf numFmtId="0" fontId="21" fillId="27" borderId="90" xfId="59" applyBorder="1">
      <alignment horizontal="left"/>
      <protection locked="0"/>
    </xf>
    <xf numFmtId="0" fontId="21" fillId="27" borderId="91" xfId="59" applyBorder="1">
      <alignment horizontal="left"/>
      <protection locked="0"/>
    </xf>
    <xf numFmtId="0" fontId="21" fillId="27" borderId="48" xfId="59" applyBorder="1">
      <alignment horizontal="left"/>
      <protection locked="0"/>
    </xf>
    <xf numFmtId="0" fontId="21" fillId="27" borderId="92" xfId="59" applyBorder="1" applyAlignment="1">
      <alignment horizontal="left" wrapText="1"/>
      <protection locked="0"/>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4" fillId="0" borderId="90" xfId="53" applyFill="1" applyBorder="1" applyAlignment="1">
      <alignment horizontal="center"/>
    </xf>
    <xf numFmtId="0" fontId="0" fillId="0" borderId="87" xfId="0" applyBorder="1"/>
    <xf numFmtId="0" fontId="0" fillId="0" borderId="88" xfId="0" applyBorder="1"/>
    <xf numFmtId="0" fontId="0" fillId="0" borderId="89" xfId="0" applyBorder="1"/>
    <xf numFmtId="0" fontId="24" fillId="0" borderId="37" xfId="53" applyBorder="1" applyAlignment="1">
      <alignment horizontal="center" vertical="center" wrapText="1"/>
    </xf>
    <xf numFmtId="0" fontId="24" fillId="0" borderId="42" xfId="53" applyBorder="1" applyAlignment="1">
      <alignment horizontal="center" vertical="center" wrapText="1"/>
    </xf>
    <xf numFmtId="42" fontId="21" fillId="27" borderId="42" xfId="39" applyFont="1" applyFill="1" applyBorder="1" applyAlignment="1" applyProtection="1">
      <alignment horizontal="left"/>
      <protection locked="0"/>
    </xf>
    <xf numFmtId="42" fontId="21" fillId="27" borderId="43" xfId="39" applyFont="1" applyFill="1" applyBorder="1" applyAlignment="1" applyProtection="1">
      <alignment horizontal="left"/>
      <protection locked="0"/>
    </xf>
    <xf numFmtId="42" fontId="24" fillId="0" borderId="89" xfId="0" applyNumberFormat="1" applyFont="1" applyBorder="1"/>
    <xf numFmtId="42" fontId="24" fillId="0" borderId="10" xfId="0" applyNumberFormat="1" applyFont="1" applyBorder="1"/>
    <xf numFmtId="42" fontId="24" fillId="0" borderId="13" xfId="0" applyNumberFormat="1" applyFont="1" applyBorder="1"/>
    <xf numFmtId="42" fontId="21" fillId="27" borderId="37" xfId="39" applyFont="1" applyFill="1" applyBorder="1" applyAlignment="1" applyProtection="1">
      <alignment horizontal="left"/>
      <protection locked="0"/>
    </xf>
    <xf numFmtId="42" fontId="21" fillId="27" borderId="38" xfId="39" applyFont="1" applyFill="1" applyBorder="1" applyAlignment="1" applyProtection="1">
      <alignment horizontal="left"/>
      <protection locked="0"/>
    </xf>
    <xf numFmtId="0" fontId="23" fillId="0" borderId="9" xfId="52" applyBorder="1">
      <alignment horizontal="left"/>
    </xf>
    <xf numFmtId="0" fontId="21" fillId="0" borderId="0" xfId="0" applyFont="1" applyAlignment="1" applyProtection="1">
      <alignment horizontal="left"/>
      <protection hidden="1"/>
    </xf>
    <xf numFmtId="0" fontId="21" fillId="0" borderId="0" xfId="0" applyFont="1" applyAlignment="1" applyProtection="1">
      <alignment horizontal="left"/>
      <protection locked="0"/>
    </xf>
    <xf numFmtId="0" fontId="29" fillId="0" borderId="9" xfId="0" applyFont="1" applyBorder="1" applyAlignment="1">
      <alignment horizontal="center" wrapText="1"/>
    </xf>
    <xf numFmtId="6" fontId="39" fillId="0" borderId="11" xfId="0" applyNumberFormat="1" applyFont="1" applyBorder="1" applyAlignment="1">
      <alignment horizontal="center" vertical="center" wrapText="1"/>
    </xf>
    <xf numFmtId="0" fontId="39" fillId="0" borderId="48" xfId="0" applyFont="1" applyBorder="1" applyAlignment="1">
      <alignment vertical="center"/>
    </xf>
    <xf numFmtId="0" fontId="29" fillId="0" borderId="77" xfId="0" applyFont="1" applyBorder="1" applyAlignment="1">
      <alignment horizontal="center" wrapText="1"/>
    </xf>
    <xf numFmtId="0" fontId="29" fillId="0" borderId="78" xfId="0" applyFont="1" applyBorder="1" applyAlignment="1">
      <alignment horizontal="center" wrapText="1"/>
    </xf>
    <xf numFmtId="0" fontId="29" fillId="0" borderId="44" xfId="0" applyFont="1" applyBorder="1" applyAlignment="1">
      <alignment horizontal="center" wrapText="1"/>
    </xf>
    <xf numFmtId="0" fontId="29" fillId="0" borderId="47" xfId="0" applyFont="1" applyBorder="1"/>
    <xf numFmtId="10" fontId="0" fillId="0" borderId="0" xfId="0" applyNumberFormat="1"/>
    <xf numFmtId="0" fontId="29" fillId="0" borderId="99" xfId="0" applyFont="1" applyBorder="1" applyAlignment="1">
      <alignment horizontal="center" wrapText="1"/>
    </xf>
    <xf numFmtId="0" fontId="39" fillId="0" borderId="11" xfId="0" applyFont="1" applyBorder="1" applyAlignment="1">
      <alignment vertical="center"/>
    </xf>
    <xf numFmtId="0" fontId="41" fillId="0" borderId="48" xfId="0" applyFont="1" applyBorder="1" applyAlignment="1">
      <alignment horizontal="center" vertical="center"/>
    </xf>
    <xf numFmtId="0" fontId="41" fillId="0" borderId="63" xfId="0" applyFont="1" applyBorder="1" applyAlignment="1">
      <alignment horizontal="center" vertical="center"/>
    </xf>
    <xf numFmtId="0" fontId="41" fillId="0" borderId="46" xfId="0" applyFont="1" applyBorder="1" applyAlignment="1">
      <alignment horizontal="center" vertical="center"/>
    </xf>
    <xf numFmtId="10" fontId="39" fillId="0" borderId="42" xfId="31" applyNumberFormat="1" applyFont="1" applyBorder="1" applyAlignment="1">
      <alignment horizontal="center"/>
    </xf>
    <xf numFmtId="6" fontId="41" fillId="0" borderId="63" xfId="0" applyNumberFormat="1" applyFont="1" applyBorder="1" applyAlignment="1">
      <alignment horizontal="center" vertical="center" wrapText="1"/>
    </xf>
    <xf numFmtId="167" fontId="21" fillId="0" borderId="0" xfId="76" applyAlignment="1">
      <alignment horizontal="center" vertical="center"/>
    </xf>
    <xf numFmtId="0" fontId="24" fillId="25" borderId="0" xfId="53" applyFill="1" applyAlignment="1">
      <alignment horizontal="center" wrapText="1"/>
    </xf>
    <xf numFmtId="0" fontId="24" fillId="25" borderId="0" xfId="53" applyFill="1" applyAlignment="1">
      <alignment horizontal="center" vertical="center" wrapText="1"/>
    </xf>
    <xf numFmtId="37" fontId="22" fillId="25" borderId="0" xfId="35" applyFont="1" applyFill="1" applyBorder="1" applyAlignment="1">
      <alignment horizontal="center" vertical="center"/>
    </xf>
    <xf numFmtId="0" fontId="24" fillId="25" borderId="0" xfId="53" applyFill="1" applyAlignment="1">
      <alignment horizontal="right" vertical="top"/>
    </xf>
    <xf numFmtId="37" fontId="31" fillId="25" borderId="0" xfId="35" applyFont="1" applyFill="1" applyBorder="1" applyAlignment="1">
      <alignment horizontal="center" vertical="center"/>
    </xf>
    <xf numFmtId="9" fontId="24"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4" fillId="25" borderId="0" xfId="53" applyFill="1" applyAlignment="1">
      <alignment horizontal="center" vertical="top"/>
    </xf>
    <xf numFmtId="168"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37" fontId="22" fillId="0" borderId="0" xfId="35" applyFont="1" applyFill="1" applyBorder="1" applyAlignment="1" applyProtection="1">
      <alignment horizontal="center" vertical="center"/>
      <protection locked="0"/>
    </xf>
    <xf numFmtId="0" fontId="22" fillId="0" borderId="0" xfId="77" quotePrefix="1" applyFill="1">
      <alignment horizontal="left"/>
    </xf>
    <xf numFmtId="0" fontId="0" fillId="0" borderId="0" xfId="0" applyAlignment="1">
      <alignment horizontal="center"/>
    </xf>
    <xf numFmtId="0" fontId="59" fillId="34" borderId="0" xfId="0" quotePrefix="1" applyFont="1" applyFill="1" applyAlignment="1">
      <alignment horizontal="left"/>
    </xf>
    <xf numFmtId="0" fontId="60" fillId="34" borderId="0" xfId="0" quotePrefix="1" applyFont="1" applyFill="1" applyAlignment="1">
      <alignment horizontal="left" indent="1"/>
    </xf>
    <xf numFmtId="0" fontId="59" fillId="34" borderId="0" xfId="0" quotePrefix="1" applyFont="1" applyFill="1"/>
    <xf numFmtId="0" fontId="65" fillId="0" borderId="0" xfId="0" applyFont="1"/>
    <xf numFmtId="167" fontId="21" fillId="0" borderId="9" xfId="76" quotePrefix="1" applyBorder="1"/>
    <xf numFmtId="167" fontId="24" fillId="0" borderId="9" xfId="76" quotePrefix="1" applyFont="1" applyBorder="1"/>
    <xf numFmtId="0" fontId="0" fillId="34" borderId="0" xfId="0" applyFill="1" applyAlignment="1">
      <alignment horizontal="center"/>
    </xf>
    <xf numFmtId="0" fontId="22" fillId="34" borderId="0" xfId="77" quotePrefix="1" applyFill="1">
      <alignment horizontal="left"/>
    </xf>
    <xf numFmtId="0" fontId="64" fillId="34" borderId="90" xfId="77" applyFont="1" applyFill="1" applyBorder="1" applyAlignment="1">
      <alignment horizontal="center"/>
    </xf>
    <xf numFmtId="0" fontId="64" fillId="0" borderId="90" xfId="77" applyFont="1" applyFill="1" applyBorder="1" applyAlignment="1">
      <alignment horizontal="center"/>
    </xf>
    <xf numFmtId="0" fontId="68" fillId="34" borderId="90" xfId="77" quotePrefix="1" applyFont="1" applyFill="1" applyBorder="1" applyAlignment="1">
      <alignment horizontal="center"/>
    </xf>
    <xf numFmtId="0" fontId="22" fillId="34" borderId="90" xfId="77" quotePrefix="1" applyFill="1" applyBorder="1" applyAlignment="1">
      <alignment horizontal="center" vertical="center"/>
    </xf>
    <xf numFmtId="0" fontId="67" fillId="34" borderId="90" xfId="77" quotePrefix="1" applyFont="1" applyFill="1" applyBorder="1" applyAlignment="1">
      <alignment horizontal="center"/>
    </xf>
    <xf numFmtId="0" fontId="0" fillId="0" borderId="92" xfId="0" applyBorder="1"/>
    <xf numFmtId="0" fontId="0" fillId="0" borderId="93" xfId="0" applyBorder="1"/>
    <xf numFmtId="0" fontId="0" fillId="0" borderId="94" xfId="0" applyBorder="1"/>
    <xf numFmtId="0" fontId="67" fillId="0" borderId="90" xfId="77" quotePrefix="1" applyFont="1" applyFill="1" applyBorder="1" applyAlignment="1">
      <alignment horizontal="center"/>
    </xf>
    <xf numFmtId="0" fontId="22" fillId="0" borderId="47" xfId="77" applyFill="1" applyBorder="1" applyAlignment="1" applyProtection="1">
      <alignment horizontal="right"/>
      <protection locked="0"/>
    </xf>
    <xf numFmtId="0" fontId="22" fillId="0" borderId="48" xfId="77" applyFill="1" applyBorder="1" applyAlignment="1" applyProtection="1">
      <alignment horizontal="right"/>
      <protection locked="0"/>
    </xf>
    <xf numFmtId="0" fontId="24" fillId="0" borderId="90" xfId="53" applyFill="1" applyBorder="1" applyAlignment="1" applyProtection="1">
      <alignment horizontal="center"/>
      <protection locked="0"/>
    </xf>
    <xf numFmtId="37" fontId="21" fillId="27" borderId="37" xfId="79" applyBorder="1" applyProtection="1">
      <alignment horizontal="center"/>
      <protection locked="0"/>
    </xf>
    <xf numFmtId="37" fontId="21" fillId="27" borderId="38" xfId="79" applyBorder="1" applyProtection="1">
      <alignment horizontal="center"/>
      <protection locked="0"/>
    </xf>
    <xf numFmtId="37" fontId="24" fillId="28" borderId="7" xfId="68" applyNumberFormat="1" applyAlignment="1" applyProtection="1">
      <alignment horizontal="center"/>
    </xf>
    <xf numFmtId="42" fontId="4" fillId="0" borderId="73" xfId="69" applyNumberFormat="1" applyFont="1" applyBorder="1" applyAlignment="1">
      <alignment horizontal="center" vertical="center"/>
    </xf>
    <xf numFmtId="10" fontId="4" fillId="0" borderId="38" xfId="69" applyNumberFormat="1" applyFont="1" applyBorder="1" applyAlignment="1">
      <alignment horizontal="center" vertical="center"/>
    </xf>
    <xf numFmtId="0" fontId="37" fillId="25" borderId="18" xfId="0" applyFont="1" applyFill="1" applyBorder="1"/>
    <xf numFmtId="0" fontId="37" fillId="25" borderId="76" xfId="0" applyFont="1" applyFill="1" applyBorder="1"/>
    <xf numFmtId="0" fontId="21" fillId="27" borderId="90" xfId="0" applyFont="1" applyFill="1" applyBorder="1" applyAlignment="1" applyProtection="1">
      <alignment horizontal="center" vertical="center"/>
      <protection locked="0"/>
    </xf>
    <xf numFmtId="43" fontId="21" fillId="22" borderId="62" xfId="86" applyFont="1" applyFill="1" applyBorder="1" applyAlignment="1" applyProtection="1">
      <alignment horizontal="left"/>
      <protection locked="0"/>
    </xf>
    <xf numFmtId="42" fontId="21" fillId="22" borderId="90" xfId="38" applyFont="1" applyFill="1" applyBorder="1" applyAlignment="1" applyProtection="1">
      <alignment horizontal="left"/>
      <protection locked="0"/>
    </xf>
    <xf numFmtId="37" fontId="21" fillId="22" borderId="90" xfId="35" applyFill="1" applyBorder="1" applyProtection="1">
      <alignment horizontal="center"/>
      <protection locked="0"/>
    </xf>
    <xf numFmtId="0" fontId="21" fillId="27" borderId="94" xfId="59" applyBorder="1">
      <alignment horizontal="left"/>
      <protection locked="0"/>
    </xf>
    <xf numFmtId="0" fontId="21" fillId="25" borderId="35" xfId="0" applyFont="1" applyFill="1" applyBorder="1" applyAlignment="1">
      <alignment horizontal="center" vertical="center" wrapText="1"/>
    </xf>
    <xf numFmtId="0" fontId="21" fillId="25" borderId="88" xfId="0" applyFont="1" applyFill="1" applyBorder="1" applyAlignment="1">
      <alignment horizontal="center" vertical="center" wrapText="1"/>
    </xf>
    <xf numFmtId="0" fontId="21" fillId="25" borderId="89" xfId="0" applyFont="1" applyFill="1" applyBorder="1" applyAlignment="1">
      <alignment horizontal="center" vertical="center" wrapText="1"/>
    </xf>
    <xf numFmtId="0" fontId="21" fillId="25" borderId="87" xfId="0" applyFont="1" applyFill="1" applyBorder="1" applyAlignment="1">
      <alignment horizontal="center" vertical="center" wrapText="1"/>
    </xf>
    <xf numFmtId="0" fontId="21" fillId="25" borderId="71" xfId="0" applyFont="1" applyFill="1" applyBorder="1" applyAlignment="1">
      <alignment horizontal="center" vertical="center" wrapText="1"/>
    </xf>
    <xf numFmtId="0" fontId="21" fillId="25" borderId="45" xfId="0" applyFont="1" applyFill="1" applyBorder="1" applyAlignment="1">
      <alignment horizontal="center" vertical="center" wrapText="1"/>
    </xf>
    <xf numFmtId="0" fontId="21" fillId="25" borderId="10" xfId="0" applyFont="1" applyFill="1" applyBorder="1" applyAlignment="1">
      <alignment horizontal="center" vertical="center" wrapText="1"/>
    </xf>
    <xf numFmtId="0" fontId="21" fillId="25" borderId="9" xfId="0" applyFont="1" applyFill="1" applyBorder="1" applyAlignment="1">
      <alignment horizontal="center" vertical="center" wrapText="1"/>
    </xf>
    <xf numFmtId="0" fontId="21" fillId="25" borderId="66" xfId="0" applyFont="1" applyFill="1" applyBorder="1" applyAlignment="1">
      <alignment horizontal="center" vertical="center" wrapText="1"/>
    </xf>
    <xf numFmtId="0" fontId="4" fillId="25" borderId="59" xfId="0" applyFont="1" applyFill="1" applyBorder="1"/>
    <xf numFmtId="0" fontId="4" fillId="25" borderId="67" xfId="0" applyFont="1" applyFill="1" applyBorder="1"/>
    <xf numFmtId="0" fontId="4" fillId="25" borderId="32" xfId="0" applyFont="1" applyFill="1" applyBorder="1"/>
    <xf numFmtId="0" fontId="4" fillId="25" borderId="85" xfId="0" applyFont="1" applyFill="1" applyBorder="1"/>
    <xf numFmtId="0" fontId="4" fillId="25" borderId="60" xfId="0" applyFont="1" applyFill="1" applyBorder="1"/>
    <xf numFmtId="0" fontId="4" fillId="0" borderId="87" xfId="0" applyFont="1" applyBorder="1"/>
    <xf numFmtId="0" fontId="4" fillId="0" borderId="88" xfId="0" applyFont="1" applyBorder="1"/>
    <xf numFmtId="0" fontId="4" fillId="0" borderId="89" xfId="0" applyFont="1" applyBorder="1"/>
    <xf numFmtId="0" fontId="4" fillId="0" borderId="9" xfId="0" applyFont="1" applyBorder="1"/>
    <xf numFmtId="0" fontId="4" fillId="0" borderId="10" xfId="0" applyFont="1" applyBorder="1"/>
    <xf numFmtId="0" fontId="4" fillId="0" borderId="0" xfId="0" applyFont="1" applyAlignment="1">
      <alignment wrapText="1"/>
    </xf>
    <xf numFmtId="0" fontId="4" fillId="0" borderId="0" xfId="0" applyFont="1"/>
    <xf numFmtId="0" fontId="4" fillId="0" borderId="0" xfId="0" applyFont="1" applyAlignment="1">
      <alignment horizontal="center"/>
    </xf>
    <xf numFmtId="0" fontId="21" fillId="32" borderId="90" xfId="59" applyFill="1" applyBorder="1">
      <alignment horizontal="left"/>
      <protection locked="0"/>
    </xf>
    <xf numFmtId="0" fontId="4" fillId="0" borderId="0" xfId="51" applyFont="1">
      <alignment horizontal="left"/>
    </xf>
    <xf numFmtId="0" fontId="4" fillId="0" borderId="13" xfId="0" applyFont="1" applyBorder="1"/>
    <xf numFmtId="0" fontId="21" fillId="0" borderId="92" xfId="0" applyFont="1" applyBorder="1"/>
    <xf numFmtId="0" fontId="21" fillId="0" borderId="93" xfId="0" applyFont="1" applyBorder="1"/>
    <xf numFmtId="0" fontId="21" fillId="0" borderId="94" xfId="0" applyFont="1" applyBorder="1"/>
    <xf numFmtId="0" fontId="21" fillId="0" borderId="87" xfId="0" applyFont="1" applyBorder="1"/>
    <xf numFmtId="0" fontId="21" fillId="0" borderId="89" xfId="0" applyFont="1" applyBorder="1"/>
    <xf numFmtId="0" fontId="56" fillId="27" borderId="92" xfId="59" applyFont="1" applyBorder="1" applyAlignment="1" applyProtection="1">
      <alignment horizontal="left" indent="1"/>
      <protection hidden="1"/>
    </xf>
    <xf numFmtId="0" fontId="21" fillId="0" borderId="90" xfId="0" applyFont="1" applyBorder="1" applyAlignment="1">
      <alignment horizontal="center" textRotation="90"/>
    </xf>
    <xf numFmtId="42" fontId="21" fillId="22" borderId="90" xfId="39" applyFont="1" applyFill="1" applyBorder="1" applyAlignment="1" applyProtection="1">
      <alignment horizontal="left"/>
      <protection locked="0"/>
    </xf>
    <xf numFmtId="42" fontId="21" fillId="22" borderId="91" xfId="38" applyFont="1" applyFill="1" applyBorder="1" applyAlignment="1" applyProtection="1">
      <alignment horizontal="left"/>
      <protection locked="0"/>
    </xf>
    <xf numFmtId="167" fontId="21" fillId="0" borderId="90" xfId="76" applyBorder="1"/>
    <xf numFmtId="0" fontId="22" fillId="0" borderId="90" xfId="77" applyFill="1" applyBorder="1">
      <alignment horizontal="left"/>
    </xf>
    <xf numFmtId="42" fontId="21" fillId="22" borderId="90" xfId="39" applyFont="1" applyFill="1" applyBorder="1" applyAlignment="1" applyProtection="1">
      <alignment horizontal="left" vertical="center"/>
      <protection locked="0"/>
    </xf>
    <xf numFmtId="42" fontId="21" fillId="0" borderId="90" xfId="0" applyNumberFormat="1" applyFont="1" applyBorder="1" applyAlignment="1">
      <alignment vertical="center"/>
    </xf>
    <xf numFmtId="9" fontId="21" fillId="0" borderId="90" xfId="69" applyFont="1" applyBorder="1" applyAlignment="1">
      <alignment horizontal="center" vertical="center"/>
    </xf>
    <xf numFmtId="42" fontId="21" fillId="22" borderId="90" xfId="38" applyFont="1" applyFill="1" applyBorder="1" applyAlignment="1" applyProtection="1">
      <alignment horizontal="left" vertical="center"/>
      <protection locked="0"/>
    </xf>
    <xf numFmtId="0" fontId="22" fillId="0" borderId="90" xfId="77" applyFill="1" applyBorder="1" applyAlignment="1">
      <alignment horizontal="left" indent="1"/>
    </xf>
    <xf numFmtId="42" fontId="21" fillId="0" borderId="90" xfId="38" applyFont="1" applyBorder="1"/>
    <xf numFmtId="42" fontId="21" fillId="0" borderId="91" xfId="38" applyFont="1" applyBorder="1"/>
    <xf numFmtId="0" fontId="24" fillId="0" borderId="91" xfId="53" applyBorder="1" applyAlignment="1">
      <alignment horizontal="center" wrapText="1"/>
    </xf>
    <xf numFmtId="0" fontId="24" fillId="0" borderId="91" xfId="53" applyBorder="1" applyAlignment="1">
      <alignment horizontal="center" vertical="center" wrapText="1"/>
    </xf>
    <xf numFmtId="42" fontId="21" fillId="27" borderId="90" xfId="39" applyFont="1" applyFill="1" applyBorder="1" applyAlignment="1" applyProtection="1">
      <alignment horizontal="left"/>
      <protection locked="0"/>
    </xf>
    <xf numFmtId="37" fontId="21" fillId="22" borderId="91" xfId="35" applyFill="1" applyBorder="1" applyProtection="1">
      <alignment horizontal="center"/>
      <protection locked="0"/>
    </xf>
    <xf numFmtId="0" fontId="23" fillId="0" borderId="90" xfId="51" applyFill="1" applyBorder="1">
      <alignment horizontal="left"/>
    </xf>
    <xf numFmtId="0" fontId="24" fillId="0" borderId="90" xfId="53" applyFill="1" applyBorder="1" applyAlignment="1">
      <alignment horizontal="left" vertical="top"/>
    </xf>
    <xf numFmtId="0" fontId="24" fillId="0" borderId="90" xfId="53" applyFill="1" applyBorder="1" applyAlignment="1">
      <alignment horizontal="left" vertical="top" wrapText="1"/>
    </xf>
    <xf numFmtId="0" fontId="24" fillId="25" borderId="90" xfId="53" applyFill="1" applyBorder="1" applyAlignment="1">
      <alignment horizontal="center"/>
    </xf>
    <xf numFmtId="0" fontId="29" fillId="0" borderId="90" xfId="0" applyFont="1" applyBorder="1"/>
    <xf numFmtId="0" fontId="29" fillId="0" borderId="90" xfId="0" applyFont="1" applyBorder="1" applyAlignment="1">
      <alignment horizontal="center" wrapText="1"/>
    </xf>
    <xf numFmtId="0" fontId="0" fillId="0" borderId="90" xfId="0" applyBorder="1"/>
    <xf numFmtId="42" fontId="0" fillId="0" borderId="90" xfId="0" applyNumberFormat="1" applyBorder="1"/>
    <xf numFmtId="42" fontId="0" fillId="25" borderId="90" xfId="0" applyNumberFormat="1" applyFill="1" applyBorder="1"/>
    <xf numFmtId="37" fontId="0" fillId="0" borderId="90" xfId="0" applyNumberFormat="1" applyBorder="1"/>
    <xf numFmtId="0" fontId="4" fillId="0" borderId="0" xfId="0" quotePrefix="1" applyFont="1" applyAlignment="1">
      <alignment horizontal="center"/>
    </xf>
    <xf numFmtId="169" fontId="0" fillId="0" borderId="90" xfId="0" applyNumberFormat="1" applyBorder="1"/>
    <xf numFmtId="171" fontId="0" fillId="0" borderId="90" xfId="0" applyNumberFormat="1" applyBorder="1"/>
    <xf numFmtId="0" fontId="29" fillId="0" borderId="90" xfId="0" applyFont="1" applyBorder="1" applyAlignment="1">
      <alignment horizontal="center"/>
    </xf>
    <xf numFmtId="0" fontId="0" fillId="0" borderId="90" xfId="0" applyBorder="1" applyAlignment="1">
      <alignment horizontal="center"/>
    </xf>
    <xf numFmtId="42" fontId="0" fillId="0" borderId="90" xfId="0" applyNumberFormat="1" applyBorder="1" applyAlignment="1">
      <alignment horizontal="center"/>
    </xf>
    <xf numFmtId="39" fontId="0" fillId="0" borderId="90" xfId="0" applyNumberFormat="1" applyBorder="1"/>
    <xf numFmtId="0" fontId="4" fillId="0" borderId="90" xfId="0" applyFont="1" applyBorder="1"/>
    <xf numFmtId="0" fontId="4" fillId="0" borderId="94" xfId="0" applyFont="1" applyBorder="1"/>
    <xf numFmtId="42" fontId="0" fillId="0" borderId="92" xfId="0" applyNumberFormat="1" applyBorder="1" applyAlignment="1">
      <alignment horizontal="center"/>
    </xf>
    <xf numFmtId="37" fontId="4" fillId="0" borderId="0" xfId="0" applyNumberFormat="1" applyFont="1"/>
    <xf numFmtId="37" fontId="4" fillId="0" borderId="38" xfId="31" applyNumberFormat="1" applyFont="1" applyBorder="1" applyAlignment="1">
      <alignment horizontal="center" vertical="center"/>
    </xf>
    <xf numFmtId="37" fontId="4" fillId="0" borderId="43" xfId="31" applyNumberFormat="1" applyFont="1" applyBorder="1" applyAlignment="1">
      <alignment horizontal="center" vertical="center"/>
    </xf>
    <xf numFmtId="42" fontId="4" fillId="0" borderId="38" xfId="69" applyNumberFormat="1" applyFont="1" applyBorder="1" applyAlignment="1">
      <alignment horizontal="center" vertical="center"/>
    </xf>
    <xf numFmtId="42" fontId="4" fillId="0" borderId="64" xfId="69" applyNumberFormat="1" applyFont="1" applyBorder="1" applyAlignment="1">
      <alignment horizontal="center" vertical="center"/>
    </xf>
    <xf numFmtId="42" fontId="4" fillId="0" borderId="55" xfId="69" applyNumberFormat="1" applyFont="1" applyFill="1" applyBorder="1" applyAlignment="1">
      <alignment horizontal="center" vertical="center"/>
    </xf>
    <xf numFmtId="2" fontId="4" fillId="0" borderId="64" xfId="0" applyNumberFormat="1" applyFont="1" applyBorder="1" applyAlignment="1">
      <alignment horizontal="center" vertical="center"/>
    </xf>
    <xf numFmtId="2" fontId="4" fillId="0" borderId="67" xfId="0" applyNumberFormat="1" applyFont="1" applyBorder="1" applyAlignment="1">
      <alignment horizontal="center" vertical="center"/>
    </xf>
    <xf numFmtId="0" fontId="4" fillId="25" borderId="33" xfId="0" applyFont="1" applyFill="1" applyBorder="1"/>
    <xf numFmtId="0" fontId="4" fillId="25" borderId="34" xfId="0" applyFont="1" applyFill="1" applyBorder="1"/>
    <xf numFmtId="0" fontId="4" fillId="0" borderId="41" xfId="0" applyFont="1" applyBorder="1"/>
    <xf numFmtId="0" fontId="4" fillId="0" borderId="33" xfId="0" applyFont="1" applyBorder="1"/>
    <xf numFmtId="0" fontId="4" fillId="0" borderId="45" xfId="0" applyFont="1" applyBorder="1"/>
    <xf numFmtId="0" fontId="4" fillId="0" borderId="34" xfId="0" applyFont="1" applyBorder="1"/>
    <xf numFmtId="42" fontId="4" fillId="0" borderId="59" xfId="0" applyNumberFormat="1" applyFont="1" applyBorder="1" applyAlignment="1">
      <alignment horizontal="left" indent="2"/>
    </xf>
    <xf numFmtId="0" fontId="4" fillId="25" borderId="49" xfId="0" applyFont="1" applyFill="1" applyBorder="1"/>
    <xf numFmtId="0" fontId="4" fillId="0" borderId="67" xfId="0" applyFont="1" applyBorder="1"/>
    <xf numFmtId="0" fontId="24" fillId="0" borderId="89" xfId="53" applyBorder="1" applyAlignment="1">
      <alignment horizontal="center" wrapText="1"/>
    </xf>
    <xf numFmtId="0" fontId="4" fillId="0" borderId="0" xfId="0" applyFont="1" applyAlignment="1">
      <alignment vertical="center"/>
    </xf>
    <xf numFmtId="0" fontId="4" fillId="0" borderId="28" xfId="0" applyFont="1" applyBorder="1" applyAlignment="1">
      <alignment horizontal="center"/>
    </xf>
    <xf numFmtId="172" fontId="39" fillId="0" borderId="94" xfId="69" applyNumberFormat="1" applyFont="1" applyBorder="1" applyAlignment="1">
      <alignment horizontal="center"/>
    </xf>
    <xf numFmtId="41" fontId="39" fillId="0" borderId="94" xfId="31" applyFont="1" applyBorder="1" applyAlignment="1">
      <alignment horizontal="center"/>
    </xf>
    <xf numFmtId="0" fontId="29" fillId="25" borderId="90" xfId="0" applyFont="1" applyFill="1" applyBorder="1" applyAlignment="1">
      <alignment vertical="center"/>
    </xf>
    <xf numFmtId="0" fontId="29" fillId="25" borderId="90" xfId="0" applyFont="1" applyFill="1" applyBorder="1" applyAlignment="1">
      <alignment horizontal="center" wrapText="1"/>
    </xf>
    <xf numFmtId="42" fontId="39" fillId="0" borderId="90" xfId="0" applyNumberFormat="1" applyFont="1" applyBorder="1" applyAlignment="1">
      <alignment vertical="center"/>
    </xf>
    <xf numFmtId="9" fontId="41" fillId="0" borderId="90" xfId="69" applyFont="1" applyBorder="1" applyAlignment="1">
      <alignment horizontal="center" vertical="center"/>
    </xf>
    <xf numFmtId="37" fontId="39" fillId="0" borderId="90" xfId="31" applyNumberFormat="1" applyFont="1" applyBorder="1" applyAlignment="1">
      <alignment horizontal="center" vertical="center"/>
    </xf>
    <xf numFmtId="42" fontId="38" fillId="0" borderId="90" xfId="0" applyNumberFormat="1" applyFont="1" applyBorder="1" applyAlignment="1">
      <alignment vertical="center"/>
    </xf>
    <xf numFmtId="9" fontId="40" fillId="0" borderId="90" xfId="69" applyFont="1" applyBorder="1" applyAlignment="1">
      <alignment horizontal="center" vertical="center"/>
    </xf>
    <xf numFmtId="37" fontId="38" fillId="0" borderId="90" xfId="31" applyNumberFormat="1" applyFont="1" applyBorder="1" applyAlignment="1">
      <alignment horizontal="center" vertical="center"/>
    </xf>
    <xf numFmtId="42" fontId="39" fillId="0" borderId="94" xfId="0" applyNumberFormat="1" applyFont="1" applyBorder="1"/>
    <xf numFmtId="42" fontId="39" fillId="0" borderId="90" xfId="0" applyNumberFormat="1" applyFont="1" applyBorder="1"/>
    <xf numFmtId="42" fontId="39" fillId="0" borderId="89" xfId="0" applyNumberFormat="1" applyFont="1" applyBorder="1"/>
    <xf numFmtId="42" fontId="39" fillId="0" borderId="91" xfId="0" applyNumberFormat="1" applyFont="1" applyBorder="1"/>
    <xf numFmtId="37" fontId="39" fillId="0" borderId="91" xfId="31" applyNumberFormat="1" applyFont="1" applyBorder="1" applyAlignment="1">
      <alignment horizontal="center" vertical="center"/>
    </xf>
    <xf numFmtId="0" fontId="29" fillId="0" borderId="91" xfId="0" applyFont="1" applyBorder="1" applyAlignment="1">
      <alignment horizontal="center" wrapText="1"/>
    </xf>
    <xf numFmtId="0" fontId="24" fillId="0" borderId="89" xfId="53" applyBorder="1" applyAlignment="1">
      <alignment horizontal="center" vertical="center" wrapText="1"/>
    </xf>
    <xf numFmtId="0" fontId="39" fillId="0" borderId="90" xfId="0" applyFont="1" applyBorder="1"/>
    <xf numFmtId="169" fontId="39" fillId="0" borderId="90" xfId="31" applyNumberFormat="1" applyFont="1" applyBorder="1" applyAlignment="1">
      <alignment horizontal="center" vertical="center"/>
    </xf>
    <xf numFmtId="171" fontId="39" fillId="0" borderId="90" xfId="0" applyNumberFormat="1" applyFont="1" applyBorder="1"/>
    <xf numFmtId="42" fontId="21" fillId="0" borderId="92" xfId="38" applyFont="1" applyFill="1" applyBorder="1" applyAlignment="1" applyProtection="1">
      <alignment horizontal="left"/>
      <protection locked="0"/>
    </xf>
    <xf numFmtId="37" fontId="21" fillId="0" borderId="92" xfId="35" applyFill="1" applyBorder="1" applyProtection="1">
      <alignment horizontal="center"/>
      <protection locked="0"/>
    </xf>
    <xf numFmtId="42" fontId="21" fillId="0" borderId="90" xfId="38" applyFont="1" applyFill="1" applyBorder="1" applyAlignment="1" applyProtection="1">
      <alignment horizontal="left"/>
      <protection locked="0"/>
    </xf>
    <xf numFmtId="37" fontId="21" fillId="0" borderId="90" xfId="35" applyFill="1" applyBorder="1" applyProtection="1">
      <alignment horizontal="center"/>
      <protection locked="0"/>
    </xf>
    <xf numFmtId="0" fontId="4" fillId="34" borderId="0" xfId="0" applyFont="1" applyFill="1" applyAlignment="1">
      <alignment horizontal="center"/>
    </xf>
    <xf numFmtId="0" fontId="4" fillId="34" borderId="0" xfId="0" applyFont="1" applyFill="1"/>
    <xf numFmtId="0" fontId="4" fillId="0" borderId="0" xfId="0" applyFont="1" applyAlignment="1">
      <alignment horizontal="right"/>
    </xf>
    <xf numFmtId="0" fontId="4" fillId="0" borderId="90" xfId="0" applyFont="1" applyBorder="1" applyAlignment="1">
      <alignment horizontal="center" wrapText="1"/>
    </xf>
    <xf numFmtId="10" fontId="0" fillId="0" borderId="90" xfId="0" applyNumberFormat="1" applyBorder="1" applyAlignment="1">
      <alignment horizontal="center"/>
    </xf>
    <xf numFmtId="0" fontId="4" fillId="0" borderId="90" xfId="0" applyFont="1" applyBorder="1" applyAlignment="1">
      <alignment horizontal="center"/>
    </xf>
    <xf numFmtId="0" fontId="70" fillId="0" borderId="0" xfId="0" applyFont="1"/>
    <xf numFmtId="174" fontId="21" fillId="22" borderId="37" xfId="38" applyNumberFormat="1" applyFont="1" applyFill="1" applyBorder="1" applyAlignment="1" applyProtection="1">
      <alignment horizontal="left"/>
      <protection locked="0"/>
    </xf>
    <xf numFmtId="42" fontId="21" fillId="27" borderId="42" xfId="92" applyFont="1" applyFill="1" applyBorder="1" applyAlignment="1" applyProtection="1">
      <alignment horizontal="left"/>
      <protection locked="0"/>
    </xf>
    <xf numFmtId="42" fontId="21" fillId="27" borderId="37" xfId="92" applyFont="1" applyFill="1" applyBorder="1" applyAlignment="1" applyProtection="1">
      <alignment horizontal="left"/>
      <protection locked="0"/>
    </xf>
    <xf numFmtId="6" fontId="39" fillId="0" borderId="90" xfId="0" applyNumberFormat="1" applyFont="1" applyBorder="1" applyAlignment="1">
      <alignment vertical="center"/>
    </xf>
    <xf numFmtId="37" fontId="71" fillId="22" borderId="90" xfId="35" applyFont="1" applyFill="1" applyBorder="1" applyProtection="1">
      <alignment horizontal="center"/>
      <protection locked="0"/>
    </xf>
    <xf numFmtId="0" fontId="71" fillId="27" borderId="4" xfId="59" applyFont="1">
      <alignment horizontal="left"/>
      <protection locked="0"/>
    </xf>
    <xf numFmtId="37" fontId="71" fillId="27" borderId="4" xfId="79" applyFont="1" applyProtection="1">
      <alignment horizontal="center"/>
      <protection locked="0"/>
    </xf>
    <xf numFmtId="42" fontId="21" fillId="22" borderId="90" xfId="92" applyFont="1" applyFill="1" applyBorder="1" applyAlignment="1" applyProtection="1">
      <alignment horizontal="left"/>
      <protection locked="0"/>
    </xf>
    <xf numFmtId="172" fontId="21" fillId="22" borderId="90" xfId="38" applyNumberFormat="1" applyFont="1" applyFill="1" applyBorder="1" applyAlignment="1" applyProtection="1">
      <alignment horizontal="left"/>
      <protection locked="0"/>
    </xf>
    <xf numFmtId="172" fontId="39" fillId="0" borderId="53" xfId="69" applyNumberFormat="1" applyFont="1" applyBorder="1" applyAlignment="1">
      <alignment horizontal="center"/>
    </xf>
    <xf numFmtId="42" fontId="27" fillId="0" borderId="0" xfId="0" applyNumberFormat="1" applyFont="1" applyAlignment="1">
      <alignment horizontal="left"/>
    </xf>
    <xf numFmtId="0" fontId="21" fillId="27" borderId="0" xfId="0" applyFont="1" applyFill="1"/>
    <xf numFmtId="0" fontId="36" fillId="0" borderId="36" xfId="53" applyFont="1" applyBorder="1" applyAlignment="1">
      <alignment horizontal="center" wrapText="1"/>
    </xf>
    <xf numFmtId="0" fontId="36" fillId="0" borderId="61" xfId="53" applyFont="1" applyBorder="1" applyAlignment="1">
      <alignment horizontal="center" wrapText="1"/>
    </xf>
    <xf numFmtId="0" fontId="36" fillId="0" borderId="61" xfId="53" applyFont="1" applyBorder="1" applyAlignment="1">
      <alignment horizontal="center"/>
    </xf>
    <xf numFmtId="0" fontId="49" fillId="29" borderId="79" xfId="12">
      <alignment horizontal="center" vertical="center"/>
    </xf>
    <xf numFmtId="0" fontId="21" fillId="25" borderId="53" xfId="0" applyFont="1" applyFill="1" applyBorder="1" applyAlignment="1">
      <alignment horizontal="center" vertical="center" wrapText="1"/>
    </xf>
    <xf numFmtId="0" fontId="21" fillId="25" borderId="93" xfId="0" applyFont="1" applyFill="1" applyBorder="1" applyAlignment="1">
      <alignment horizontal="center" vertical="center" wrapText="1"/>
    </xf>
    <xf numFmtId="0" fontId="21" fillId="25" borderId="94" xfId="0" applyFont="1" applyFill="1" applyBorder="1" applyAlignment="1">
      <alignment horizontal="center" vertical="center" wrapText="1"/>
    </xf>
    <xf numFmtId="0" fontId="21" fillId="25" borderId="0" xfId="0" applyFont="1" applyFill="1" applyAlignment="1">
      <alignment horizontal="center" vertical="center" wrapText="1"/>
    </xf>
    <xf numFmtId="0" fontId="21" fillId="25" borderId="92" xfId="0" applyFont="1" applyFill="1" applyBorder="1" applyAlignment="1">
      <alignment horizontal="center" vertical="center" wrapText="1"/>
    </xf>
    <xf numFmtId="0" fontId="21" fillId="25" borderId="54" xfId="0" applyFont="1" applyFill="1" applyBorder="1" applyAlignment="1">
      <alignment horizontal="center" vertical="center" wrapText="1"/>
    </xf>
    <xf numFmtId="0" fontId="23" fillId="25" borderId="30" xfId="0" applyFont="1" applyFill="1" applyBorder="1" applyAlignment="1">
      <alignment horizontal="center"/>
    </xf>
    <xf numFmtId="0" fontId="23" fillId="25" borderId="24" xfId="0" applyFont="1" applyFill="1" applyBorder="1" applyAlignment="1">
      <alignment horizontal="center"/>
    </xf>
    <xf numFmtId="0" fontId="23" fillId="25" borderId="20" xfId="0" applyFont="1" applyFill="1" applyBorder="1" applyAlignment="1">
      <alignment horizontal="center"/>
    </xf>
    <xf numFmtId="0" fontId="28" fillId="0" borderId="0" xfId="0" applyFont="1" applyAlignment="1">
      <alignment horizontal="left" vertical="top" wrapText="1"/>
    </xf>
    <xf numFmtId="0" fontId="28" fillId="0" borderId="0" xfId="0" applyFont="1" applyAlignment="1">
      <alignment horizontal="left"/>
    </xf>
    <xf numFmtId="0" fontId="18" fillId="31" borderId="0" xfId="12" applyFont="1" applyFill="1" applyBorder="1">
      <alignment horizontal="center" vertical="center"/>
    </xf>
    <xf numFmtId="0" fontId="49" fillId="29" borderId="86" xfId="12" applyBorder="1">
      <alignment horizontal="center" vertical="center"/>
    </xf>
    <xf numFmtId="0" fontId="49" fillId="29" borderId="0" xfId="12" applyBorder="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28" fillId="0" borderId="0" xfId="0" applyFont="1" applyAlignment="1">
      <alignment horizontal="left" wrapText="1"/>
    </xf>
    <xf numFmtId="0" fontId="28" fillId="0" borderId="0" xfId="0" quotePrefix="1" applyFont="1" applyAlignment="1">
      <alignment horizontal="left" vertical="center" wrapText="1"/>
    </xf>
    <xf numFmtId="0" fontId="28" fillId="0" borderId="10" xfId="0" quotePrefix="1" applyFont="1" applyBorder="1" applyAlignment="1">
      <alignment horizontal="left" vertical="center" wrapText="1"/>
    </xf>
    <xf numFmtId="5" fontId="21" fillId="22" borderId="92" xfId="39" applyNumberFormat="1" applyFont="1" applyFill="1" applyBorder="1" applyAlignment="1" applyProtection="1">
      <alignment horizontal="left"/>
      <protection locked="0"/>
    </xf>
    <xf numFmtId="5" fontId="21" fillId="22" borderId="93" xfId="39" applyNumberFormat="1" applyFont="1" applyFill="1" applyBorder="1" applyAlignment="1" applyProtection="1">
      <alignment horizontal="left"/>
      <protection locked="0"/>
    </xf>
    <xf numFmtId="5" fontId="21" fillId="22" borderId="94" xfId="39" applyNumberFormat="1" applyFont="1" applyFill="1" applyBorder="1" applyAlignment="1" applyProtection="1">
      <alignment horizontal="left"/>
      <protection locked="0"/>
    </xf>
    <xf numFmtId="37" fontId="21" fillId="27" borderId="92" xfId="79" applyBorder="1" applyAlignment="1" applyProtection="1">
      <alignment horizontal="left"/>
      <protection locked="0"/>
    </xf>
    <xf numFmtId="37" fontId="21" fillId="27" borderId="93" xfId="79" applyBorder="1" applyAlignment="1" applyProtection="1">
      <alignment horizontal="left"/>
      <protection locked="0"/>
    </xf>
    <xf numFmtId="37" fontId="21" fillId="27" borderId="94" xfId="79" applyBorder="1" applyAlignment="1" applyProtection="1">
      <alignment horizontal="left"/>
      <protection locked="0"/>
    </xf>
    <xf numFmtId="0" fontId="24" fillId="0" borderId="92" xfId="0" applyFont="1" applyBorder="1" applyAlignment="1">
      <alignment horizontal="center" vertical="center"/>
    </xf>
    <xf numFmtId="0" fontId="24" fillId="0" borderId="93" xfId="0" applyFont="1" applyBorder="1" applyAlignment="1">
      <alignment horizontal="center" vertical="center"/>
    </xf>
    <xf numFmtId="0" fontId="24" fillId="0" borderId="94" xfId="0" applyFont="1" applyBorder="1" applyAlignment="1">
      <alignment horizontal="center" vertical="center"/>
    </xf>
    <xf numFmtId="0" fontId="21" fillId="28" borderId="7" xfId="67" applyFont="1" applyAlignment="1">
      <alignment horizontal="center"/>
    </xf>
    <xf numFmtId="0" fontId="24" fillId="0" borderId="0" xfId="0" applyFont="1" applyAlignment="1">
      <alignment horizontal="center"/>
    </xf>
    <xf numFmtId="0" fontId="27" fillId="0" borderId="0" xfId="0" applyFont="1" applyAlignment="1">
      <alignment horizontal="center"/>
    </xf>
    <xf numFmtId="42" fontId="23" fillId="0" borderId="0" xfId="39" applyFont="1" applyFill="1" applyBorder="1" applyAlignment="1" applyProtection="1">
      <alignment horizontal="center"/>
      <protection locked="0"/>
    </xf>
    <xf numFmtId="0" fontId="21" fillId="27" borderId="87" xfId="59" applyBorder="1" applyAlignment="1">
      <alignment horizontal="left" vertical="top"/>
      <protection locked="0"/>
    </xf>
    <xf numFmtId="0" fontId="21" fillId="27" borderId="88" xfId="59" applyBorder="1" applyAlignment="1">
      <alignment horizontal="left" vertical="top"/>
      <protection locked="0"/>
    </xf>
    <xf numFmtId="0" fontId="21" fillId="27" borderId="89" xfId="59" applyBorder="1" applyAlignment="1">
      <alignment horizontal="left" vertical="top"/>
      <protection locked="0"/>
    </xf>
    <xf numFmtId="0" fontId="21" fillId="27" borderId="9" xfId="59" applyBorder="1" applyAlignment="1">
      <alignment horizontal="left" vertical="top"/>
      <protection locked="0"/>
    </xf>
    <xf numFmtId="0" fontId="21" fillId="27" borderId="0" xfId="59" applyBorder="1" applyAlignment="1">
      <alignment horizontal="left" vertical="top"/>
      <protection locked="0"/>
    </xf>
    <xf numFmtId="0" fontId="21" fillId="27" borderId="10" xfId="59" applyBorder="1" applyAlignment="1">
      <alignment horizontal="left" vertical="top"/>
      <protection locked="0"/>
    </xf>
    <xf numFmtId="0" fontId="21" fillId="27" borderId="11" xfId="59" applyBorder="1" applyAlignment="1">
      <alignment horizontal="left" vertical="top"/>
      <protection locked="0"/>
    </xf>
    <xf numFmtId="0" fontId="21" fillId="27" borderId="12" xfId="59" applyBorder="1" applyAlignment="1">
      <alignment horizontal="left" vertical="top"/>
      <protection locked="0"/>
    </xf>
    <xf numFmtId="0" fontId="21" fillId="27" borderId="13" xfId="59" applyBorder="1" applyAlignment="1">
      <alignment horizontal="left" vertical="top"/>
      <protection locked="0"/>
    </xf>
    <xf numFmtId="0" fontId="23" fillId="0" borderId="30" xfId="51" applyBorder="1" applyAlignment="1">
      <alignment horizontal="center" vertical="center"/>
    </xf>
    <xf numFmtId="0" fontId="23" fillId="0" borderId="24" xfId="51" applyBorder="1" applyAlignment="1">
      <alignment horizontal="center" vertical="center"/>
    </xf>
    <xf numFmtId="0" fontId="23" fillId="0" borderId="20" xfId="51" applyBorder="1" applyAlignment="1">
      <alignment horizontal="center" vertical="center"/>
    </xf>
    <xf numFmtId="0" fontId="24" fillId="0" borderId="91" xfId="53" applyBorder="1" applyAlignment="1">
      <alignment horizontal="center" vertical="center" wrapText="1"/>
    </xf>
    <xf numFmtId="0" fontId="24" fillId="0" borderId="48" xfId="53" applyBorder="1" applyAlignment="1">
      <alignment horizontal="center" vertical="center" wrapText="1"/>
    </xf>
    <xf numFmtId="0" fontId="49" fillId="29" borderId="95" xfId="12" applyBorder="1">
      <alignment horizontal="center" vertical="center"/>
    </xf>
    <xf numFmtId="0" fontId="49" fillId="29" borderId="96" xfId="12" applyBorder="1">
      <alignment horizontal="center" vertical="center"/>
    </xf>
    <xf numFmtId="0" fontId="49" fillId="29" borderId="97" xfId="12" applyBorder="1">
      <alignment horizontal="center" vertical="center"/>
    </xf>
    <xf numFmtId="10" fontId="21" fillId="33" borderId="92" xfId="0" applyNumberFormat="1" applyFont="1" applyFill="1" applyBorder="1" applyAlignment="1">
      <alignment horizontal="center"/>
    </xf>
    <xf numFmtId="10" fontId="21" fillId="33" borderId="93" xfId="0" applyNumberFormat="1" applyFont="1" applyFill="1" applyBorder="1" applyAlignment="1">
      <alignment horizontal="center"/>
    </xf>
    <xf numFmtId="10" fontId="21" fillId="33" borderId="94" xfId="0" applyNumberFormat="1" applyFont="1" applyFill="1" applyBorder="1" applyAlignment="1">
      <alignment horizontal="center"/>
    </xf>
    <xf numFmtId="0" fontId="21" fillId="27" borderId="92" xfId="59" applyBorder="1" applyAlignment="1">
      <alignment horizontal="left" wrapText="1"/>
      <protection locked="0"/>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4" fillId="0" borderId="90" xfId="54" applyBorder="1" applyAlignment="1">
      <alignment horizontal="center"/>
    </xf>
    <xf numFmtId="0" fontId="24" fillId="0" borderId="90" xfId="53" applyFill="1" applyBorder="1" applyAlignment="1">
      <alignment horizontal="center"/>
    </xf>
    <xf numFmtId="10" fontId="21" fillId="27" borderId="92" xfId="60" applyNumberFormat="1" applyBorder="1" applyAlignment="1">
      <alignment horizontal="center"/>
      <protection locked="0"/>
    </xf>
    <xf numFmtId="10" fontId="21" fillId="27" borderId="93" xfId="60" applyNumberFormat="1" applyBorder="1" applyAlignment="1">
      <alignment horizontal="center"/>
      <protection locked="0"/>
    </xf>
    <xf numFmtId="10" fontId="21" fillId="27" borderId="94" xfId="60" applyNumberFormat="1" applyBorder="1" applyAlignment="1">
      <alignment horizontal="center"/>
      <protection locked="0"/>
    </xf>
    <xf numFmtId="0" fontId="21" fillId="27" borderId="92" xfId="59" applyBorder="1">
      <alignment horizontal="left"/>
      <protection locked="0"/>
    </xf>
    <xf numFmtId="0" fontId="21" fillId="27" borderId="93" xfId="59" applyBorder="1">
      <alignment horizontal="left"/>
      <protection locked="0"/>
    </xf>
    <xf numFmtId="0" fontId="21" fillId="27" borderId="94" xfId="59" applyBorder="1">
      <alignment horizontal="left"/>
      <protection locked="0"/>
    </xf>
    <xf numFmtId="0" fontId="21" fillId="27" borderId="92" xfId="85" applyBorder="1" applyAlignment="1">
      <alignment horizontal="left" wrapText="1"/>
      <protection locked="0"/>
    </xf>
    <xf numFmtId="0" fontId="21" fillId="27" borderId="93" xfId="85" applyBorder="1" applyAlignment="1">
      <alignment horizontal="left" wrapText="1"/>
      <protection locked="0"/>
    </xf>
    <xf numFmtId="0" fontId="21" fillId="27" borderId="94" xfId="85" applyBorder="1" applyAlignment="1">
      <alignment horizontal="left" wrapText="1"/>
      <protection locked="0"/>
    </xf>
    <xf numFmtId="0" fontId="21" fillId="27" borderId="92" xfId="59" applyBorder="1" applyAlignment="1">
      <alignment horizontal="left" vertical="top" wrapText="1"/>
      <protection locked="0"/>
    </xf>
    <xf numFmtId="0" fontId="21" fillId="27" borderId="93" xfId="59" applyBorder="1" applyAlignment="1">
      <alignment horizontal="left" vertical="top" wrapText="1"/>
      <protection locked="0"/>
    </xf>
    <xf numFmtId="0" fontId="21" fillId="27" borderId="94" xfId="59" applyBorder="1" applyAlignment="1">
      <alignment horizontal="left" vertical="top" wrapText="1"/>
      <protection locked="0"/>
    </xf>
    <xf numFmtId="0" fontId="49" fillId="29" borderId="80" xfId="12" applyBorder="1">
      <alignment horizontal="center" vertical="center"/>
    </xf>
    <xf numFmtId="0" fontId="24" fillId="0" borderId="36" xfId="53" applyBorder="1" applyAlignment="1">
      <alignment horizontal="center"/>
    </xf>
    <xf numFmtId="0" fontId="24" fillId="0" borderId="61" xfId="53" applyBorder="1" applyAlignment="1">
      <alignment horizontal="center"/>
    </xf>
    <xf numFmtId="0" fontId="24" fillId="0" borderId="94" xfId="53" applyBorder="1" applyAlignment="1">
      <alignment horizontal="center" vertical="center" wrapText="1"/>
    </xf>
    <xf numFmtId="0" fontId="23" fillId="0" borderId="0" xfId="51" applyAlignment="1">
      <alignment horizontal="center"/>
    </xf>
    <xf numFmtId="0" fontId="55" fillId="0" borderId="0" xfId="51" applyFont="1" applyAlignment="1">
      <alignment horizontal="left" vertical="center"/>
    </xf>
    <xf numFmtId="0" fontId="24" fillId="25" borderId="30" xfId="51" applyFont="1" applyFill="1" applyBorder="1" applyAlignment="1">
      <alignment horizontal="center"/>
    </xf>
    <xf numFmtId="0" fontId="24" fillId="25" borderId="20" xfId="51" applyFont="1" applyFill="1" applyBorder="1" applyAlignment="1">
      <alignment horizontal="center"/>
    </xf>
    <xf numFmtId="0" fontId="23" fillId="0" borderId="67" xfId="51" applyBorder="1" applyAlignment="1">
      <alignment horizontal="center"/>
    </xf>
    <xf numFmtId="0" fontId="50" fillId="0" borderId="0" xfId="51" applyFont="1" applyAlignment="1">
      <alignment horizontal="center"/>
    </xf>
    <xf numFmtId="0" fontId="21" fillId="0" borderId="92" xfId="51" applyFont="1" applyBorder="1" applyAlignment="1">
      <alignment horizontal="left" vertical="top" wrapText="1"/>
    </xf>
    <xf numFmtId="0" fontId="21" fillId="0" borderId="93" xfId="51" applyFont="1" applyBorder="1" applyAlignment="1">
      <alignment horizontal="left" vertical="top" wrapText="1"/>
    </xf>
    <xf numFmtId="0" fontId="21" fillId="0" borderId="94" xfId="51" applyFont="1" applyBorder="1" applyAlignment="1">
      <alignment horizontal="left" vertical="top" wrapText="1"/>
    </xf>
    <xf numFmtId="0" fontId="24" fillId="25" borderId="90" xfId="51" applyFont="1" applyFill="1" applyBorder="1" applyAlignment="1">
      <alignment horizontal="center"/>
    </xf>
    <xf numFmtId="0" fontId="24" fillId="25" borderId="90" xfId="53" applyFill="1" applyBorder="1" applyAlignment="1">
      <alignment horizontal="center"/>
    </xf>
    <xf numFmtId="0" fontId="4" fillId="0" borderId="92" xfId="0" applyFont="1"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66" fillId="35" borderId="0" xfId="77" applyFont="1" applyFill="1" applyAlignment="1">
      <alignment horizontal="center" vertical="center" wrapText="1"/>
    </xf>
    <xf numFmtId="0" fontId="29" fillId="25" borderId="62"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7" xfId="0" applyFont="1" applyFill="1" applyBorder="1" applyAlignment="1">
      <alignment horizontal="center" vertical="center"/>
    </xf>
    <xf numFmtId="0" fontId="29" fillId="25" borderId="98"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41" xfId="0" applyFont="1" applyFill="1" applyBorder="1" applyAlignment="1">
      <alignment horizontal="center" vertical="center"/>
    </xf>
    <xf numFmtId="0" fontId="29" fillId="25" borderId="15" xfId="0" applyFont="1" applyFill="1" applyBorder="1" applyAlignment="1">
      <alignment horizontal="center" vertical="center"/>
    </xf>
    <xf numFmtId="0" fontId="29" fillId="25" borderId="58" xfId="0" applyFont="1" applyFill="1" applyBorder="1" applyAlignment="1">
      <alignment horizontal="center" vertical="center"/>
    </xf>
    <xf numFmtId="0" fontId="37" fillId="25" borderId="16" xfId="0" applyFont="1" applyFill="1" applyBorder="1" applyAlignment="1">
      <alignment horizontal="center"/>
    </xf>
    <xf numFmtId="0" fontId="37" fillId="25" borderId="18" xfId="0" applyFont="1" applyFill="1" applyBorder="1" applyAlignment="1">
      <alignment horizontal="center"/>
    </xf>
    <xf numFmtId="0" fontId="37" fillId="25" borderId="76" xfId="0" applyFont="1" applyFill="1" applyBorder="1" applyAlignment="1">
      <alignment horizontal="center"/>
    </xf>
    <xf numFmtId="0" fontId="29" fillId="25" borderId="16" xfId="0" applyFont="1" applyFill="1" applyBorder="1" applyAlignment="1">
      <alignment horizontal="center"/>
    </xf>
    <xf numFmtId="0" fontId="29" fillId="25" borderId="76" xfId="0" applyFont="1" applyFill="1" applyBorder="1" applyAlignment="1">
      <alignment horizontal="center"/>
    </xf>
    <xf numFmtId="0" fontId="38" fillId="25" borderId="33" xfId="0" applyFont="1" applyFill="1" applyBorder="1" applyAlignment="1">
      <alignment horizontal="center" vertical="center" wrapText="1"/>
    </xf>
    <xf numFmtId="0" fontId="38" fillId="25" borderId="34" xfId="0" applyFont="1" applyFill="1" applyBorder="1" applyAlignment="1">
      <alignment horizontal="center" vertical="center" wrapText="1"/>
    </xf>
    <xf numFmtId="0" fontId="38" fillId="25" borderId="27" xfId="0" applyFont="1" applyFill="1" applyBorder="1" applyAlignment="1">
      <alignment horizontal="center" vertical="center" wrapText="1"/>
    </xf>
    <xf numFmtId="0" fontId="29" fillId="25" borderId="18" xfId="0" applyFont="1" applyFill="1" applyBorder="1" applyAlignment="1">
      <alignment horizontal="center"/>
    </xf>
    <xf numFmtId="0" fontId="29" fillId="25" borderId="77" xfId="0" applyFont="1" applyFill="1" applyBorder="1" applyAlignment="1">
      <alignment horizontal="center"/>
    </xf>
    <xf numFmtId="0" fontId="29" fillId="25" borderId="78" xfId="0" applyFont="1" applyFill="1" applyBorder="1" applyAlignment="1">
      <alignment horizontal="center"/>
    </xf>
    <xf numFmtId="0" fontId="29" fillId="25" borderId="44" xfId="0" applyFont="1" applyFill="1" applyBorder="1" applyAlignment="1">
      <alignment horizontal="center"/>
    </xf>
    <xf numFmtId="0" fontId="29" fillId="25" borderId="25" xfId="0" applyFont="1" applyFill="1" applyBorder="1" applyAlignment="1">
      <alignment horizontal="center" vertical="center" wrapText="1"/>
    </xf>
    <xf numFmtId="0" fontId="29" fillId="25" borderId="28" xfId="0" applyFont="1" applyFill="1" applyBorder="1" applyAlignment="1">
      <alignment horizontal="center" vertical="center" wrapText="1"/>
    </xf>
    <xf numFmtId="0" fontId="24" fillId="0" borderId="30" xfId="53" applyBorder="1" applyAlignment="1">
      <alignment horizontal="center" wrapText="1"/>
    </xf>
    <xf numFmtId="0" fontId="24" fillId="0" borderId="35" xfId="53" applyBorder="1" applyAlignment="1">
      <alignment horizontal="center" wrapText="1"/>
    </xf>
    <xf numFmtId="0" fontId="38" fillId="0" borderId="36" xfId="0" applyFont="1" applyBorder="1" applyAlignment="1">
      <alignment horizontal="center"/>
    </xf>
    <xf numFmtId="0" fontId="38" fillId="0" borderId="61" xfId="0" applyFont="1" applyBorder="1" applyAlignment="1">
      <alignment horizontal="center"/>
    </xf>
    <xf numFmtId="0" fontId="38" fillId="0" borderId="75" xfId="0" applyFont="1" applyBorder="1" applyAlignment="1">
      <alignment horizontal="center"/>
    </xf>
    <xf numFmtId="0" fontId="21" fillId="27" borderId="16" xfId="59" applyBorder="1">
      <alignment horizontal="left"/>
      <protection locked="0"/>
    </xf>
    <xf numFmtId="0" fontId="21" fillId="27" borderId="18" xfId="59" applyBorder="1">
      <alignment horizontal="left"/>
      <protection locked="0"/>
    </xf>
    <xf numFmtId="0" fontId="21" fillId="27" borderId="76" xfId="59" applyBorder="1">
      <alignment horizontal="left"/>
      <protection locked="0"/>
    </xf>
    <xf numFmtId="0" fontId="29" fillId="25" borderId="90" xfId="0" applyFont="1" applyFill="1" applyBorder="1" applyAlignment="1">
      <alignment horizontal="center" vertical="center"/>
    </xf>
    <xf numFmtId="0" fontId="29" fillId="25" borderId="92" xfId="0" applyFont="1" applyFill="1" applyBorder="1" applyAlignment="1">
      <alignment horizontal="center" vertical="center"/>
    </xf>
    <xf numFmtId="0" fontId="29" fillId="25" borderId="93" xfId="0" applyFont="1" applyFill="1" applyBorder="1" applyAlignment="1">
      <alignment horizontal="center" vertical="center"/>
    </xf>
    <xf numFmtId="0" fontId="29" fillId="25" borderId="94" xfId="0" applyFont="1" applyFill="1" applyBorder="1" applyAlignment="1">
      <alignment horizontal="center" vertical="center"/>
    </xf>
    <xf numFmtId="0" fontId="37" fillId="0" borderId="0" xfId="0" applyFont="1" applyAlignment="1">
      <alignment horizontal="center"/>
    </xf>
    <xf numFmtId="0" fontId="29" fillId="0" borderId="25"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6" xfId="0" applyFont="1" applyBorder="1" applyAlignment="1">
      <alignment horizontal="center" vertical="center"/>
    </xf>
    <xf numFmtId="0" fontId="29" fillId="0" borderId="74" xfId="0" applyFont="1" applyBorder="1" applyAlignment="1">
      <alignment horizontal="center" vertical="center"/>
    </xf>
    <xf numFmtId="0" fontId="29" fillId="0" borderId="61" xfId="0" applyFont="1" applyBorder="1" applyAlignment="1">
      <alignment horizontal="center" vertical="center"/>
    </xf>
    <xf numFmtId="0" fontId="29" fillId="0" borderId="26" xfId="0" applyFont="1" applyBorder="1" applyAlignment="1">
      <alignment horizontal="center" vertical="center" wrapText="1"/>
    </xf>
    <xf numFmtId="0" fontId="27" fillId="0" borderId="16" xfId="0" applyFont="1" applyBorder="1" applyAlignment="1">
      <alignment horizontal="center"/>
    </xf>
    <xf numFmtId="0" fontId="27" fillId="0" borderId="18" xfId="0" applyFont="1" applyBorder="1" applyAlignment="1">
      <alignment horizontal="center"/>
    </xf>
    <xf numFmtId="0" fontId="27" fillId="0" borderId="76" xfId="0" applyFont="1" applyBorder="1" applyAlignment="1">
      <alignment horizontal="center"/>
    </xf>
    <xf numFmtId="0" fontId="24" fillId="0" borderId="62" xfId="0" applyFont="1" applyBorder="1" applyAlignment="1">
      <alignment horizontal="center"/>
    </xf>
    <xf numFmtId="0" fontId="24" fillId="0" borderId="17" xfId="0" applyFont="1" applyBorder="1" applyAlignment="1">
      <alignment horizontal="center"/>
    </xf>
    <xf numFmtId="0" fontId="24" fillId="0" borderId="19" xfId="0" applyFont="1" applyBorder="1" applyAlignment="1">
      <alignment horizontal="center"/>
    </xf>
    <xf numFmtId="0" fontId="49" fillId="29" borderId="82" xfId="12" applyBorder="1">
      <alignment horizontal="center" vertical="center"/>
    </xf>
    <xf numFmtId="0" fontId="49" fillId="29" borderId="83" xfId="12" applyBorder="1">
      <alignment horizontal="center" vertical="center"/>
    </xf>
    <xf numFmtId="0" fontId="49" fillId="29" borderId="84" xfId="12" applyBorder="1">
      <alignment horizontal="center" vertical="center"/>
    </xf>
    <xf numFmtId="0" fontId="37" fillId="0" borderId="87" xfId="0" applyFont="1" applyBorder="1" applyAlignment="1">
      <alignment horizontal="center"/>
    </xf>
    <xf numFmtId="0" fontId="37" fillId="0" borderId="88" xfId="0" applyFont="1" applyBorder="1" applyAlignment="1">
      <alignment horizontal="center"/>
    </xf>
    <xf numFmtId="0" fontId="37" fillId="0" borderId="89" xfId="0" applyFont="1" applyBorder="1" applyAlignment="1">
      <alignment horizontal="center"/>
    </xf>
    <xf numFmtId="0" fontId="29" fillId="0" borderId="90" xfId="0" applyFont="1" applyBorder="1" applyAlignment="1">
      <alignment horizontal="center" vertical="center"/>
    </xf>
    <xf numFmtId="0" fontId="0" fillId="0" borderId="67" xfId="0" applyBorder="1"/>
    <xf numFmtId="165" fontId="39" fillId="0" borderId="92" xfId="31" applyNumberFormat="1" applyFont="1" applyBorder="1" applyAlignment="1">
      <alignment horizontal="center"/>
    </xf>
    <xf numFmtId="42" fontId="21" fillId="0" borderId="90" xfId="0" applyNumberFormat="1" applyFont="1" applyBorder="1" applyAlignment="1">
      <alignment vertical="top"/>
    </xf>
    <xf numFmtId="42" fontId="21" fillId="0" borderId="10" xfId="0" applyNumberFormat="1" applyFont="1" applyBorder="1"/>
    <xf numFmtId="0" fontId="21" fillId="0" borderId="0" xfId="0" applyFont="1" applyFill="1"/>
    <xf numFmtId="0" fontId="0" fillId="0" borderId="0" xfId="0" applyFill="1"/>
    <xf numFmtId="0" fontId="24" fillId="0" borderId="0" xfId="51" applyFont="1" applyFill="1" applyAlignment="1">
      <alignment horizontal="center" wrapText="1"/>
    </xf>
    <xf numFmtId="0" fontId="4" fillId="0" borderId="0" xfId="0" applyFont="1" applyFill="1"/>
    <xf numFmtId="2" fontId="21" fillId="27" borderId="90" xfId="59" applyNumberFormat="1" applyBorder="1" applyAlignment="1">
      <alignment horizontal="center"/>
      <protection locked="0"/>
    </xf>
    <xf numFmtId="0" fontId="57" fillId="0" borderId="0" xfId="0" applyFont="1" applyFill="1" applyAlignment="1" applyProtection="1">
      <alignment horizontal="left"/>
      <protection hidden="1"/>
    </xf>
  </cellXfs>
  <cellStyles count="107">
    <cellStyle name="20% - Accent1" xfId="1" builtinId="30" hidden="1" customBuiltin="1"/>
    <cellStyle name="20% - Accent1" xfId="77" builtinId="30"/>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3" builtinId="51" hidden="1" customBuiltin="1"/>
    <cellStyle name="60% - Accent1" xfId="14" builtinId="32" hidden="1" customBuiltin="1"/>
    <cellStyle name="60% - Accent2" xfId="15" builtinId="36" hidden="1" customBuiltin="1"/>
    <cellStyle name="60% - Accent3" xfId="16" builtinId="40" hidden="1" customBuiltin="1"/>
    <cellStyle name="60% - Accent4" xfId="17" builtinId="44" hidden="1" customBuiltin="1"/>
    <cellStyle name="60% - Accent5" xfId="18" builtinId="48" hidden="1" customBuiltin="1"/>
    <cellStyle name="60% - Accent6" xfId="19" builtinId="52" hidden="1" customBuiltin="1"/>
    <cellStyle name="Accent1" xfId="20" builtinId="29" hidden="1" customBuiltin="1"/>
    <cellStyle name="Accent2" xfId="21" builtinId="33" hidden="1" customBuiltin="1"/>
    <cellStyle name="Accent3" xfId="22" builtinId="37" hidden="1" customBuiltin="1"/>
    <cellStyle name="Accent4" xfId="23" builtinId="41" hidden="1" customBuiltin="1"/>
    <cellStyle name="Accent5" xfId="24" builtinId="45" hidden="1" customBuiltin="1"/>
    <cellStyle name="Accent6" xfId="25" builtinId="49" hidden="1" customBuiltin="1"/>
    <cellStyle name="Bad" xfId="26" builtinId="27" customBuiltin="1"/>
    <cellStyle name="Border1" xfId="12" xr:uid="{00000000-0005-0000-0000-00001A000000}"/>
    <cellStyle name="Calculation" xfId="27" builtinId="22" customBuiltin="1"/>
    <cellStyle name="Calculation 2" xfId="28" xr:uid="{00000000-0005-0000-0000-00001C000000}"/>
    <cellStyle name="Check Cell" xfId="29" builtinId="23" customBuiltin="1"/>
    <cellStyle name="Check Cell 2" xfId="30" xr:uid="{00000000-0005-0000-0000-00001E000000}"/>
    <cellStyle name="Comma" xfId="86" builtinId="3"/>
    <cellStyle name="Comma [0]" xfId="31" builtinId="6"/>
    <cellStyle name="Comma [0] 2 2" xfId="32" xr:uid="{00000000-0005-0000-0000-000020000000}"/>
    <cellStyle name="Comma [0] 2 2 2" xfId="87" xr:uid="{E83FF5DE-3641-460C-BCA0-72FAA1FBB890}"/>
    <cellStyle name="Comma [0] 4" xfId="33" xr:uid="{00000000-0005-0000-0000-000021000000}"/>
    <cellStyle name="Comma [0] 4 2" xfId="88" xr:uid="{4102D515-D8FA-4D95-BD03-0925E635BC69}"/>
    <cellStyle name="Comma [0] 5" xfId="34" xr:uid="{00000000-0005-0000-0000-000022000000}"/>
    <cellStyle name="Comma [0] 5 2" xfId="89" xr:uid="{D477147D-1224-490D-9B60-172066C4FF1B}"/>
    <cellStyle name="Comma 1" xfId="36" xr:uid="{00000000-0005-0000-0000-000023000000}"/>
    <cellStyle name="Comma 2" xfId="105" xr:uid="{C9274B07-C0E0-4039-8B0D-7C1AF3CE2A49}"/>
    <cellStyle name="Comma 2 10 2" xfId="84" xr:uid="{00000000-0005-0000-0000-000024000000}"/>
    <cellStyle name="Comma 3 2" xfId="37" xr:uid="{00000000-0005-0000-0000-000025000000}"/>
    <cellStyle name="Comma 3 2 2" xfId="90" xr:uid="{F1929942-840D-45C3-A89B-B8D12262B5A5}"/>
    <cellStyle name="Currency [0]" xfId="38" builtinId="7"/>
    <cellStyle name="Currency [0] 2" xfId="39" xr:uid="{00000000-0005-0000-0000-000027000000}"/>
    <cellStyle name="Currency [0] 2 2" xfId="40" xr:uid="{00000000-0005-0000-0000-000028000000}"/>
    <cellStyle name="Currency [0] 2 2 2" xfId="92" xr:uid="{E13E5390-480F-45CA-98C3-677987F114D9}"/>
    <cellStyle name="Currency [0] 2 3" xfId="91" xr:uid="{2DCC2BE4-0B2A-4A41-AC79-646968F61212}"/>
    <cellStyle name="Currency [0] 3" xfId="41" xr:uid="{00000000-0005-0000-0000-000029000000}"/>
    <cellStyle name="Currency [0] 3 2" xfId="93" xr:uid="{182F07BD-7677-4BA2-8AAA-EB4DA5380C82}"/>
    <cellStyle name="Currency [0] 4" xfId="42" xr:uid="{00000000-0005-0000-0000-00002A000000}"/>
    <cellStyle name="Currency [0] 4 2" xfId="94" xr:uid="{759DB47E-F1AA-4924-8558-4ED557E4E92F}"/>
    <cellStyle name="Currency [0] 5" xfId="43" xr:uid="{00000000-0005-0000-0000-00002B000000}"/>
    <cellStyle name="Currency [0] 5 2" xfId="95" xr:uid="{A82EC63C-F424-4664-9932-6D8A1B134880}"/>
    <cellStyle name="Currency 2" xfId="44" xr:uid="{00000000-0005-0000-0000-00002C000000}"/>
    <cellStyle name="Currency 2 2" xfId="96" xr:uid="{4482D543-3B10-4100-A8CA-88D514EC6901}"/>
    <cellStyle name="Currency 3" xfId="45" xr:uid="{00000000-0005-0000-0000-00002D000000}"/>
    <cellStyle name="Currency 3 2" xfId="46" xr:uid="{00000000-0005-0000-0000-00002E000000}"/>
    <cellStyle name="Currency 3 2 2" xfId="98" xr:uid="{E95E771E-7409-470A-8310-82B3C64BF5E7}"/>
    <cellStyle name="Currency 3 3" xfId="97" xr:uid="{89F8444E-A743-4E85-9203-357DCB38CABE}"/>
    <cellStyle name="Currency 4" xfId="81" xr:uid="{00000000-0005-0000-0000-00002F000000}"/>
    <cellStyle name="Currency 4 2" xfId="101" xr:uid="{46DE0664-04CF-4E7B-AED0-37693B364D5C}"/>
    <cellStyle name="Currency 5" xfId="83" xr:uid="{00000000-0005-0000-0000-000030000000}"/>
    <cellStyle name="Currency 5 2" xfId="103" xr:uid="{3BF74A40-BA5B-4A08-B613-827E0FE8AEA1}"/>
    <cellStyle name="Explanatory Text" xfId="47" builtinId="53" customBuiltin="1"/>
    <cellStyle name="Explanatory Text 2" xfId="48" xr:uid="{00000000-0005-0000-0000-000032000000}"/>
    <cellStyle name="Glossary" xfId="78" xr:uid="{00000000-0005-0000-0000-000033000000}"/>
    <cellStyle name="Glossary 2" xfId="99" xr:uid="{3B77D6B5-5BCB-49D9-9CB1-47FA4FE84AF9}"/>
    <cellStyle name="Good" xfId="49" builtinId="26" customBuiltin="1"/>
    <cellStyle name="Good 2" xfId="50" xr:uid="{00000000-0005-0000-0000-000035000000}"/>
    <cellStyle name="Heading 1" xfId="51" builtinId="16" customBuiltin="1"/>
    <cellStyle name="Heading 1 2" xfId="52" xr:uid="{00000000-0005-0000-0000-000037000000}"/>
    <cellStyle name="Heading 2" xfId="53" builtinId="17" customBuiltin="1"/>
    <cellStyle name="Heading 2 2" xfId="54" xr:uid="{00000000-0005-0000-0000-000039000000}"/>
    <cellStyle name="Heading 3" xfId="55" builtinId="18" customBuiltin="1"/>
    <cellStyle name="Heading 3 2" xfId="56" xr:uid="{00000000-0005-0000-0000-00003B000000}"/>
    <cellStyle name="Heading 4" xfId="57" builtinId="19" customBuiltin="1"/>
    <cellStyle name="Heading 4 2" xfId="58" xr:uid="{00000000-0005-0000-0000-00003D000000}"/>
    <cellStyle name="Input" xfId="59" builtinId="20" customBuiltin="1"/>
    <cellStyle name="Input 2" xfId="60" xr:uid="{00000000-0005-0000-0000-00003F000000}"/>
    <cellStyle name="Input 2 2" xfId="85" xr:uid="{00000000-0005-0000-0000-000040000000}"/>
    <cellStyle name="Linked Cell" xfId="61" builtinId="24" customBuiltin="1"/>
    <cellStyle name="Linked Cell 2" xfId="62" xr:uid="{00000000-0005-0000-0000-000042000000}"/>
    <cellStyle name="Neutral" xfId="63" builtinId="28" customBuiltin="1"/>
    <cellStyle name="Neutral 2" xfId="64" xr:uid="{00000000-0005-0000-0000-000044000000}"/>
    <cellStyle name="Normal" xfId="0" builtinId="0"/>
    <cellStyle name="Normal - Numbering" xfId="76" xr:uid="{00000000-0005-0000-0000-000046000000}"/>
    <cellStyle name="Normal 2" xfId="80" xr:uid="{00000000-0005-0000-0000-000047000000}"/>
    <cellStyle name="Normal 2 2" xfId="100" xr:uid="{BD792D24-41AC-436F-A1B0-CF1623B1627B}"/>
    <cellStyle name="Normal 3" xfId="82" xr:uid="{00000000-0005-0000-0000-000048000000}"/>
    <cellStyle name="Normal 3 2" xfId="102" xr:uid="{C3FD26A9-FF93-4B13-8D54-5C9224C6BD6E}"/>
    <cellStyle name="Normal 4" xfId="104" xr:uid="{3CAB8A1F-F64D-4F7A-8B48-9728D4F78B4F}"/>
    <cellStyle name="Note" xfId="65" builtinId="10" customBuiltin="1"/>
    <cellStyle name="Note 2" xfId="66" xr:uid="{00000000-0005-0000-0000-00004A000000}"/>
    <cellStyle name="Number_#,###" xfId="35" xr:uid="{00000000-0005-0000-0000-00004B000000}"/>
    <cellStyle name="Number_#,### 2" xfId="79" xr:uid="{00000000-0005-0000-0000-00004C000000}"/>
    <cellStyle name="Output" xfId="67" builtinId="21" customBuiltin="1"/>
    <cellStyle name="Output 2" xfId="68" xr:uid="{00000000-0005-0000-0000-00004E000000}"/>
    <cellStyle name="Percent" xfId="69" builtinId="5"/>
    <cellStyle name="Percent 2" xfId="106" xr:uid="{7469989B-AECE-43A8-A42A-8ED25BCA48ED}"/>
    <cellStyle name="Title" xfId="70" builtinId="15" customBuiltin="1"/>
    <cellStyle name="Title 2" xfId="71" xr:uid="{00000000-0005-0000-0000-000051000000}"/>
    <cellStyle name="Total" xfId="72" builtinId="25" customBuiltin="1"/>
    <cellStyle name="Total 2" xfId="73" xr:uid="{00000000-0005-0000-0000-000053000000}"/>
    <cellStyle name="Warning Text" xfId="74" builtinId="11" customBuiltin="1"/>
    <cellStyle name="Warning Text 2" xfId="75" xr:uid="{00000000-0005-0000-0000-000055000000}"/>
  </cellStyles>
  <dxfs count="122">
    <dxf>
      <fill>
        <patternFill patternType="gray125"/>
      </fill>
    </dxf>
    <dxf>
      <fill>
        <patternFill patternType="gray125"/>
      </fill>
    </dxf>
    <dxf>
      <fill>
        <patternFill patternType="gray125"/>
      </fill>
    </dxf>
    <dxf>
      <font>
        <color rgb="FF00B050"/>
      </font>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gray125"/>
      </fill>
      <border>
        <left style="thin">
          <color auto="1"/>
        </left>
        <right style="thin">
          <color auto="1"/>
        </right>
        <top style="thin">
          <color auto="1"/>
        </top>
        <bottom style="thin">
          <color auto="1"/>
        </bottom>
      </border>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0A75-435B-8769-73FBA7363300}"/>
              </c:ext>
            </c:extLst>
          </c:dPt>
          <c:dPt>
            <c:idx val="1"/>
            <c:bubble3D val="0"/>
            <c:extLst>
              <c:ext xmlns:c16="http://schemas.microsoft.com/office/drawing/2014/chart" uri="{C3380CC4-5D6E-409C-BE32-E72D297353CC}">
                <c16:uniqueId val="{00000001-0A75-435B-8769-73FBA7363300}"/>
              </c:ext>
            </c:extLst>
          </c:dPt>
          <c:dPt>
            <c:idx val="2"/>
            <c:bubble3D val="0"/>
            <c:extLst>
              <c:ext xmlns:c16="http://schemas.microsoft.com/office/drawing/2014/chart" uri="{C3380CC4-5D6E-409C-BE32-E72D297353CC}">
                <c16:uniqueId val="{00000002-0A75-435B-8769-73FBA7363300}"/>
              </c:ext>
            </c:extLst>
          </c:dPt>
          <c:dPt>
            <c:idx val="3"/>
            <c:bubble3D val="0"/>
            <c:extLst>
              <c:ext xmlns:c16="http://schemas.microsoft.com/office/drawing/2014/chart" uri="{C3380CC4-5D6E-409C-BE32-E72D297353CC}">
                <c16:uniqueId val="{00000003-0A75-435B-8769-73FBA7363300}"/>
              </c:ext>
            </c:extLst>
          </c:dPt>
          <c:dPt>
            <c:idx val="4"/>
            <c:bubble3D val="0"/>
            <c:extLst>
              <c:ext xmlns:c16="http://schemas.microsoft.com/office/drawing/2014/chart" uri="{C3380CC4-5D6E-409C-BE32-E72D297353CC}">
                <c16:uniqueId val="{00000004-0A75-435B-8769-73FBA7363300}"/>
              </c:ext>
            </c:extLst>
          </c:dPt>
          <c:dPt>
            <c:idx val="5"/>
            <c:bubble3D val="0"/>
            <c:extLst>
              <c:ext xmlns:c16="http://schemas.microsoft.com/office/drawing/2014/chart" uri="{C3380CC4-5D6E-409C-BE32-E72D297353CC}">
                <c16:uniqueId val="{00000005-0A75-435B-8769-73FBA7363300}"/>
              </c:ext>
            </c:extLst>
          </c:dPt>
          <c:dLbls>
            <c:dLbl>
              <c:idx val="3"/>
              <c:layout>
                <c:manualLayout>
                  <c:x val="1.3259542522924527E-2"/>
                  <c:y val="-6.073532002103633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A75-435B-8769-73FBA7363300}"/>
                </c:ext>
              </c:extLst>
            </c:dLbl>
            <c:dLbl>
              <c:idx val="4"/>
              <c:layout>
                <c:manualLayout>
                  <c:x val="3.6318834172271421E-2"/>
                  <c:y val="-7.153613437540273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A75-435B-8769-73FBA7363300}"/>
                </c:ext>
              </c:extLst>
            </c:dLbl>
            <c:dLbl>
              <c:idx val="5"/>
              <c:layout>
                <c:manualLayout>
                  <c:x val="7.8007380060250792E-2"/>
                  <c:y val="-1.203255526842593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A75-435B-8769-73FBA7363300}"/>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0</c:v>
                </c:pt>
                <c:pt idx="1">
                  <c:v>0</c:v>
                </c:pt>
                <c:pt idx="2">
                  <c:v>30271.94</c:v>
                </c:pt>
                <c:pt idx="3">
                  <c:v>2687.5</c:v>
                </c:pt>
                <c:pt idx="4">
                  <c:v>1000</c:v>
                </c:pt>
                <c:pt idx="5">
                  <c:v>923.35</c:v>
                </c:pt>
              </c:numCache>
            </c:numRef>
          </c:val>
          <c:extLst>
            <c:ext xmlns:c16="http://schemas.microsoft.com/office/drawing/2014/chart" uri="{C3380CC4-5D6E-409C-BE32-E72D297353CC}">
              <c16:uniqueId val="{00000006-0A75-435B-8769-73FBA7363300}"/>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757225421703182E-2"/>
          <c:y val="3.4131295079671393E-2"/>
          <c:w val="0.72935983237336122"/>
          <c:h val="0.79779028688044495"/>
        </c:manualLayout>
      </c:layout>
      <c:barChart>
        <c:barDir val="col"/>
        <c:grouping val="clustered"/>
        <c:varyColors val="0"/>
        <c:ser>
          <c:idx val="2"/>
          <c:order val="2"/>
          <c:tx>
            <c:strRef>
              <c:f>'Table 4'!$M$8</c:f>
              <c:strCache>
                <c:ptCount val="1"/>
                <c:pt idx="0">
                  <c:v>Net Annual Savings
(f)</c:v>
                </c:pt>
              </c:strCache>
            </c:strRef>
          </c:tx>
          <c:invertIfNegative val="0"/>
          <c:val>
            <c:numRef>
              <c:f>'Table 4'!$M$10:$M$15</c:f>
              <c:numCache>
                <c:formatCode>_(* #,##0_);_(* \(#,##0\);_(* "-"_);_(@_)</c:formatCode>
                <c:ptCount val="5"/>
                <c:pt idx="0">
                  <c:v>122.59</c:v>
                </c:pt>
                <c:pt idx="1">
                  <c:v>0</c:v>
                </c:pt>
                <c:pt idx="2">
                  <c:v>89</c:v>
                </c:pt>
                <c:pt idx="3">
                  <c:v>37</c:v>
                </c:pt>
                <c:pt idx="4">
                  <c:v>61</c:v>
                </c:pt>
              </c:numCache>
            </c:numRef>
          </c:val>
          <c:extLst>
            <c:ext xmlns:c16="http://schemas.microsoft.com/office/drawing/2014/chart" uri="{C3380CC4-5D6E-409C-BE32-E72D297353CC}">
              <c16:uniqueId val="{00000000-2843-40D9-B635-63B982990E01}"/>
            </c:ext>
          </c:extLst>
        </c:ser>
        <c:dLbls>
          <c:showLegendKey val="0"/>
          <c:showVal val="0"/>
          <c:showCatName val="0"/>
          <c:showSerName val="0"/>
          <c:showPercent val="0"/>
          <c:showBubbleSize val="0"/>
        </c:dLbls>
        <c:gapWidth val="150"/>
        <c:axId val="-1999706944"/>
        <c:axId val="-1999706400"/>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4"/>
                <c:pt idx="0">
                  <c:v>2021</c:v>
                </c:pt>
                <c:pt idx="1">
                  <c:v>2022</c:v>
                </c:pt>
                <c:pt idx="2">
                  <c:v>2023</c:v>
                </c:pt>
                <c:pt idx="3">
                  <c:v>2024</c:v>
                </c:pt>
              </c:numCache>
            </c:numRef>
          </c:cat>
          <c:val>
            <c:numRef>
              <c:f>'Table 4'!$G$10:$G$15</c:f>
              <c:numCache>
                <c:formatCode>_("$"* #,##0_);_("$"* \(#,##0\);_("$"* "-"??_);_(@_)</c:formatCode>
                <c:ptCount val="5"/>
                <c:pt idx="0">
                  <c:v>82.198309999999992</c:v>
                </c:pt>
                <c:pt idx="1">
                  <c:v>18.422319999999999</c:v>
                </c:pt>
                <c:pt idx="2">
                  <c:v>35</c:v>
                </c:pt>
                <c:pt idx="3" formatCode="_(&quot;$&quot;* #,##0_);_(&quot;$&quot;* \(#,##0\);_(&quot;$&quot;* &quot;-&quot;_);_(@_)">
                  <c:v>29</c:v>
                </c:pt>
                <c:pt idx="4" formatCode="_(&quot;$&quot;* #,##0_);_(&quot;$&quot;* \(#,##0\);_(&quot;$&quot;* &quot;-&quot;_);_(@_)">
                  <c:v>35</c:v>
                </c:pt>
              </c:numCache>
            </c:numRef>
          </c:val>
          <c:smooth val="0"/>
          <c:extLst>
            <c:ext xmlns:c16="http://schemas.microsoft.com/office/drawing/2014/chart" uri="{C3380CC4-5D6E-409C-BE32-E72D297353CC}">
              <c16:uniqueId val="{00000001-2843-40D9-B635-63B982990E01}"/>
            </c:ext>
          </c:extLst>
        </c:ser>
        <c:ser>
          <c:idx val="1"/>
          <c:order val="1"/>
          <c:tx>
            <c:strRef>
              <c:f>'Table 4'!$E$8</c:f>
              <c:strCache>
                <c:ptCount val="1"/>
                <c:pt idx="0">
                  <c:v>Portfolio Budget
(b)</c:v>
                </c:pt>
              </c:strCache>
            </c:strRef>
          </c:tx>
          <c:marker>
            <c:symbol val="none"/>
          </c:marker>
          <c:val>
            <c:numRef>
              <c:f>'Table 4'!$E$10:$E$15</c:f>
              <c:numCache>
                <c:formatCode>_("$"* #,##0_);_("$"* \(#,##0\);_("$"* "-"??_);_(@_)</c:formatCode>
                <c:ptCount val="5"/>
                <c:pt idx="0">
                  <c:v>74.983000000000004</c:v>
                </c:pt>
                <c:pt idx="1">
                  <c:v>118.524</c:v>
                </c:pt>
                <c:pt idx="2">
                  <c:v>119</c:v>
                </c:pt>
                <c:pt idx="3">
                  <c:v>112</c:v>
                </c:pt>
                <c:pt idx="4">
                  <c:v>107</c:v>
                </c:pt>
              </c:numCache>
            </c:numRef>
          </c:val>
          <c:smooth val="0"/>
          <c:extLst>
            <c:ext xmlns:c16="http://schemas.microsoft.com/office/drawing/2014/chart" uri="{C3380CC4-5D6E-409C-BE32-E72D297353CC}">
              <c16:uniqueId val="{00000002-2843-40D9-B635-63B982990E01}"/>
            </c:ext>
          </c:extLst>
        </c:ser>
        <c:dLbls>
          <c:showLegendKey val="0"/>
          <c:showVal val="0"/>
          <c:showCatName val="0"/>
          <c:showSerName val="0"/>
          <c:showPercent val="0"/>
          <c:showBubbleSize val="0"/>
        </c:dLbls>
        <c:marker val="1"/>
        <c:smooth val="0"/>
        <c:axId val="-1999715104"/>
        <c:axId val="-1999707488"/>
      </c:lineChart>
      <c:catAx>
        <c:axId val="-19997151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7488"/>
        <c:crosses val="autoZero"/>
        <c:auto val="1"/>
        <c:lblAlgn val="ctr"/>
        <c:lblOffset val="100"/>
        <c:noMultiLvlLbl val="0"/>
      </c:catAx>
      <c:valAx>
        <c:axId val="-1999707488"/>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15104"/>
        <c:crosses val="autoZero"/>
        <c:crossBetween val="between"/>
      </c:valAx>
      <c:catAx>
        <c:axId val="-1999706944"/>
        <c:scaling>
          <c:orientation val="minMax"/>
        </c:scaling>
        <c:delete val="1"/>
        <c:axPos val="b"/>
        <c:majorTickMark val="out"/>
        <c:minorTickMark val="none"/>
        <c:tickLblPos val="nextTo"/>
        <c:crossAx val="-1999706400"/>
        <c:crosses val="autoZero"/>
        <c:auto val="1"/>
        <c:lblAlgn val="ctr"/>
        <c:lblOffset val="100"/>
        <c:noMultiLvlLbl val="0"/>
      </c:catAx>
      <c:valAx>
        <c:axId val="-1999706400"/>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6944"/>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(kWh)</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0</c:v>
                </c:pt>
                <c:pt idx="1">
                  <c:v>15435</c:v>
                </c:pt>
                <c:pt idx="2">
                  <c:v>60720</c:v>
                </c:pt>
              </c:numCache>
            </c:numRef>
          </c:val>
          <c:extLst>
            <c:ext xmlns:c16="http://schemas.microsoft.com/office/drawing/2014/chart" uri="{C3380CC4-5D6E-409C-BE32-E72D297353CC}">
              <c16:uniqueId val="{00000000-FE64-44B7-8D7F-2B6E3E0B15A9}"/>
            </c:ext>
          </c:extLst>
        </c:ser>
        <c:dLbls>
          <c:showLegendKey val="0"/>
          <c:showVal val="0"/>
          <c:showCatName val="0"/>
          <c:showSerName val="0"/>
          <c:showPercent val="0"/>
          <c:showBubbleSize val="0"/>
        </c:dLbls>
        <c:gapWidth val="150"/>
        <c:axId val="-1999705312"/>
        <c:axId val="-1999702592"/>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"$"#,##0_);[Red]\("$"#,##0\)</c:formatCode>
                <c:ptCount val="3"/>
                <c:pt idx="0">
                  <c:v>14175</c:v>
                </c:pt>
                <c:pt idx="1">
                  <c:v>17922</c:v>
                </c:pt>
                <c:pt idx="2" formatCode="_(&quot;$&quot;* #,##0_);_(&quot;$&quot;* \(#,##0\);_(&quot;$&quot;* &quot;-&quot;_);_(@_)">
                  <c:v>2500</c:v>
                </c:pt>
              </c:numCache>
            </c:numRef>
          </c:val>
          <c:smooth val="0"/>
          <c:extLst>
            <c:ext xmlns:c16="http://schemas.microsoft.com/office/drawing/2014/chart" uri="{C3380CC4-5D6E-409C-BE32-E72D297353CC}">
              <c16:uniqueId val="{00000001-FE64-44B7-8D7F-2B6E3E0B15A9}"/>
            </c:ext>
          </c:extLst>
        </c:ser>
        <c:ser>
          <c:idx val="2"/>
          <c:order val="2"/>
          <c:tx>
            <c:strRef>
              <c:f>'Table 5'!$D$9</c:f>
              <c:strCache>
                <c:ptCount val="1"/>
                <c:pt idx="0">
                  <c:v>Actual</c:v>
                </c:pt>
              </c:strCache>
            </c:strRef>
          </c:tx>
          <c:marker>
            <c:symbol val="none"/>
          </c:marker>
          <c:val>
            <c:numRef>
              <c:f>'Table 5'!$D$10:$D$12</c:f>
              <c:numCache>
                <c:formatCode>"$"#,##0_);[Red]\("$"#,##0\)</c:formatCode>
                <c:ptCount val="3"/>
                <c:pt idx="0">
                  <c:v>0</c:v>
                </c:pt>
                <c:pt idx="1">
                  <c:v>0</c:v>
                </c:pt>
                <c:pt idx="2" formatCode="_(&quot;$&quot;* #,##0_);_(&quot;$&quot;* \(#,##0\);_(&quot;$&quot;* &quot;-&quot;_);_(@_)">
                  <c:v>2687.5</c:v>
                </c:pt>
              </c:numCache>
            </c:numRef>
          </c:val>
          <c:smooth val="0"/>
          <c:extLst>
            <c:ext xmlns:c16="http://schemas.microsoft.com/office/drawing/2014/chart" uri="{C3380CC4-5D6E-409C-BE32-E72D297353CC}">
              <c16:uniqueId val="{00000002-FE64-44B7-8D7F-2B6E3E0B15A9}"/>
            </c:ext>
          </c:extLst>
        </c:ser>
        <c:dLbls>
          <c:showLegendKey val="0"/>
          <c:showVal val="0"/>
          <c:showCatName val="0"/>
          <c:showSerName val="0"/>
          <c:showPercent val="0"/>
          <c:showBubbleSize val="0"/>
        </c:dLbls>
        <c:marker val="1"/>
        <c:smooth val="0"/>
        <c:axId val="-1999709664"/>
        <c:axId val="-1999705856"/>
      </c:lineChart>
      <c:catAx>
        <c:axId val="-19997096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5856"/>
        <c:crosses val="autoZero"/>
        <c:auto val="1"/>
        <c:lblAlgn val="ctr"/>
        <c:lblOffset val="100"/>
        <c:noMultiLvlLbl val="0"/>
      </c:catAx>
      <c:valAx>
        <c:axId val="-1999705856"/>
        <c:scaling>
          <c:orientation val="minMax"/>
        </c:scaling>
        <c:delete val="0"/>
        <c:axPos val="l"/>
        <c:majorGridlines/>
        <c:numFmt formatCode="&quot;$&quot;#,##0_);[Red]\(&quot;$&quot;#,##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9664"/>
        <c:crosses val="autoZero"/>
        <c:crossBetween val="between"/>
      </c:valAx>
      <c:catAx>
        <c:axId val="-1999705312"/>
        <c:scaling>
          <c:orientation val="minMax"/>
        </c:scaling>
        <c:delete val="1"/>
        <c:axPos val="b"/>
        <c:numFmt formatCode="General" sourceLinked="1"/>
        <c:majorTickMark val="out"/>
        <c:minorTickMark val="none"/>
        <c:tickLblPos val="nextTo"/>
        <c:crossAx val="-1999702592"/>
        <c:crosses val="autoZero"/>
        <c:auto val="1"/>
        <c:lblAlgn val="ctr"/>
        <c:lblOffset val="100"/>
        <c:noMultiLvlLbl val="0"/>
      </c:catAx>
      <c:valAx>
        <c:axId val="-1999702592"/>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5312"/>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School-Based Energy Education</c:v>
                </c:pt>
                <c:pt idx="1">
                  <c:v>EM&amp;V</c:v>
                </c:pt>
                <c:pt idx="2">
                  <c:v>Administration</c:v>
                </c:pt>
                <c:pt idx="3">
                  <c:v>Residential Products</c:v>
                </c:pt>
                <c:pt idx="4">
                  <c:v>Weatherization</c:v>
                </c:pt>
                <c:pt idx="5">
                  <c:v>Commercial and Industrial (Custom)</c:v>
                </c:pt>
                <c:pt idx="6">
                  <c:v>Commercial and Industrial (Prescriptive)</c:v>
                </c:pt>
                <c:pt idx="7">
                  <c:v>Marketing</c:v>
                </c:pt>
                <c:pt idx="8">
                  <c:v>Online Energy Calculator</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9"/>
                <c:pt idx="0">
                  <c:v>29581.94</c:v>
                </c:pt>
                <c:pt idx="1">
                  <c:v>2687.5</c:v>
                </c:pt>
                <c:pt idx="2">
                  <c:v>1000</c:v>
                </c:pt>
                <c:pt idx="3">
                  <c:v>690</c:v>
                </c:pt>
                <c:pt idx="4">
                  <c:v>0</c:v>
                </c:pt>
                <c:pt idx="5">
                  <c:v>0</c:v>
                </c:pt>
                <c:pt idx="6">
                  <c:v>0</c:v>
                </c:pt>
                <c:pt idx="7">
                  <c:v>0</c:v>
                </c:pt>
                <c:pt idx="8">
                  <c:v>0</c:v>
                </c:pt>
              </c:numCache>
            </c:numRef>
          </c:val>
          <c:extLst>
            <c:ext xmlns:c16="http://schemas.microsoft.com/office/drawing/2014/chart" uri="{C3380CC4-5D6E-409C-BE32-E72D297353CC}">
              <c16:uniqueId val="{00000000-2EF1-45AF-961C-5B6B1AED7D76}"/>
            </c:ext>
          </c:extLst>
        </c:ser>
        <c:dLbls>
          <c:showLegendKey val="0"/>
          <c:showVal val="0"/>
          <c:showCatName val="0"/>
          <c:showSerName val="0"/>
          <c:showPercent val="0"/>
          <c:showBubbleSize val="0"/>
        </c:dLbls>
        <c:gapWidth val="150"/>
        <c:axId val="-1999713472"/>
        <c:axId val="-1999709120"/>
      </c:barChart>
      <c:catAx>
        <c:axId val="-199971347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9120"/>
        <c:crosses val="autoZero"/>
        <c:auto val="1"/>
        <c:lblAlgn val="ctr"/>
        <c:lblOffset val="100"/>
        <c:noMultiLvlLbl val="0"/>
      </c:catAx>
      <c:valAx>
        <c:axId val="-1999709120"/>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1347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(kWh)</c:v>
                </c:pt>
              </c:strCache>
            </c:strRef>
          </c:tx>
          <c:invertIfNegative val="0"/>
          <c:cat>
            <c:strRef>
              <c:f>Tables!$B$107:$B$126</c:f>
              <c:strCache>
                <c:ptCount val="20"/>
                <c:pt idx="0">
                  <c:v>School-Based Energy Education</c:v>
                </c:pt>
                <c:pt idx="1">
                  <c:v>EM&amp;V</c:v>
                </c:pt>
                <c:pt idx="2">
                  <c:v>Administration</c:v>
                </c:pt>
                <c:pt idx="3">
                  <c:v>Residential Products</c:v>
                </c:pt>
                <c:pt idx="4">
                  <c:v>Weatherization</c:v>
                </c:pt>
                <c:pt idx="5">
                  <c:v>Commercial and Industrial (Custom)</c:v>
                </c:pt>
                <c:pt idx="6">
                  <c:v>Commercial and Industrial (Prescriptive)</c:v>
                </c:pt>
                <c:pt idx="7">
                  <c:v>Marketing</c:v>
                </c:pt>
                <c:pt idx="8">
                  <c:v>Online Energy Calculator</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4"/>
                <c:pt idx="0">
                  <c:v>47256</c:v>
                </c:pt>
                <c:pt idx="1">
                  <c:v>0</c:v>
                </c:pt>
                <c:pt idx="2">
                  <c:v>0</c:v>
                </c:pt>
                <c:pt idx="3">
                  <c:v>13464</c:v>
                </c:pt>
              </c:numCache>
            </c:numRef>
          </c:val>
          <c:extLst>
            <c:ext xmlns:c16="http://schemas.microsoft.com/office/drawing/2014/chart" uri="{C3380CC4-5D6E-409C-BE32-E72D297353CC}">
              <c16:uniqueId val="{00000000-91BD-4BE7-B180-9CD495ACC834}"/>
            </c:ext>
          </c:extLst>
        </c:ser>
        <c:dLbls>
          <c:showLegendKey val="0"/>
          <c:showVal val="0"/>
          <c:showCatName val="0"/>
          <c:showSerName val="0"/>
          <c:showPercent val="0"/>
          <c:showBubbleSize val="0"/>
        </c:dLbls>
        <c:gapWidth val="150"/>
        <c:axId val="-1999708576"/>
        <c:axId val="-1999704768"/>
      </c:barChart>
      <c:catAx>
        <c:axId val="-1999708576"/>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4768"/>
        <c:crosses val="autoZero"/>
        <c:auto val="1"/>
        <c:lblAlgn val="ctr"/>
        <c:lblOffset val="100"/>
        <c:noMultiLvlLbl val="0"/>
      </c:catAx>
      <c:valAx>
        <c:axId val="-1999704768"/>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997085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(kWh)</c:v>
                </c:pt>
              </c:strCache>
            </c:strRef>
          </c:tx>
          <c:dPt>
            <c:idx val="0"/>
            <c:bubble3D val="0"/>
            <c:extLst>
              <c:ext xmlns:c16="http://schemas.microsoft.com/office/drawing/2014/chart" uri="{C3380CC4-5D6E-409C-BE32-E72D297353CC}">
                <c16:uniqueId val="{00000000-526C-404C-93D3-C6EB4EDCDAAE}"/>
              </c:ext>
            </c:extLst>
          </c:dPt>
          <c:dPt>
            <c:idx val="1"/>
            <c:bubble3D val="0"/>
            <c:extLst>
              <c:ext xmlns:c16="http://schemas.microsoft.com/office/drawing/2014/chart" uri="{C3380CC4-5D6E-409C-BE32-E72D297353CC}">
                <c16:uniqueId val="{00000001-526C-404C-93D3-C6EB4EDCDAAE}"/>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Tables!$B$94:$B$103</c:f>
              <c:strCache>
                <c:ptCount val="10"/>
                <c:pt idx="0">
                  <c:v>Residential</c:v>
                </c:pt>
                <c:pt idx="1">
                  <c:v>All Classes</c:v>
                </c:pt>
                <c:pt idx="2">
                  <c:v>Commercial &amp; Industrial</c:v>
                </c:pt>
                <c:pt idx="3">
                  <c:v>Small Business</c:v>
                </c:pt>
                <c:pt idx="4">
                  <c:v>Municipalities/Schools</c:v>
                </c:pt>
                <c:pt idx="5">
                  <c:v>Agriculture</c:v>
                </c:pt>
                <c:pt idx="6">
                  <c:v>Other</c:v>
                </c:pt>
                <c:pt idx="7">
                  <c:v>Res/Small Business</c:v>
                </c:pt>
                <c:pt idx="8">
                  <c:v>Res/C&amp;I</c:v>
                </c:pt>
                <c:pt idx="9">
                  <c:v>Small Business/C&amp;I</c:v>
                </c:pt>
              </c:strCache>
            </c:strRef>
          </c:cat>
          <c:val>
            <c:numRef>
              <c:f>[0]!Graph_2</c:f>
              <c:numCache>
                <c:formatCode>General</c:formatCode>
                <c:ptCount val="2"/>
                <c:pt idx="0">
                  <c:v>64059</c:v>
                </c:pt>
                <c:pt idx="1">
                  <c:v>0</c:v>
                </c:pt>
              </c:numCache>
            </c:numRef>
          </c:val>
          <c:extLst>
            <c:ext xmlns:c16="http://schemas.microsoft.com/office/drawing/2014/chart" uri="{C3380CC4-5D6E-409C-BE32-E72D297353CC}">
              <c16:uniqueId val="{00000003-526C-404C-93D3-C6EB4EDCDAAE}"/>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3.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4.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5.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4.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5.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6.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28.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29.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1.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32.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33.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4.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6.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The Empire District Electric Company</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214312</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214312</xdr:colOff>
      <xdr:row>1</xdr:row>
      <xdr:rowOff>321469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10</xdr:col>
      <xdr:colOff>935355</xdr:colOff>
      <xdr:row>1</xdr:row>
      <xdr:rowOff>401955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288853</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320040</xdr:colOff>
      <xdr:row>0</xdr:row>
      <xdr:rowOff>59055</xdr:rowOff>
    </xdr:from>
    <xdr:to>
      <xdr:col>4</xdr:col>
      <xdr:colOff>859131</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854710</xdr:colOff>
      <xdr:row>0</xdr:row>
      <xdr:rowOff>59055</xdr:rowOff>
    </xdr:from>
    <xdr:to>
      <xdr:col>6</xdr:col>
      <xdr:colOff>781060</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778510</xdr:colOff>
      <xdr:row>0</xdr:row>
      <xdr:rowOff>59055</xdr:rowOff>
    </xdr:from>
    <xdr:to>
      <xdr:col>9</xdr:col>
      <xdr:colOff>95862</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93344</xdr:colOff>
      <xdr:row>0</xdr:row>
      <xdr:rowOff>59055</xdr:rowOff>
    </xdr:from>
    <xdr:to>
      <xdr:col>10</xdr:col>
      <xdr:colOff>931583</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859907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96520</xdr:colOff>
      <xdr:row>1</xdr:row>
      <xdr:rowOff>441959</xdr:rowOff>
    </xdr:from>
    <xdr:to>
      <xdr:col>11</xdr:col>
      <xdr:colOff>36824</xdr:colOff>
      <xdr:row>1</xdr:row>
      <xdr:rowOff>781092</xdr:rowOff>
    </xdr:to>
    <xdr:sp macro="" textlink="">
      <xdr:nvSpPr>
        <xdr:cNvPr id="2"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1238250</xdr:colOff>
      <xdr:row>0</xdr:row>
      <xdr:rowOff>296740</xdr:rowOff>
    </xdr:from>
    <xdr:to>
      <xdr:col>9</xdr:col>
      <xdr:colOff>97179</xdr:colOff>
      <xdr:row>1</xdr:row>
      <xdr:rowOff>279693</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71625" y="296740"/>
          <a:ext cx="62355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Empire - 2025 Program Year Evaluation</a:t>
          </a:fld>
          <a:endParaRPr lang="en-US" sz="1600" b="1" i="1" u="none"/>
        </a:p>
      </xdr:txBody>
    </xdr:sp>
    <xdr:clientData/>
  </xdr:twoCellAnchor>
  <xdr:twoCellAnchor editAs="absolute">
    <xdr:from>
      <xdr:col>2</xdr:col>
      <xdr:colOff>1925320</xdr:colOff>
      <xdr:row>1</xdr:row>
      <xdr:rowOff>131445</xdr:rowOff>
    </xdr:from>
    <xdr:to>
      <xdr:col>8</xdr:col>
      <xdr:colOff>19097</xdr:colOff>
      <xdr:row>1</xdr:row>
      <xdr:rowOff>419270</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41550" y="501015"/>
          <a:ext cx="47498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167640</xdr:colOff>
      <xdr:row>1</xdr:row>
      <xdr:rowOff>91440</xdr:rowOff>
    </xdr:from>
    <xdr:to>
      <xdr:col>10</xdr:col>
      <xdr:colOff>190500</xdr:colOff>
      <xdr:row>1</xdr:row>
      <xdr:rowOff>320040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243840</xdr:colOff>
      <xdr:row>1</xdr:row>
      <xdr:rowOff>91440</xdr:rowOff>
    </xdr:from>
    <xdr:to>
      <xdr:col>10</xdr:col>
      <xdr:colOff>892063</xdr:colOff>
      <xdr:row>1</xdr:row>
      <xdr:rowOff>320040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402936</xdr:colOff>
      <xdr:row>2</xdr:row>
      <xdr:rowOff>116032</xdr:rowOff>
    </xdr:from>
    <xdr:to>
      <xdr:col>10</xdr:col>
      <xdr:colOff>891894</xdr:colOff>
      <xdr:row>3</xdr:row>
      <xdr:rowOff>170238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Empire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11</xdr:col>
      <xdr:colOff>0</xdr:colOff>
      <xdr:row>1</xdr:row>
      <xdr:rowOff>398780</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60324</xdr:rowOff>
    </xdr:from>
    <xdr:to>
      <xdr:col>2</xdr:col>
      <xdr:colOff>1236241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1240155</xdr:colOff>
      <xdr:row>0</xdr:row>
      <xdr:rowOff>55880</xdr:rowOff>
    </xdr:from>
    <xdr:to>
      <xdr:col>3</xdr:col>
      <xdr:colOff>287022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285115</xdr:colOff>
      <xdr:row>0</xdr:row>
      <xdr:rowOff>55880</xdr:rowOff>
    </xdr:from>
    <xdr:to>
      <xdr:col>5</xdr:col>
      <xdr:colOff>92710</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92710</xdr:colOff>
      <xdr:row>0</xdr:row>
      <xdr:rowOff>55880</xdr:rowOff>
    </xdr:from>
    <xdr:to>
      <xdr:col>6</xdr:col>
      <xdr:colOff>705412</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708025</xdr:colOff>
      <xdr:row>0</xdr:row>
      <xdr:rowOff>55880</xdr:rowOff>
    </xdr:from>
    <xdr:to>
      <xdr:col>8</xdr:col>
      <xdr:colOff>475684</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478789</xdr:colOff>
      <xdr:row>0</xdr:row>
      <xdr:rowOff>55880</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856732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92075</xdr:colOff>
      <xdr:row>1</xdr:row>
      <xdr:rowOff>441324</xdr:rowOff>
    </xdr:from>
    <xdr:to>
      <xdr:col>10</xdr:col>
      <xdr:colOff>130175</xdr:colOff>
      <xdr:row>1</xdr:row>
      <xdr:rowOff>781727</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1238885</xdr:colOff>
      <xdr:row>0</xdr:row>
      <xdr:rowOff>294941</xdr:rowOff>
    </xdr:from>
    <xdr:to>
      <xdr:col>8</xdr:col>
      <xdr:colOff>511203</xdr:colOff>
      <xdr:row>1</xdr:row>
      <xdr:rowOff>279587</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71625" y="296846"/>
          <a:ext cx="630303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Empire - 2025 Program Year Evaluation</a:t>
          </a:fld>
          <a:endParaRPr lang="en-US" sz="1600" b="1" i="1" u="none">
            <a:latin typeface="+mn-lt"/>
          </a:endParaRPr>
        </a:p>
      </xdr:txBody>
    </xdr:sp>
    <xdr:clientData/>
  </xdr:twoCellAnchor>
  <xdr:twoCellAnchor editAs="absolute">
    <xdr:from>
      <xdr:col>2</xdr:col>
      <xdr:colOff>1924685</xdr:colOff>
      <xdr:row>1</xdr:row>
      <xdr:rowOff>132080</xdr:rowOff>
    </xdr:from>
    <xdr:to>
      <xdr:col>7</xdr:col>
      <xdr:colOff>667438</xdr:colOff>
      <xdr:row>1</xdr:row>
      <xdr:rowOff>412285</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48535" y="494030"/>
          <a:ext cx="474350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555625</xdr:colOff>
      <xdr:row>1</xdr:row>
      <xdr:rowOff>95250</xdr:rowOff>
    </xdr:from>
    <xdr:to>
      <xdr:col>9</xdr:col>
      <xdr:colOff>360073</xdr:colOff>
      <xdr:row>1</xdr:row>
      <xdr:rowOff>324485</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398145</xdr:colOff>
      <xdr:row>1</xdr:row>
      <xdr:rowOff>95250</xdr:rowOff>
    </xdr:from>
    <xdr:to>
      <xdr:col>10</xdr:col>
      <xdr:colOff>116196</xdr:colOff>
      <xdr:row>1</xdr:row>
      <xdr:rowOff>324485</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631190</xdr:colOff>
      <xdr:row>3</xdr:row>
      <xdr:rowOff>20378</xdr:rowOff>
    </xdr:from>
    <xdr:to>
      <xdr:col>10</xdr:col>
      <xdr:colOff>92113</xdr:colOff>
      <xdr:row>3</xdr:row>
      <xdr:rowOff>172778</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17030</xdr:colOff>
      <xdr:row>3</xdr:row>
      <xdr:rowOff>170584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76200</xdr:colOff>
      <xdr:row>1</xdr:row>
      <xdr:rowOff>91440</xdr:rowOff>
    </xdr:from>
    <xdr:to>
      <xdr:col>3</xdr:col>
      <xdr:colOff>732719</xdr:colOff>
      <xdr:row>1</xdr:row>
      <xdr:rowOff>320040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46355</xdr:colOff>
      <xdr:row>2</xdr:row>
      <xdr:rowOff>16509</xdr:rowOff>
    </xdr:from>
    <xdr:to>
      <xdr:col>8</xdr:col>
      <xdr:colOff>152400</xdr:colOff>
      <xdr:row>2</xdr:row>
      <xdr:rowOff>403859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91440</xdr:rowOff>
    </xdr:from>
    <xdr:to>
      <xdr:col>3</xdr:col>
      <xdr:colOff>743514</xdr:colOff>
      <xdr:row>1</xdr:row>
      <xdr:rowOff>320040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12</xdr:col>
      <xdr:colOff>205740</xdr:colOff>
      <xdr:row>1</xdr:row>
      <xdr:rowOff>401955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326515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321945</xdr:colOff>
      <xdr:row>0</xdr:row>
      <xdr:rowOff>59055</xdr:rowOff>
    </xdr:from>
    <xdr:to>
      <xdr:col>5</xdr:col>
      <xdr:colOff>401955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401955</xdr:colOff>
      <xdr:row>0</xdr:row>
      <xdr:rowOff>59055</xdr:rowOff>
    </xdr:from>
    <xdr:to>
      <xdr:col>7</xdr:col>
      <xdr:colOff>250825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281940</xdr:colOff>
      <xdr:row>0</xdr:row>
      <xdr:rowOff>59055</xdr:rowOff>
    </xdr:from>
    <xdr:to>
      <xdr:col>9</xdr:col>
      <xdr:colOff>250190</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59055</xdr:rowOff>
    </xdr:from>
    <xdr:to>
      <xdr:col>12</xdr:col>
      <xdr:colOff>211454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859907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12</xdr:col>
      <xdr:colOff>150495</xdr:colOff>
      <xdr:row>1</xdr:row>
      <xdr:rowOff>777282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1238250</xdr:colOff>
      <xdr:row>0</xdr:row>
      <xdr:rowOff>292949</xdr:rowOff>
    </xdr:from>
    <xdr:to>
      <xdr:col>9</xdr:col>
      <xdr:colOff>287646</xdr:colOff>
      <xdr:row>1</xdr:row>
      <xdr:rowOff>275863</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69258" y="294854"/>
          <a:ext cx="625953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Empire - 2025 Program Year Evaluation</a:t>
          </a:fld>
          <a:endParaRPr lang="en-US" sz="1600" b="1" i="1" u="none"/>
        </a:p>
      </xdr:txBody>
    </xdr:sp>
    <xdr:clientData/>
  </xdr:twoCellAnchor>
  <xdr:twoCellAnchor editAs="absolute">
    <xdr:from>
      <xdr:col>2</xdr:col>
      <xdr:colOff>1925320</xdr:colOff>
      <xdr:row>1</xdr:row>
      <xdr:rowOff>131445</xdr:rowOff>
    </xdr:from>
    <xdr:to>
      <xdr:col>8</xdr:col>
      <xdr:colOff>325899</xdr:colOff>
      <xdr:row>1</xdr:row>
      <xdr:rowOff>419270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46745" y="502747"/>
          <a:ext cx="473799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321945</xdr:colOff>
      <xdr:row>1</xdr:row>
      <xdr:rowOff>91440</xdr:rowOff>
    </xdr:from>
    <xdr:to>
      <xdr:col>11</xdr:col>
      <xdr:colOff>363855</xdr:colOff>
      <xdr:row>1</xdr:row>
      <xdr:rowOff>320040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91440</xdr:rowOff>
    </xdr:from>
    <xdr:to>
      <xdr:col>12</xdr:col>
      <xdr:colOff>135255</xdr:colOff>
      <xdr:row>1</xdr:row>
      <xdr:rowOff>320040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807056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54495</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816581</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11</xdr:col>
      <xdr:colOff>591589</xdr:colOff>
      <xdr:row>1</xdr:row>
      <xdr:rowOff>398145</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322705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325755</xdr:colOff>
      <xdr:row>0</xdr:row>
      <xdr:rowOff>55245</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209550</xdr:colOff>
      <xdr:row>0</xdr:row>
      <xdr:rowOff>55245</xdr:rowOff>
    </xdr:from>
    <xdr:to>
      <xdr:col>7</xdr:col>
      <xdr:colOff>170815</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209550</xdr:colOff>
      <xdr:row>0</xdr:row>
      <xdr:rowOff>55245</xdr:rowOff>
    </xdr:from>
    <xdr:to>
      <xdr:col>9</xdr:col>
      <xdr:colOff>57792</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59054</xdr:colOff>
      <xdr:row>0</xdr:row>
      <xdr:rowOff>55245</xdr:rowOff>
    </xdr:from>
    <xdr:to>
      <xdr:col>11</xdr:col>
      <xdr:colOff>591184</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856097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91440</xdr:colOff>
      <xdr:row>1</xdr:row>
      <xdr:rowOff>441959</xdr:rowOff>
    </xdr:from>
    <xdr:to>
      <xdr:col>11</xdr:col>
      <xdr:colOff>517530</xdr:colOff>
      <xdr:row>1</xdr:row>
      <xdr:rowOff>1087466</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1238250</xdr:colOff>
      <xdr:row>0</xdr:row>
      <xdr:rowOff>293902</xdr:rowOff>
    </xdr:from>
    <xdr:to>
      <xdr:col>9</xdr:col>
      <xdr:colOff>59079</xdr:colOff>
      <xdr:row>1</xdr:row>
      <xdr:rowOff>276816</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63485" y="295807"/>
          <a:ext cx="612044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Empire - 2025 Program Year Evaluation</a:t>
          </a:fld>
          <a:endParaRPr lang="en-US" sz="1600" b="1" i="1" u="none"/>
        </a:p>
      </xdr:txBody>
    </xdr:sp>
    <xdr:clientData/>
  </xdr:twoCellAnchor>
  <xdr:twoCellAnchor editAs="absolute">
    <xdr:from>
      <xdr:col>2</xdr:col>
      <xdr:colOff>1921510</xdr:colOff>
      <xdr:row>1</xdr:row>
      <xdr:rowOff>135255</xdr:rowOff>
    </xdr:from>
    <xdr:to>
      <xdr:col>8</xdr:col>
      <xdr:colOff>173381</xdr:colOff>
      <xdr:row>1</xdr:row>
      <xdr:rowOff>419270</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41550" y="501015"/>
          <a:ext cx="471744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133350</xdr:colOff>
      <xdr:row>1</xdr:row>
      <xdr:rowOff>95250</xdr:rowOff>
    </xdr:from>
    <xdr:to>
      <xdr:col>9</xdr:col>
      <xdr:colOff>781573</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11</xdr:col>
      <xdr:colOff>516310</xdr:colOff>
      <xdr:row>1</xdr:row>
      <xdr:rowOff>323850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5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11</xdr:col>
      <xdr:colOff>523</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297640</xdr:rowOff>
    </xdr:from>
    <xdr:to>
      <xdr:col>10</xdr:col>
      <xdr:colOff>255271</xdr:colOff>
      <xdr:row>1</xdr:row>
      <xdr:rowOff>283238</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50194" y="297640"/>
          <a:ext cx="594407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Empire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5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A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B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E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E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12065</xdr:colOff>
      <xdr:row>1</xdr:row>
      <xdr:rowOff>0</xdr:rowOff>
    </xdr:from>
    <xdr:to>
      <xdr:col>11</xdr:col>
      <xdr:colOff>0</xdr:colOff>
      <xdr:row>1</xdr:row>
      <xdr:rowOff>402590</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12065</xdr:colOff>
      <xdr:row>0</xdr:row>
      <xdr:rowOff>64134</xdr:rowOff>
    </xdr:from>
    <xdr:to>
      <xdr:col>2</xdr:col>
      <xdr:colOff>1240051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1236980</xdr:colOff>
      <xdr:row>0</xdr:row>
      <xdr:rowOff>59690</xdr:rowOff>
    </xdr:from>
    <xdr:to>
      <xdr:col>3</xdr:col>
      <xdr:colOff>967759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59690</xdr:rowOff>
    </xdr:from>
    <xdr:to>
      <xdr:col>4</xdr:col>
      <xdr:colOff>400826</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59690</xdr:rowOff>
    </xdr:from>
    <xdr:to>
      <xdr:col>6</xdr:col>
      <xdr:colOff>514985</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517525</xdr:colOff>
      <xdr:row>0</xdr:row>
      <xdr:rowOff>59690</xdr:rowOff>
    </xdr:from>
    <xdr:to>
      <xdr:col>9</xdr:col>
      <xdr:colOff>165100</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168909</xdr:colOff>
      <xdr:row>0</xdr:row>
      <xdr:rowOff>59690</xdr:rowOff>
    </xdr:from>
    <xdr:to>
      <xdr:col>11</xdr:col>
      <xdr:colOff>1956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860542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88265</xdr:colOff>
      <xdr:row>1</xdr:row>
      <xdr:rowOff>445134</xdr:rowOff>
    </xdr:from>
    <xdr:to>
      <xdr:col>10</xdr:col>
      <xdr:colOff>968369</xdr:colOff>
      <xdr:row>1</xdr:row>
      <xdr:rowOff>777917</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1231265</xdr:colOff>
      <xdr:row>0</xdr:row>
      <xdr:rowOff>289226</xdr:rowOff>
    </xdr:from>
    <xdr:to>
      <xdr:col>9</xdr:col>
      <xdr:colOff>174014</xdr:colOff>
      <xdr:row>1</xdr:row>
      <xdr:rowOff>287207</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Empire - 2025 EE Portfolio Information</a:t>
          </a:fld>
          <a:endParaRPr lang="en-US" sz="1600" b="1" i="1" u="none"/>
        </a:p>
      </xdr:txBody>
    </xdr:sp>
    <xdr:clientData/>
  </xdr:twoCellAnchor>
  <xdr:twoCellAnchor editAs="absolute">
    <xdr:from>
      <xdr:col>3</xdr:col>
      <xdr:colOff>188595</xdr:colOff>
      <xdr:row>1</xdr:row>
      <xdr:rowOff>132080</xdr:rowOff>
    </xdr:from>
    <xdr:to>
      <xdr:col>8</xdr:col>
      <xdr:colOff>95259</xdr:colOff>
      <xdr:row>1</xdr:row>
      <xdr:rowOff>408475</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301413" y="495762"/>
          <a:ext cx="469514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248920</xdr:colOff>
      <xdr:row>1</xdr:row>
      <xdr:rowOff>91440</xdr:rowOff>
    </xdr:from>
    <xdr:to>
      <xdr:col>10</xdr:col>
      <xdr:colOff>266700</xdr:colOff>
      <xdr:row>1</xdr:row>
      <xdr:rowOff>320675</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320675</xdr:colOff>
      <xdr:row>1</xdr:row>
      <xdr:rowOff>91440</xdr:rowOff>
    </xdr:from>
    <xdr:to>
      <xdr:col>10</xdr:col>
      <xdr:colOff>965255</xdr:colOff>
      <xdr:row>1</xdr:row>
      <xdr:rowOff>320040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91440</xdr:rowOff>
    </xdr:from>
    <xdr:to>
      <xdr:col>2</xdr:col>
      <xdr:colOff>808961</xdr:colOff>
      <xdr:row>1</xdr:row>
      <xdr:rowOff>320040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6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6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8</xdr:col>
      <xdr:colOff>970165</xdr:colOff>
      <xdr:row>1</xdr:row>
      <xdr:rowOff>129886</xdr:rowOff>
    </xdr:from>
    <xdr:to>
      <xdr:col>10</xdr:col>
      <xdr:colOff>171940</xdr:colOff>
      <xdr:row>1</xdr:row>
      <xdr:rowOff>358486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7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20088</xdr:colOff>
      <xdr:row>2</xdr:row>
      <xdr:rowOff>34634</xdr:rowOff>
    </xdr:from>
    <xdr:to>
      <xdr:col>10</xdr:col>
      <xdr:colOff>321251</xdr:colOff>
      <xdr:row>5</xdr:row>
      <xdr:rowOff>2597</xdr:rowOff>
    </xdr:to>
    <xdr:sp macro="" textlink="">
      <xdr:nvSpPr>
        <xdr:cNvPr id="4" name="Rounded Rectangle 6">
          <a:extLst>
            <a:ext uri="{FF2B5EF4-FFF2-40B4-BE49-F238E27FC236}">
              <a16:creationId xmlns:a16="http://schemas.microsoft.com/office/drawing/2014/main" id="{00000000-0008-0000-17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17318</xdr:colOff>
      <xdr:row>1</xdr:row>
      <xdr:rowOff>130752</xdr:rowOff>
    </xdr:from>
    <xdr:to>
      <xdr:col>3</xdr:col>
      <xdr:colOff>57948</xdr:colOff>
      <xdr:row>1</xdr:row>
      <xdr:rowOff>359352</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19050</xdr:colOff>
      <xdr:row>1</xdr:row>
      <xdr:rowOff>123825</xdr:rowOff>
    </xdr:from>
    <xdr:to>
      <xdr:col>2</xdr:col>
      <xdr:colOff>169563</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3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334241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3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1021083</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333375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758251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4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5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5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5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21590</xdr:colOff>
      <xdr:row>1</xdr:row>
      <xdr:rowOff>129540</xdr:rowOff>
    </xdr:from>
    <xdr:to>
      <xdr:col>3</xdr:col>
      <xdr:colOff>325759</xdr:colOff>
      <xdr:row>1</xdr:row>
      <xdr:rowOff>358140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63500</xdr:colOff>
      <xdr:row>15</xdr:row>
      <xdr:rowOff>159615</xdr:rowOff>
    </xdr:from>
    <xdr:to>
      <xdr:col>14</xdr:col>
      <xdr:colOff>46183</xdr:colOff>
      <xdr:row>29</xdr:row>
      <xdr:rowOff>109681</xdr:rowOff>
    </xdr:to>
    <xdr:graphicFrame macro="">
      <xdr:nvGraphicFramePr>
        <xdr:cNvPr id="35" name="Chart 5">
          <a:extLst>
            <a:ext uri="{FF2B5EF4-FFF2-40B4-BE49-F238E27FC236}">
              <a16:creationId xmlns:a16="http://schemas.microsoft.com/office/drawing/2014/main" id="{00000000-0008-0000-26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396320</xdr:colOff>
      <xdr:row>1</xdr:row>
      <xdr:rowOff>326390</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363743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0.68563</cdr:x>
      <cdr:y>0.84015</cdr:y>
    </cdr:from>
    <cdr:to>
      <cdr:x>0.74539</cdr:x>
      <cdr:y>0.95932</cdr:y>
    </cdr:to>
    <cdr:sp macro="" textlink="">
      <cdr:nvSpPr>
        <cdr:cNvPr id="2" name="TextBox 1">
          <a:extLst xmlns:a="http://schemas.openxmlformats.org/drawingml/2006/main">
            <a:ext uri="{FF2B5EF4-FFF2-40B4-BE49-F238E27FC236}">
              <a16:creationId xmlns:a16="http://schemas.microsoft.com/office/drawing/2014/main" id="{D5834F29-FD31-DA66-251D-3B7A2535BED9}"/>
            </a:ext>
          </a:extLst>
        </cdr:cNvPr>
        <cdr:cNvSpPr txBox="1"/>
      </cdr:nvSpPr>
      <cdr:spPr>
        <a:xfrm xmlns:a="http://schemas.openxmlformats.org/drawingml/2006/main">
          <a:off x="5347566" y="1907742"/>
          <a:ext cx="466147" cy="2705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kern="1200"/>
            <a:t>2025</a:t>
          </a:r>
          <a:endParaRPr lang="en-US" sz="1100" kern="1200"/>
        </a:p>
      </cdr:txBody>
    </cdr:sp>
  </cdr:relSizeAnchor>
</c:userShapes>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17319</xdr:colOff>
      <xdr:row>12</xdr:row>
      <xdr:rowOff>35502</xdr:rowOff>
    </xdr:from>
    <xdr:to>
      <xdr:col>13</xdr:col>
      <xdr:colOff>406978</xdr:colOff>
      <xdr:row>28</xdr:row>
      <xdr:rowOff>34636</xdr:rowOff>
    </xdr:to>
    <xdr:graphicFrame macro="">
      <xdr:nvGraphicFramePr>
        <xdr:cNvPr id="193473" name="Chart 1">
          <a:extLst>
            <a:ext uri="{FF2B5EF4-FFF2-40B4-BE49-F238E27FC236}">
              <a16:creationId xmlns:a16="http://schemas.microsoft.com/office/drawing/2014/main" id="{00000000-0008-0000-27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297011</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7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8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8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8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6</xdr:col>
      <xdr:colOff>1246332</xdr:colOff>
      <xdr:row>1</xdr:row>
      <xdr:rowOff>409575</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1241147</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1248236</xdr:colOff>
      <xdr:row>0</xdr:row>
      <xdr:rowOff>66675</xdr:rowOff>
    </xdr:from>
    <xdr:to>
      <xdr:col>3</xdr:col>
      <xdr:colOff>837474</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3</xdr:col>
      <xdr:colOff>850726</xdr:colOff>
      <xdr:row>0</xdr:row>
      <xdr:rowOff>66675</xdr:rowOff>
    </xdr:from>
    <xdr:to>
      <xdr:col>3</xdr:col>
      <xdr:colOff>2391227</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3</xdr:col>
      <xdr:colOff>2412827</xdr:colOff>
      <xdr:row>0</xdr:row>
      <xdr:rowOff>66675</xdr:rowOff>
    </xdr:from>
    <xdr:to>
      <xdr:col>4</xdr:col>
      <xdr:colOff>1468016</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4</xdr:col>
      <xdr:colOff>1479377</xdr:colOff>
      <xdr:row>0</xdr:row>
      <xdr:rowOff>66675</xdr:rowOff>
    </xdr:from>
    <xdr:to>
      <xdr:col>5</xdr:col>
      <xdr:colOff>1399029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5</xdr:col>
      <xdr:colOff>1419051</xdr:colOff>
      <xdr:row>0</xdr:row>
      <xdr:rowOff>66675</xdr:rowOff>
    </xdr:from>
    <xdr:to>
      <xdr:col>6</xdr:col>
      <xdr:colOff>1250236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866083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2</xdr:col>
      <xdr:colOff>1227281</xdr:colOff>
      <xdr:row>0</xdr:row>
      <xdr:rowOff>293671</xdr:rowOff>
    </xdr:from>
    <xdr:to>
      <xdr:col>5</xdr:col>
      <xdr:colOff>1428578</xdr:colOff>
      <xdr:row>1</xdr:row>
      <xdr:rowOff>274507</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Empire - 2025 EE Portfolio Information</a:t>
          </a:fld>
          <a:endParaRPr lang="en-US" sz="1600" b="1" i="1" u="none"/>
        </a:p>
      </xdr:txBody>
    </xdr:sp>
    <xdr:clientData/>
  </xdr:twoCellAnchor>
  <xdr:twoCellAnchor editAs="absolute">
    <xdr:from>
      <xdr:col>2</xdr:col>
      <xdr:colOff>1923876</xdr:colOff>
      <xdr:row>1</xdr:row>
      <xdr:rowOff>142875</xdr:rowOff>
    </xdr:from>
    <xdr:to>
      <xdr:col>5</xdr:col>
      <xdr:colOff>733896</xdr:colOff>
      <xdr:row>1</xdr:row>
      <xdr:rowOff>429430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5</xdr:col>
      <xdr:colOff>1485727</xdr:colOff>
      <xdr:row>1</xdr:row>
      <xdr:rowOff>95250</xdr:rowOff>
    </xdr:from>
    <xdr:to>
      <xdr:col>6</xdr:col>
      <xdr:colOff>474594</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6</xdr:col>
      <xdr:colOff>534497</xdr:colOff>
      <xdr:row>1</xdr:row>
      <xdr:rowOff>95250</xdr:rowOff>
    </xdr:from>
    <xdr:to>
      <xdr:col>6</xdr:col>
      <xdr:colOff>1184214</xdr:colOff>
      <xdr:row>1</xdr:row>
      <xdr:rowOff>316230</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389658</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1041111</xdr:colOff>
      <xdr:row>3</xdr:row>
      <xdr:rowOff>12411</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9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9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9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A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A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B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E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7</xdr:col>
      <xdr:colOff>190501</xdr:colOff>
      <xdr:row>2</xdr:row>
      <xdr:rowOff>675409</xdr:rowOff>
    </xdr:to>
    <xdr:sp macro="" textlink="">
      <xdr:nvSpPr>
        <xdr:cNvPr id="10" name="Rounded Rectangle 6">
          <a:extLst>
            <a:ext uri="{FF2B5EF4-FFF2-40B4-BE49-F238E27FC236}">
              <a16:creationId xmlns:a16="http://schemas.microsoft.com/office/drawing/2014/main" id="{00000000-0008-0000-2E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772085</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11</xdr:col>
      <xdr:colOff>0</xdr:colOff>
      <xdr:row>1</xdr:row>
      <xdr:rowOff>398145</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322663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55245</xdr:rowOff>
    </xdr:from>
    <xdr:to>
      <xdr:col>5</xdr:col>
      <xdr:colOff>22232</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57150</xdr:colOff>
      <xdr:row>0</xdr:row>
      <xdr:rowOff>55245</xdr:rowOff>
    </xdr:from>
    <xdr:to>
      <xdr:col>6</xdr:col>
      <xdr:colOff>630512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663575</xdr:colOff>
      <xdr:row>0</xdr:row>
      <xdr:rowOff>55245</xdr:rowOff>
    </xdr:from>
    <xdr:to>
      <xdr:col>8</xdr:col>
      <xdr:colOff>323191</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363219</xdr:colOff>
      <xdr:row>0</xdr:row>
      <xdr:rowOff>55245</xdr:rowOff>
    </xdr:from>
    <xdr:to>
      <xdr:col>11</xdr:col>
      <xdr:colOff>359</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856097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91440</xdr:colOff>
      <xdr:row>1</xdr:row>
      <xdr:rowOff>441958</xdr:rowOff>
    </xdr:from>
    <xdr:to>
      <xdr:col>10</xdr:col>
      <xdr:colOff>474332</xdr:colOff>
      <xdr:row>1</xdr:row>
      <xdr:rowOff>932410</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1234440</xdr:colOff>
      <xdr:row>0</xdr:row>
      <xdr:rowOff>287850</xdr:rowOff>
    </xdr:from>
    <xdr:to>
      <xdr:col>8</xdr:col>
      <xdr:colOff>360064</xdr:colOff>
      <xdr:row>1</xdr:row>
      <xdr:rowOff>282233</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76917" y="291660"/>
          <a:ext cx="62517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Empire - 2025 EE Portfolio Information</a:t>
          </a:fld>
          <a:endParaRPr lang="en-US" sz="1600" b="1" i="1" u="none"/>
        </a:p>
      </xdr:txBody>
    </xdr:sp>
    <xdr:clientData/>
  </xdr:twoCellAnchor>
  <xdr:twoCellAnchor editAs="absolute">
    <xdr:from>
      <xdr:col>2</xdr:col>
      <xdr:colOff>1925955</xdr:colOff>
      <xdr:row>1</xdr:row>
      <xdr:rowOff>135255</xdr:rowOff>
    </xdr:from>
    <xdr:to>
      <xdr:col>7</xdr:col>
      <xdr:colOff>549957</xdr:colOff>
      <xdr:row>1</xdr:row>
      <xdr:rowOff>419270</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39645" y="498898"/>
          <a:ext cx="472000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403225</xdr:colOff>
      <xdr:row>1</xdr:row>
      <xdr:rowOff>95250</xdr:rowOff>
    </xdr:from>
    <xdr:to>
      <xdr:col>9</xdr:col>
      <xdr:colOff>173575</xdr:colOff>
      <xdr:row>1</xdr:row>
      <xdr:rowOff>323850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211455</xdr:colOff>
      <xdr:row>1</xdr:row>
      <xdr:rowOff>95250</xdr:rowOff>
    </xdr:from>
    <xdr:to>
      <xdr:col>10</xdr:col>
      <xdr:colOff>474412</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440058</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18876</xdr:colOff>
      <xdr:row>3</xdr:row>
      <xdr:rowOff>130463</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733989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11</xdr:col>
      <xdr:colOff>0</xdr:colOff>
      <xdr:row>1</xdr:row>
      <xdr:rowOff>398780</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60324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1240790</xdr:colOff>
      <xdr:row>0</xdr:row>
      <xdr:rowOff>55880</xdr:rowOff>
    </xdr:from>
    <xdr:to>
      <xdr:col>3</xdr:col>
      <xdr:colOff>323298</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55880</xdr:rowOff>
    </xdr:from>
    <xdr:to>
      <xdr:col>5</xdr:col>
      <xdr:colOff>21597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55880</xdr:rowOff>
    </xdr:from>
    <xdr:to>
      <xdr:col>7</xdr:col>
      <xdr:colOff>58445</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55880</xdr:colOff>
      <xdr:row>0</xdr:row>
      <xdr:rowOff>55880</xdr:rowOff>
    </xdr:from>
    <xdr:to>
      <xdr:col>8</xdr:col>
      <xdr:colOff>168947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172719</xdr:colOff>
      <xdr:row>0</xdr:row>
      <xdr:rowOff>55880</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856732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53628</xdr:colOff>
      <xdr:row>1</xdr:row>
      <xdr:rowOff>441323</xdr:rowOff>
    </xdr:from>
    <xdr:to>
      <xdr:col>10</xdr:col>
      <xdr:colOff>249842</xdr:colOff>
      <xdr:row>1</xdr:row>
      <xdr:rowOff>894599</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1238885</xdr:colOff>
      <xdr:row>0</xdr:row>
      <xdr:rowOff>296820</xdr:rowOff>
    </xdr:from>
    <xdr:to>
      <xdr:col>8</xdr:col>
      <xdr:colOff>174014</xdr:colOff>
      <xdr:row>1</xdr:row>
      <xdr:rowOff>275804</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76229" y="296820"/>
          <a:ext cx="623762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Empire - 2025 EE Portfolio Information</a:t>
          </a:fld>
          <a:endParaRPr lang="en-US" sz="1600" b="1" i="1" u="none"/>
        </a:p>
      </xdr:txBody>
    </xdr:sp>
    <xdr:clientData/>
  </xdr:twoCellAnchor>
  <xdr:twoCellAnchor editAs="absolute">
    <xdr:from>
      <xdr:col>2</xdr:col>
      <xdr:colOff>1925955</xdr:colOff>
      <xdr:row>1</xdr:row>
      <xdr:rowOff>135890</xdr:rowOff>
    </xdr:from>
    <xdr:to>
      <xdr:col>7</xdr:col>
      <xdr:colOff>860460</xdr:colOff>
      <xdr:row>1</xdr:row>
      <xdr:rowOff>416095</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63299" y="499692"/>
          <a:ext cx="480825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245110</xdr:colOff>
      <xdr:row>1</xdr:row>
      <xdr:rowOff>95250</xdr:rowOff>
    </xdr:from>
    <xdr:to>
      <xdr:col>8</xdr:col>
      <xdr:colOff>859790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324485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1047634</xdr:colOff>
      <xdr:row>3</xdr:row>
      <xdr:rowOff>209664</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11</xdr:col>
      <xdr:colOff>0</xdr:colOff>
      <xdr:row>1</xdr:row>
      <xdr:rowOff>406400</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2</xdr:col>
      <xdr:colOff>1250017</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1244600</xdr:colOff>
      <xdr:row>0</xdr:row>
      <xdr:rowOff>63500</xdr:rowOff>
    </xdr:from>
    <xdr:to>
      <xdr:col>4</xdr:col>
      <xdr:colOff>257735</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277495</xdr:colOff>
      <xdr:row>0</xdr:row>
      <xdr:rowOff>63500</xdr:rowOff>
    </xdr:from>
    <xdr:to>
      <xdr:col>5</xdr:col>
      <xdr:colOff>698449</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713740</xdr:colOff>
      <xdr:row>0</xdr:row>
      <xdr:rowOff>63500</xdr:rowOff>
    </xdr:from>
    <xdr:to>
      <xdr:col>7</xdr:col>
      <xdr:colOff>83173</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63500</xdr:rowOff>
    </xdr:from>
    <xdr:to>
      <xdr:col>8</xdr:col>
      <xdr:colOff>503492</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523239</xdr:colOff>
      <xdr:row>0</xdr:row>
      <xdr:rowOff>63500</xdr:rowOff>
    </xdr:from>
    <xdr:to>
      <xdr:col>10</xdr:col>
      <xdr:colOff>694689</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864352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82550</xdr:colOff>
      <xdr:row>1</xdr:row>
      <xdr:rowOff>450849</xdr:rowOff>
    </xdr:from>
    <xdr:to>
      <xdr:col>10</xdr:col>
      <xdr:colOff>640720</xdr:colOff>
      <xdr:row>1</xdr:row>
      <xdr:rowOff>770297</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1225550</xdr:colOff>
      <xdr:row>0</xdr:row>
      <xdr:rowOff>296846</xdr:rowOff>
    </xdr:from>
    <xdr:to>
      <xdr:col>8</xdr:col>
      <xdr:colOff>526410</xdr:colOff>
      <xdr:row>1</xdr:row>
      <xdr:rowOff>277682</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43050" y="300021"/>
          <a:ext cx="593978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Empire - 2025 EE Portfolio Information</a:t>
          </a:fld>
          <a:endParaRPr lang="en-US" sz="1600" b="1" i="1" u="none"/>
        </a:p>
      </xdr:txBody>
    </xdr:sp>
    <xdr:clientData/>
  </xdr:twoCellAnchor>
  <xdr:twoCellAnchor editAs="absolute">
    <xdr:from>
      <xdr:col>3</xdr:col>
      <xdr:colOff>523240</xdr:colOff>
      <xdr:row>1</xdr:row>
      <xdr:rowOff>139700</xdr:rowOff>
    </xdr:from>
    <xdr:to>
      <xdr:col>7</xdr:col>
      <xdr:colOff>886465</xdr:colOff>
      <xdr:row>1</xdr:row>
      <xdr:rowOff>426255</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583565</xdr:colOff>
      <xdr:row>1</xdr:row>
      <xdr:rowOff>95250</xdr:rowOff>
    </xdr:from>
    <xdr:to>
      <xdr:col>9</xdr:col>
      <xdr:colOff>340995</xdr:colOff>
      <xdr:row>1</xdr:row>
      <xdr:rowOff>313055</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639500</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6351</xdr:rowOff>
    </xdr:from>
    <xdr:to>
      <xdr:col>2</xdr:col>
      <xdr:colOff>1094108</xdr:colOff>
      <xdr:row>7</xdr:row>
      <xdr:rowOff>44451</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6350</xdr:colOff>
      <xdr:row>12</xdr:row>
      <xdr:rowOff>6350</xdr:rowOff>
    </xdr:from>
    <xdr:to>
      <xdr:col>2</xdr:col>
      <xdr:colOff>1087549</xdr:colOff>
      <xdr:row>13</xdr:row>
      <xdr:rowOff>44450</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26" totalsRowShown="0" headerRowDxfId="121" headerRowBorderDxfId="120" tableBorderDxfId="119" totalsRowBorderDxfId="118" headerRowCellStyle="Heading 2">
  <tableColumns count="12">
    <tableColumn id="1" xr3:uid="{00000000-0010-0000-0000-000001000000}" name="Event No." dataDxfId="117" dataCellStyle="Normal - Numbering">
      <calculatedColumnFormula>ROW()-6</calculatedColumnFormula>
    </tableColumn>
    <tableColumn id="12" xr3:uid="{00000000-0010-0000-0000-00000C000000}" name="Test" dataDxfId="116"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5"/>
    <tableColumn id="3" xr3:uid="{00000000-0010-0000-0000-000003000000}" name="Class" dataDxfId="114"/>
    <tableColumn id="4" xr3:uid="{00000000-0010-0000-0000-000004000000}" name="Class Description" dataDxfId="113"/>
    <tableColumn id="5" xr3:uid="{00000000-0010-0000-0000-000005000000}" name="Training Location" dataDxfId="112"/>
    <tableColumn id="6" xr3:uid="{00000000-0010-0000-0000-000006000000}" name="Sponsor" dataDxfId="111"/>
    <tableColumn id="7" xr3:uid="{00000000-0010-0000-0000-000007000000}" name="No. of Attendees_x000a_(A)" dataDxfId="110" dataCellStyle="Number_#,###"/>
    <tableColumn id="8" xr3:uid="{00000000-0010-0000-0000-000008000000}" name="Length of Session_x000a_(B)" dataDxfId="109" dataCellStyle="Number_#,###"/>
    <tableColumn id="9" xr3:uid="{00000000-0010-0000-0000-000009000000}" name="Training Session Man-Hours_x000a_(A x B)" dataDxfId="108" dataCellStyle="Number_#,###"/>
    <tableColumn id="10" xr3:uid="{00000000-0010-0000-0000-00000A000000}" name="Any Certificates Awarded?_x000a_(Y or N)" dataDxfId="107"/>
    <tableColumn id="11" xr3:uid="{00000000-0010-0000-0000-00000B000000}" name="# of Certificates Awarded" dataDxfId="106"/>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14" totalsRowShown="0" headerRowDxfId="105" headerRowBorderDxfId="104" tableBorderDxfId="103" totalsRowBorderDxfId="102" headerRowCellStyle="Heading 2">
  <tableColumns count="12">
    <tableColumn id="1" xr3:uid="{00000000-0010-0000-0100-000001000000}" name="Event No." dataDxfId="101" dataCellStyle="Normal - Numbering">
      <calculatedColumnFormula>ROW()-6</calculatedColumnFormula>
    </tableColumn>
    <tableColumn id="12" xr3:uid="{00000000-0010-0000-0100-00000C000000}" name="Test" dataDxfId="100"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99"/>
    <tableColumn id="3" xr3:uid="{00000000-0010-0000-0100-000003000000}" name="Class" dataDxfId="98"/>
    <tableColumn id="4" xr3:uid="{00000000-0010-0000-0100-000004000000}" name="Class Description" dataDxfId="97"/>
    <tableColumn id="5" xr3:uid="{00000000-0010-0000-0100-000005000000}" name="Training Location" dataDxfId="96"/>
    <tableColumn id="6" xr3:uid="{00000000-0010-0000-0100-000006000000}" name="Sponsor" dataDxfId="95"/>
    <tableColumn id="7" xr3:uid="{00000000-0010-0000-0100-000007000000}" name="No. of Attendees_x000a_(A)" dataDxfId="94" dataCellStyle="Number_#,###"/>
    <tableColumn id="8" xr3:uid="{00000000-0010-0000-0100-000008000000}" name="Length of Session_x000a_(B)" dataDxfId="93" dataCellStyle="Number_#,###"/>
    <tableColumn id="9" xr3:uid="{00000000-0010-0000-0100-000009000000}" name="Training Session Man-Hours_x000a_(A x B)" dataDxfId="92" dataCellStyle="Number_#,###"/>
    <tableColumn id="10" xr3:uid="{00000000-0010-0000-0100-00000A000000}" name="Any Certificates Awarded?_x000a_(Y or N)" dataDxfId="91"/>
    <tableColumn id="11" xr3:uid="{00000000-0010-0000-0100-00000B000000}" name="# of Certificates Awarded" dataDxfId="9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CC21"/>
  <sheetViews>
    <sheetView showGridLines="0" showRowColHeaders="0" tabSelected="1" zoomScaleNormal="100" workbookViewId="0">
      <selection activeCell="AD14" sqref="AD14"/>
    </sheetView>
  </sheetViews>
  <sheetFormatPr defaultRowHeight="13.2" x14ac:dyDescent="0.25"/>
  <cols>
    <col min="1" max="1" width="1" customWidth="1"/>
    <col min="2" max="82" width="1.77734375" customWidth="1"/>
    <col min="85" max="85" width="10.21875" customWidth="1"/>
    <col min="86" max="86" width="2.44140625" customWidth="1"/>
  </cols>
  <sheetData>
    <row r="1" spans="2:81" ht="56.25" customHeight="1" x14ac:dyDescent="0.25">
      <c r="E1" s="57"/>
      <c r="F1" s="57"/>
      <c r="G1" s="57"/>
      <c r="S1" s="315" t="s">
        <v>0</v>
      </c>
    </row>
    <row r="2" spans="2:81" ht="56.25" customHeight="1" x14ac:dyDescent="0.25">
      <c r="E2" s="58"/>
      <c r="F2" s="58"/>
      <c r="G2" s="58"/>
      <c r="T2" s="316" t="s">
        <v>1</v>
      </c>
    </row>
    <row r="3" spans="2:81" ht="13.8" thickBot="1" x14ac:dyDescent="0.3">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c r="BG3" s="352"/>
      <c r="BH3" s="352"/>
      <c r="BI3" s="352"/>
      <c r="BJ3" s="352"/>
      <c r="BK3" s="352"/>
      <c r="BL3" s="352"/>
      <c r="BM3" s="352"/>
      <c r="BN3" s="352"/>
      <c r="BO3" s="352"/>
      <c r="BP3" s="352"/>
      <c r="BQ3" s="352"/>
      <c r="BR3" s="352"/>
      <c r="BS3" s="352"/>
      <c r="BT3" s="352"/>
      <c r="BU3" s="352"/>
      <c r="BV3" s="352"/>
      <c r="BW3" s="352"/>
      <c r="BX3" s="352"/>
      <c r="BY3" s="352"/>
      <c r="BZ3" s="352"/>
      <c r="CA3" s="352"/>
      <c r="CB3" s="352"/>
      <c r="CC3" s="352"/>
    </row>
    <row r="4" spans="2:81" ht="15.6" x14ac:dyDescent="0.3">
      <c r="B4" s="568" t="s">
        <v>2</v>
      </c>
      <c r="C4" s="569"/>
      <c r="D4" s="569"/>
      <c r="E4" s="569"/>
      <c r="F4" s="569"/>
      <c r="G4" s="569"/>
      <c r="H4" s="569"/>
      <c r="I4" s="569"/>
      <c r="J4" s="569"/>
      <c r="K4" s="569"/>
      <c r="L4" s="569"/>
      <c r="M4" s="569"/>
      <c r="N4" s="569"/>
      <c r="O4" s="569"/>
      <c r="P4" s="569"/>
      <c r="Q4" s="570"/>
      <c r="R4" s="568" t="s">
        <v>3</v>
      </c>
      <c r="S4" s="569"/>
      <c r="T4" s="569"/>
      <c r="U4" s="569"/>
      <c r="V4" s="569"/>
      <c r="W4" s="569"/>
      <c r="X4" s="569"/>
      <c r="Y4" s="569"/>
      <c r="Z4" s="569"/>
      <c r="AA4" s="569"/>
      <c r="AB4" s="569"/>
      <c r="AC4" s="569"/>
      <c r="AD4" s="569"/>
      <c r="AE4" s="569"/>
      <c r="AF4" s="569"/>
      <c r="AG4" s="569"/>
      <c r="AH4" s="569"/>
      <c r="AI4" s="569"/>
      <c r="AJ4" s="569"/>
      <c r="AK4" s="569"/>
      <c r="AL4" s="569"/>
      <c r="AM4" s="569"/>
      <c r="AN4" s="569"/>
      <c r="AO4" s="569"/>
      <c r="AP4" s="569"/>
      <c r="AQ4" s="569"/>
      <c r="AR4" s="569"/>
      <c r="AS4" s="569"/>
      <c r="AT4" s="569"/>
      <c r="AU4" s="569"/>
      <c r="AV4" s="569"/>
      <c r="AW4" s="569"/>
      <c r="AX4" s="569"/>
      <c r="AY4" s="569"/>
      <c r="AZ4" s="569"/>
      <c r="BA4" s="569"/>
      <c r="BB4" s="569"/>
      <c r="BC4" s="569"/>
      <c r="BD4" s="569"/>
      <c r="BE4" s="569"/>
      <c r="BF4" s="569"/>
      <c r="BG4" s="569"/>
      <c r="BH4" s="569"/>
      <c r="BI4" s="569"/>
      <c r="BJ4" s="569"/>
      <c r="BK4" s="569"/>
      <c r="BL4" s="569"/>
      <c r="BM4" s="569"/>
      <c r="BN4" s="569"/>
      <c r="BO4" s="569"/>
      <c r="BP4" s="569"/>
      <c r="BQ4" s="569"/>
      <c r="BR4" s="569"/>
      <c r="BS4" s="569"/>
      <c r="BT4" s="569"/>
      <c r="BU4" s="569"/>
      <c r="BV4" s="569"/>
      <c r="BW4" s="569"/>
      <c r="BX4" s="569"/>
      <c r="BY4" s="569"/>
      <c r="BZ4" s="569"/>
      <c r="CA4" s="569"/>
      <c r="CB4" s="569"/>
      <c r="CC4" s="570"/>
    </row>
    <row r="5" spans="2:81" ht="10.050000000000001" customHeight="1" x14ac:dyDescent="0.25">
      <c r="B5" s="170"/>
      <c r="C5" s="82"/>
      <c r="D5" s="82"/>
      <c r="E5" s="82"/>
      <c r="F5" s="82"/>
      <c r="G5" s="82"/>
      <c r="H5" s="82"/>
      <c r="I5" s="82"/>
      <c r="J5" s="82"/>
      <c r="K5" s="82"/>
      <c r="L5" s="82"/>
      <c r="M5" s="82"/>
      <c r="N5" s="82"/>
      <c r="O5" s="82"/>
      <c r="P5" s="82"/>
      <c r="Q5" s="171"/>
      <c r="R5" s="170"/>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171"/>
    </row>
    <row r="6" spans="2:81" ht="10.050000000000001" customHeight="1" x14ac:dyDescent="0.25">
      <c r="B6" s="170"/>
      <c r="C6" s="82"/>
      <c r="D6" s="82"/>
      <c r="E6" s="82"/>
      <c r="F6" s="82"/>
      <c r="G6" s="82"/>
      <c r="H6" s="82"/>
      <c r="I6" s="82"/>
      <c r="J6" s="82"/>
      <c r="K6" s="82"/>
      <c r="L6" s="82"/>
      <c r="M6" s="82"/>
      <c r="N6" s="82"/>
      <c r="O6" s="82"/>
      <c r="P6" s="82"/>
      <c r="Q6" s="171"/>
      <c r="R6" s="170"/>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171"/>
    </row>
    <row r="7" spans="2:81" ht="10.050000000000001" customHeight="1" x14ac:dyDescent="0.25">
      <c r="B7" s="170"/>
      <c r="C7" s="82"/>
      <c r="D7" s="82"/>
      <c r="E7" s="82"/>
      <c r="F7" s="82"/>
      <c r="G7" s="82"/>
      <c r="H7" s="82"/>
      <c r="I7" s="82"/>
      <c r="J7" s="82"/>
      <c r="K7" s="82"/>
      <c r="L7" s="82"/>
      <c r="M7" s="82"/>
      <c r="N7" s="82"/>
      <c r="O7" s="82"/>
      <c r="P7" s="82"/>
      <c r="Q7" s="171"/>
      <c r="R7" s="170"/>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171"/>
    </row>
    <row r="8" spans="2:81" ht="10.050000000000001" customHeight="1" x14ac:dyDescent="0.25">
      <c r="B8" s="170"/>
      <c r="C8" s="82"/>
      <c r="D8" s="82"/>
      <c r="E8" s="82"/>
      <c r="F8" s="82"/>
      <c r="G8" s="82"/>
      <c r="H8" s="82"/>
      <c r="I8" s="82"/>
      <c r="J8" s="82"/>
      <c r="K8" s="82"/>
      <c r="L8" s="82"/>
      <c r="M8" s="82"/>
      <c r="N8" s="82"/>
      <c r="O8" s="82"/>
      <c r="P8" s="82"/>
      <c r="Q8" s="171"/>
      <c r="R8" s="170"/>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171"/>
    </row>
    <row r="9" spans="2:81" ht="10.050000000000001" customHeight="1" x14ac:dyDescent="0.25">
      <c r="B9" s="170"/>
      <c r="C9" s="82"/>
      <c r="D9" s="82"/>
      <c r="E9" s="82"/>
      <c r="F9" s="82"/>
      <c r="G9" s="82"/>
      <c r="H9" s="82"/>
      <c r="I9" s="82"/>
      <c r="J9" s="82"/>
      <c r="K9" s="82"/>
      <c r="L9" s="82"/>
      <c r="M9" s="82"/>
      <c r="N9" s="82"/>
      <c r="O9" s="82"/>
      <c r="P9" s="82"/>
      <c r="Q9" s="171"/>
      <c r="R9" s="170"/>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171"/>
    </row>
    <row r="10" spans="2:81" ht="10.050000000000001" customHeight="1" x14ac:dyDescent="0.25">
      <c r="B10" s="170"/>
      <c r="C10" s="82"/>
      <c r="D10" s="82"/>
      <c r="E10" s="82"/>
      <c r="F10" s="82"/>
      <c r="G10" s="82"/>
      <c r="H10" s="82"/>
      <c r="I10" s="82"/>
      <c r="J10" s="82"/>
      <c r="K10" s="82"/>
      <c r="L10" s="82"/>
      <c r="M10" s="82"/>
      <c r="N10" s="82"/>
      <c r="O10" s="82"/>
      <c r="P10" s="82"/>
      <c r="Q10" s="171"/>
      <c r="R10" s="170"/>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171"/>
    </row>
    <row r="11" spans="2:81" ht="10.050000000000001" customHeight="1" thickBot="1" x14ac:dyDescent="0.3">
      <c r="B11" s="172"/>
      <c r="C11" s="174"/>
      <c r="D11" s="174"/>
      <c r="E11" s="174"/>
      <c r="F11" s="174"/>
      <c r="G11" s="174"/>
      <c r="H11" s="174"/>
      <c r="I11" s="174"/>
      <c r="J11" s="174"/>
      <c r="K11" s="174"/>
      <c r="L11" s="174"/>
      <c r="M11" s="174"/>
      <c r="N11" s="174"/>
      <c r="O11" s="174"/>
      <c r="P11" s="174"/>
      <c r="Q11" s="173"/>
      <c r="R11" s="172"/>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4"/>
      <c r="AT11" s="174"/>
      <c r="AU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c r="BS11" s="174"/>
      <c r="BT11" s="174"/>
      <c r="BU11" s="174"/>
      <c r="BV11" s="174"/>
      <c r="BW11" s="174"/>
      <c r="BX11" s="174"/>
      <c r="BY11" s="174"/>
      <c r="BZ11" s="174"/>
      <c r="CA11" s="174"/>
      <c r="CB11" s="174"/>
      <c r="CC11" s="173"/>
    </row>
    <row r="14" spans="2:81" ht="13.8" thickBot="1" x14ac:dyDescent="0.3"/>
    <row r="15" spans="2:81" ht="15.6" x14ac:dyDescent="0.3">
      <c r="B15" s="568" t="s">
        <v>4</v>
      </c>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70"/>
      <c r="AP15" s="568" t="s">
        <v>5</v>
      </c>
      <c r="AQ15" s="569"/>
      <c r="AR15" s="569"/>
      <c r="AS15" s="569"/>
      <c r="AT15" s="569"/>
      <c r="AU15" s="569"/>
      <c r="AV15" s="569"/>
      <c r="AW15" s="569"/>
      <c r="AX15" s="569"/>
      <c r="AY15" s="569"/>
      <c r="AZ15" s="569"/>
      <c r="BA15" s="569"/>
      <c r="BB15" s="569"/>
      <c r="BC15" s="569"/>
      <c r="BD15" s="569"/>
      <c r="BE15" s="569"/>
      <c r="BF15" s="569"/>
      <c r="BG15" s="569"/>
      <c r="BH15" s="569"/>
      <c r="BI15" s="569"/>
      <c r="BJ15" s="569"/>
      <c r="BK15" s="569"/>
      <c r="BL15" s="569"/>
      <c r="BM15" s="570"/>
      <c r="BN15" s="568" t="s">
        <v>6</v>
      </c>
      <c r="BO15" s="569"/>
      <c r="BP15" s="569"/>
      <c r="BQ15" s="569"/>
      <c r="BR15" s="569"/>
      <c r="BS15" s="569"/>
      <c r="BT15" s="569"/>
      <c r="BU15" s="569"/>
      <c r="BV15" s="569"/>
      <c r="BW15" s="569"/>
      <c r="BX15" s="569"/>
      <c r="BY15" s="569"/>
      <c r="BZ15" s="569"/>
      <c r="CA15" s="569"/>
      <c r="CB15" s="569"/>
      <c r="CC15" s="570"/>
    </row>
    <row r="16" spans="2:81" ht="55.05" customHeight="1" x14ac:dyDescent="0.25">
      <c r="B16" s="562" t="s">
        <v>7</v>
      </c>
      <c r="C16" s="563"/>
      <c r="D16" s="563"/>
      <c r="E16" s="563"/>
      <c r="F16" s="563"/>
      <c r="G16" s="563"/>
      <c r="H16" s="563"/>
      <c r="I16" s="564"/>
      <c r="J16" s="566" t="s">
        <v>8</v>
      </c>
      <c r="K16" s="563"/>
      <c r="L16" s="563"/>
      <c r="M16" s="563"/>
      <c r="N16" s="563"/>
      <c r="O16" s="563"/>
      <c r="P16" s="563"/>
      <c r="Q16" s="564"/>
      <c r="R16" s="566" t="s">
        <v>9</v>
      </c>
      <c r="S16" s="563"/>
      <c r="T16" s="563"/>
      <c r="U16" s="563"/>
      <c r="V16" s="563"/>
      <c r="W16" s="563"/>
      <c r="X16" s="563"/>
      <c r="Y16" s="564"/>
      <c r="Z16" s="566" t="s">
        <v>10</v>
      </c>
      <c r="AA16" s="563"/>
      <c r="AB16" s="563"/>
      <c r="AC16" s="563"/>
      <c r="AD16" s="563"/>
      <c r="AE16" s="563"/>
      <c r="AF16" s="563"/>
      <c r="AG16" s="564"/>
      <c r="AH16" s="566" t="s">
        <v>11</v>
      </c>
      <c r="AI16" s="563"/>
      <c r="AJ16" s="563"/>
      <c r="AK16" s="563"/>
      <c r="AL16" s="563"/>
      <c r="AM16" s="563"/>
      <c r="AN16" s="563"/>
      <c r="AO16" s="567"/>
      <c r="AP16" s="562" t="s">
        <v>12</v>
      </c>
      <c r="AQ16" s="563"/>
      <c r="AR16" s="563"/>
      <c r="AS16" s="563"/>
      <c r="AT16" s="563"/>
      <c r="AU16" s="563"/>
      <c r="AV16" s="563"/>
      <c r="AW16" s="564"/>
      <c r="AX16" s="566" t="s">
        <v>13</v>
      </c>
      <c r="AY16" s="563"/>
      <c r="AZ16" s="563"/>
      <c r="BA16" s="563"/>
      <c r="BB16" s="563"/>
      <c r="BC16" s="563"/>
      <c r="BD16" s="563"/>
      <c r="BE16" s="564"/>
      <c r="BF16" s="566" t="s">
        <v>14</v>
      </c>
      <c r="BG16" s="563"/>
      <c r="BH16" s="563"/>
      <c r="BI16" s="563"/>
      <c r="BJ16" s="563"/>
      <c r="BK16" s="563"/>
      <c r="BL16" s="563"/>
      <c r="BM16" s="567"/>
      <c r="BN16" s="562" t="s">
        <v>15</v>
      </c>
      <c r="BO16" s="563"/>
      <c r="BP16" s="563"/>
      <c r="BQ16" s="563"/>
      <c r="BR16" s="563"/>
      <c r="BS16" s="563"/>
      <c r="BT16" s="563"/>
      <c r="BU16" s="564"/>
      <c r="BV16" s="566" t="s">
        <v>16</v>
      </c>
      <c r="BW16" s="563"/>
      <c r="BX16" s="563"/>
      <c r="BY16" s="563"/>
      <c r="BZ16" s="563"/>
      <c r="CA16" s="563"/>
      <c r="CB16" s="563"/>
      <c r="CC16" s="567"/>
    </row>
    <row r="17" spans="2:81" ht="8.25" customHeight="1" x14ac:dyDescent="0.25">
      <c r="B17" s="428"/>
      <c r="C17" s="429"/>
      <c r="D17" s="429"/>
      <c r="E17" s="429"/>
      <c r="F17" s="429"/>
      <c r="G17" s="429"/>
      <c r="H17" s="429"/>
      <c r="I17" s="430"/>
      <c r="J17" s="431"/>
      <c r="K17" s="429"/>
      <c r="L17" s="429"/>
      <c r="M17" s="429"/>
      <c r="N17" s="429"/>
      <c r="O17" s="429"/>
      <c r="P17" s="429"/>
      <c r="Q17" s="430"/>
      <c r="R17" s="431"/>
      <c r="S17" s="429"/>
      <c r="T17" s="429"/>
      <c r="U17" s="429"/>
      <c r="V17" s="429"/>
      <c r="W17" s="429"/>
      <c r="X17" s="429"/>
      <c r="Y17" s="430"/>
      <c r="Z17" s="431"/>
      <c r="AA17" s="429"/>
      <c r="AB17" s="429"/>
      <c r="AC17" s="429"/>
      <c r="AD17" s="429"/>
      <c r="AE17" s="429"/>
      <c r="AF17" s="429"/>
      <c r="AG17" s="430"/>
      <c r="AH17" s="431"/>
      <c r="AI17" s="429"/>
      <c r="AJ17" s="429"/>
      <c r="AK17" s="429"/>
      <c r="AL17" s="429"/>
      <c r="AM17" s="429"/>
      <c r="AN17" s="429"/>
      <c r="AO17" s="432"/>
      <c r="AP17" s="428"/>
      <c r="AQ17" s="429"/>
      <c r="AR17" s="429"/>
      <c r="AS17" s="429"/>
      <c r="AT17" s="429"/>
      <c r="AU17" s="429"/>
      <c r="AV17" s="429"/>
      <c r="AW17" s="430"/>
      <c r="AX17" s="431"/>
      <c r="AY17" s="429"/>
      <c r="AZ17" s="429"/>
      <c r="BA17" s="429"/>
      <c r="BB17" s="429"/>
      <c r="BC17" s="429"/>
      <c r="BD17" s="429"/>
      <c r="BE17" s="430"/>
      <c r="BF17" s="431"/>
      <c r="BG17" s="429"/>
      <c r="BH17" s="429"/>
      <c r="BI17" s="429"/>
      <c r="BJ17" s="429"/>
      <c r="BK17" s="429"/>
      <c r="BL17" s="429"/>
      <c r="BM17" s="432"/>
      <c r="BN17" s="428"/>
      <c r="BO17" s="429"/>
      <c r="BP17" s="429"/>
      <c r="BQ17" s="429"/>
      <c r="BR17" s="429"/>
      <c r="BS17" s="429"/>
      <c r="BT17" s="429"/>
      <c r="BU17" s="430"/>
      <c r="BV17" s="431"/>
      <c r="BW17" s="429"/>
      <c r="BX17" s="429"/>
      <c r="BY17" s="429"/>
      <c r="BZ17" s="429"/>
      <c r="CA17" s="429"/>
      <c r="CB17" s="429"/>
      <c r="CC17" s="432"/>
    </row>
    <row r="18" spans="2:81" ht="22.65" customHeight="1" x14ac:dyDescent="0.25">
      <c r="B18" s="433"/>
      <c r="C18" s="565"/>
      <c r="D18" s="565"/>
      <c r="E18" s="565"/>
      <c r="F18" s="565"/>
      <c r="G18" s="565"/>
      <c r="H18" s="565"/>
      <c r="I18" s="434"/>
      <c r="J18" s="435"/>
      <c r="K18" s="565"/>
      <c r="L18" s="565"/>
      <c r="M18" s="565"/>
      <c r="N18" s="565"/>
      <c r="O18" s="565"/>
      <c r="P18" s="565"/>
      <c r="Q18" s="434"/>
      <c r="R18" s="435"/>
      <c r="S18" s="565"/>
      <c r="T18" s="565"/>
      <c r="U18" s="565"/>
      <c r="V18" s="565"/>
      <c r="W18" s="565"/>
      <c r="X18" s="565"/>
      <c r="Y18" s="434"/>
      <c r="Z18" s="435"/>
      <c r="AA18" s="565"/>
      <c r="AB18" s="565"/>
      <c r="AC18" s="565"/>
      <c r="AD18" s="565"/>
      <c r="AE18" s="565"/>
      <c r="AF18" s="565"/>
      <c r="AG18" s="434"/>
      <c r="AH18" s="435"/>
      <c r="AI18" s="565"/>
      <c r="AJ18" s="565"/>
      <c r="AK18" s="565"/>
      <c r="AL18" s="565"/>
      <c r="AM18" s="565"/>
      <c r="AN18" s="565"/>
      <c r="AO18" s="436"/>
      <c r="AP18" s="433"/>
      <c r="AQ18" s="565"/>
      <c r="AR18" s="565"/>
      <c r="AS18" s="565"/>
      <c r="AT18" s="565"/>
      <c r="AU18" s="565"/>
      <c r="AV18" s="565"/>
      <c r="AW18" s="434"/>
      <c r="AX18" s="435"/>
      <c r="AY18" s="565"/>
      <c r="AZ18" s="565"/>
      <c r="BA18" s="565"/>
      <c r="BB18" s="565"/>
      <c r="BC18" s="565"/>
      <c r="BD18" s="565"/>
      <c r="BE18" s="434"/>
      <c r="BF18" s="435"/>
      <c r="BG18" s="565"/>
      <c r="BH18" s="565"/>
      <c r="BI18" s="565"/>
      <c r="BJ18" s="565"/>
      <c r="BK18" s="565"/>
      <c r="BL18" s="565"/>
      <c r="BM18" s="436"/>
      <c r="BN18" s="433"/>
      <c r="BO18" s="565"/>
      <c r="BP18" s="565"/>
      <c r="BQ18" s="565"/>
      <c r="BR18" s="565"/>
      <c r="BS18" s="565"/>
      <c r="BT18" s="565"/>
      <c r="BU18" s="434"/>
      <c r="BV18" s="435"/>
      <c r="BW18" s="565"/>
      <c r="BX18" s="565"/>
      <c r="BY18" s="565"/>
      <c r="BZ18" s="565"/>
      <c r="CA18" s="565"/>
      <c r="CB18" s="565"/>
      <c r="CC18" s="436"/>
    </row>
    <row r="19" spans="2:81" ht="8.25" customHeight="1" thickBot="1" x14ac:dyDescent="0.3">
      <c r="B19" s="437"/>
      <c r="C19" s="438"/>
      <c r="D19" s="438"/>
      <c r="E19" s="438"/>
      <c r="F19" s="438"/>
      <c r="G19" s="438"/>
      <c r="H19" s="438"/>
      <c r="I19" s="439"/>
      <c r="J19" s="440"/>
      <c r="K19" s="438"/>
      <c r="L19" s="438"/>
      <c r="M19" s="438"/>
      <c r="N19" s="438"/>
      <c r="O19" s="438"/>
      <c r="P19" s="438"/>
      <c r="Q19" s="439"/>
      <c r="R19" s="440"/>
      <c r="S19" s="438"/>
      <c r="T19" s="438"/>
      <c r="U19" s="438"/>
      <c r="V19" s="438"/>
      <c r="W19" s="438"/>
      <c r="X19" s="438"/>
      <c r="Y19" s="439"/>
      <c r="Z19" s="440"/>
      <c r="AA19" s="438"/>
      <c r="AB19" s="438"/>
      <c r="AC19" s="438"/>
      <c r="AD19" s="438"/>
      <c r="AE19" s="438"/>
      <c r="AF19" s="438"/>
      <c r="AG19" s="439"/>
      <c r="AH19" s="440"/>
      <c r="AI19" s="438"/>
      <c r="AJ19" s="438"/>
      <c r="AK19" s="438"/>
      <c r="AL19" s="438"/>
      <c r="AM19" s="438"/>
      <c r="AN19" s="438"/>
      <c r="AO19" s="441"/>
      <c r="AP19" s="437"/>
      <c r="AQ19" s="438"/>
      <c r="AR19" s="438"/>
      <c r="AS19" s="438"/>
      <c r="AT19" s="438"/>
      <c r="AU19" s="438"/>
      <c r="AV19" s="438"/>
      <c r="AW19" s="439"/>
      <c r="AX19" s="440"/>
      <c r="AY19" s="438"/>
      <c r="AZ19" s="438"/>
      <c r="BA19" s="438"/>
      <c r="BB19" s="438"/>
      <c r="BC19" s="438"/>
      <c r="BD19" s="438"/>
      <c r="BE19" s="439"/>
      <c r="BF19" s="440"/>
      <c r="BG19" s="438"/>
      <c r="BH19" s="438"/>
      <c r="BI19" s="438"/>
      <c r="BJ19" s="438"/>
      <c r="BK19" s="438"/>
      <c r="BL19" s="438"/>
      <c r="BM19" s="441"/>
      <c r="BN19" s="437"/>
      <c r="BO19" s="438"/>
      <c r="BP19" s="438"/>
      <c r="BQ19" s="438"/>
      <c r="BR19" s="438"/>
      <c r="BS19" s="438"/>
      <c r="BT19" s="438"/>
      <c r="BU19" s="439"/>
      <c r="BV19" s="440"/>
      <c r="BW19" s="438"/>
      <c r="BX19" s="438"/>
      <c r="BY19" s="438"/>
      <c r="BZ19" s="438"/>
      <c r="CA19" s="438"/>
      <c r="CB19" s="438"/>
      <c r="CC19" s="441"/>
    </row>
    <row r="21" spans="2:81" ht="12.75" customHeight="1" x14ac:dyDescent="0.25"/>
  </sheetData>
  <sheetProtection password="C925" sheet="1" objects="1" scenarios="1"/>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9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O27"/>
  <sheetViews>
    <sheetView showGridLines="0" topLeftCell="B1" zoomScaleNormal="100" workbookViewId="0">
      <pane ySplit="6" topLeftCell="A7" activePane="bottomLeft" state="frozen"/>
      <selection activeCell="P31" sqref="P31"/>
      <selection pane="bottomLeft" activeCell="L22" sqref="L22"/>
    </sheetView>
  </sheetViews>
  <sheetFormatPr defaultColWidth="9.109375" defaultRowHeight="13.8" x14ac:dyDescent="0.3"/>
  <cols>
    <col min="1" max="1" width="1" style="2" customWidth="1"/>
    <col min="2" max="2" width="1.88671875" style="2" customWidth="1"/>
    <col min="3" max="3" width="11.109375" style="2" customWidth="1"/>
    <col min="4" max="4" width="8.77734375" style="2" hidden="1" customWidth="1"/>
    <col min="5" max="5" width="11.44140625" style="2" customWidth="1"/>
    <col min="6" max="6" width="16.77734375" style="2" customWidth="1"/>
    <col min="7" max="7" width="27" style="2" customWidth="1"/>
    <col min="8" max="8" width="17.21875" style="2" customWidth="1"/>
    <col min="9" max="9" width="19" style="2" customWidth="1"/>
    <col min="10" max="10" width="11.109375" style="2" customWidth="1"/>
    <col min="11" max="11" width="9.88671875" style="2" customWidth="1"/>
    <col min="12" max="12" width="9.77734375" style="2" customWidth="1"/>
    <col min="13" max="13" width="10" style="2" customWidth="1"/>
    <col min="14" max="14" width="10.44140625" style="2" customWidth="1"/>
    <col min="15" max="15" width="2.77734375" style="2" customWidth="1"/>
    <col min="16" max="16" width="1" style="2" customWidth="1"/>
    <col min="17" max="16384" width="9.109375" style="2"/>
  </cols>
  <sheetData>
    <row r="1" spans="2:15" ht="5.0999999999999996" customHeight="1" thickBot="1" x14ac:dyDescent="0.35"/>
    <row r="2" spans="2:15" ht="38.25" customHeight="1" thickBot="1" x14ac:dyDescent="0.35">
      <c r="B2" s="561" t="s">
        <v>180</v>
      </c>
      <c r="C2" s="561"/>
      <c r="D2" s="561"/>
      <c r="E2" s="561"/>
      <c r="F2" s="561"/>
      <c r="G2" s="561"/>
      <c r="H2" s="561"/>
      <c r="I2" s="561"/>
      <c r="J2" s="561"/>
      <c r="K2" s="561"/>
      <c r="L2" s="561"/>
      <c r="M2" s="561"/>
      <c r="N2" s="561"/>
      <c r="O2" s="561"/>
    </row>
    <row r="3" spans="2:15" ht="45" customHeight="1" x14ac:dyDescent="0.3"/>
    <row r="4" spans="2:15" ht="14.25" customHeight="1" x14ac:dyDescent="0.3">
      <c r="E4" s="339" t="str">
        <f>IF(D27&gt;0,"Incomplete - All required information for each training must be completed.","")</f>
        <v/>
      </c>
    </row>
    <row r="5" spans="2:15" ht="7.5" customHeight="1" x14ac:dyDescent="0.3"/>
    <row r="6" spans="2:15" ht="55.2" x14ac:dyDescent="0.3">
      <c r="C6" s="382" t="s">
        <v>181</v>
      </c>
      <c r="D6" s="382" t="s">
        <v>182</v>
      </c>
      <c r="E6" s="382" t="s">
        <v>183</v>
      </c>
      <c r="F6" s="382" t="s">
        <v>184</v>
      </c>
      <c r="G6" s="382" t="s">
        <v>185</v>
      </c>
      <c r="H6" s="382" t="s">
        <v>186</v>
      </c>
      <c r="I6" s="382" t="s">
        <v>187</v>
      </c>
      <c r="J6" s="382" t="s">
        <v>188</v>
      </c>
      <c r="K6" s="382" t="s">
        <v>189</v>
      </c>
      <c r="L6" s="382" t="s">
        <v>190</v>
      </c>
      <c r="M6" s="382" t="s">
        <v>191</v>
      </c>
      <c r="N6" s="383" t="s">
        <v>192</v>
      </c>
    </row>
    <row r="7" spans="2:15" x14ac:dyDescent="0.3">
      <c r="C7" s="381">
        <f t="shared" ref="C7:C24" si="0">ROW()-6</f>
        <v>1</v>
      </c>
      <c r="D7" s="17">
        <f>IF(AND(ISBLANK(Table2[[#This Row],[Start Date]]),ISBLANK(Table2[[#This Row],[Class]]),ISBLANK(Table2[[#This Row],[Class Description]]),ISBLANK(Table2[[#This Row],[No. of Attendees
(A)]])),0,IF(OR(ISBLANK(Table2[[#This Row],[Class]]),ISBLANK(Table2[[#This Row],[No. of Attendees
(A)]]),ISBLANK(Table2[[#This Row],[Length of Session
(B)]])),1,0))</f>
        <v>0</v>
      </c>
      <c r="E7" s="390"/>
      <c r="F7" s="391"/>
      <c r="G7" s="392"/>
      <c r="H7" s="391"/>
      <c r="I7" s="391"/>
      <c r="J7" s="393"/>
      <c r="K7" s="393"/>
      <c r="L7" s="384"/>
      <c r="M7" s="391"/>
      <c r="N7" s="391"/>
    </row>
    <row r="8" spans="2:15" ht="12.75" customHeight="1" x14ac:dyDescent="0.3">
      <c r="C8" s="381">
        <f t="shared" si="0"/>
        <v>2</v>
      </c>
      <c r="D8" s="17">
        <f>IF(AND(ISBLANK(Table2[[#This Row],[Start Date]]),ISBLANK(Table2[[#This Row],[Class]]),ISBLANK(Table2[[#This Row],[Class Description]]),ISBLANK(Table2[[#This Row],[No. of Attendees
(A)]])),0,IF(OR(ISBLANK(Table2[[#This Row],[Class]]),ISBLANK(Table2[[#This Row],[No. of Attendees
(A)]]),ISBLANK(Table2[[#This Row],[Length of Session
(B)]])),1,0))</f>
        <v>0</v>
      </c>
      <c r="E8" s="390"/>
      <c r="F8" s="391"/>
      <c r="G8" s="392"/>
      <c r="H8" s="391"/>
      <c r="I8" s="391"/>
      <c r="J8" s="393"/>
      <c r="K8" s="393"/>
      <c r="L8" s="384"/>
      <c r="M8" s="391"/>
      <c r="N8" s="391"/>
    </row>
    <row r="9" spans="2:15" ht="12.75" customHeight="1" x14ac:dyDescent="0.3">
      <c r="C9" s="381">
        <f t="shared" si="0"/>
        <v>3</v>
      </c>
      <c r="D9" s="17">
        <f>IF(AND(ISBLANK(Table2[[#This Row],[Start Date]]),ISBLANK(Table2[[#This Row],[Class]]),ISBLANK(Table2[[#This Row],[Class Description]]),ISBLANK(Table2[[#This Row],[No. of Attendees
(A)]])),0,IF(OR(ISBLANK(Table2[[#This Row],[Class]]),ISBLANK(Table2[[#This Row],[No. of Attendees
(A)]]),ISBLANK(Table2[[#This Row],[Length of Session
(B)]])),1,0))</f>
        <v>0</v>
      </c>
      <c r="E9" s="390"/>
      <c r="F9" s="391"/>
      <c r="G9" s="392"/>
      <c r="H9" s="391"/>
      <c r="I9" s="391"/>
      <c r="J9" s="393"/>
      <c r="K9" s="393"/>
      <c r="L9" s="384"/>
      <c r="M9" s="391"/>
      <c r="N9" s="391"/>
    </row>
    <row r="10" spans="2:15" x14ac:dyDescent="0.3">
      <c r="C10" s="381">
        <f t="shared" si="0"/>
        <v>4</v>
      </c>
      <c r="D10" s="17">
        <f>IF(AND(ISBLANK(Table2[[#This Row],[Start Date]]),ISBLANK(Table2[[#This Row],[Class]]),ISBLANK(Table2[[#This Row],[Class Description]]),ISBLANK(Table2[[#This Row],[No. of Attendees
(A)]])),0,IF(OR(ISBLANK(Table2[[#This Row],[Class]]),ISBLANK(Table2[[#This Row],[No. of Attendees
(A)]]),ISBLANK(Table2[[#This Row],[Length of Session
(B)]])),1,0))</f>
        <v>0</v>
      </c>
      <c r="E10" s="390"/>
      <c r="F10" s="391"/>
      <c r="G10" s="392"/>
      <c r="H10" s="391"/>
      <c r="I10" s="391"/>
      <c r="J10" s="393"/>
      <c r="K10" s="393"/>
      <c r="L10" s="384"/>
      <c r="M10" s="391"/>
      <c r="N10" s="391"/>
    </row>
    <row r="11" spans="2:15" x14ac:dyDescent="0.3">
      <c r="C11" s="381">
        <f t="shared" si="0"/>
        <v>5</v>
      </c>
      <c r="D11" s="17">
        <f>IF(AND(ISBLANK(Table2[[#This Row],[Start Date]]),ISBLANK(Table2[[#This Row],[Class]]),ISBLANK(Table2[[#This Row],[Class Description]]),ISBLANK(Table2[[#This Row],[No. of Attendees
(A)]])),0,IF(OR(ISBLANK(Table2[[#This Row],[Class]]),ISBLANK(Table2[[#This Row],[No. of Attendees
(A)]]),ISBLANK(Table2[[#This Row],[Length of Session
(B)]])),1,0))</f>
        <v>0</v>
      </c>
      <c r="E11" s="390"/>
      <c r="F11" s="391"/>
      <c r="G11" s="392"/>
      <c r="H11" s="391"/>
      <c r="I11" s="391"/>
      <c r="J11" s="393"/>
      <c r="K11" s="393"/>
      <c r="L11" s="384"/>
      <c r="M11" s="391"/>
      <c r="N11" s="391"/>
    </row>
    <row r="12" spans="2:15" x14ac:dyDescent="0.3">
      <c r="C12" s="381">
        <f t="shared" si="0"/>
        <v>6</v>
      </c>
      <c r="D12" s="17">
        <f>IF(AND(ISBLANK(Table2[[#This Row],[Start Date]]),ISBLANK(Table2[[#This Row],[Class]]),ISBLANK(Table2[[#This Row],[Class Description]]),ISBLANK(Table2[[#This Row],[No. of Attendees
(A)]])),0,IF(OR(ISBLANK(Table2[[#This Row],[Class]]),ISBLANK(Table2[[#This Row],[No. of Attendees
(A)]]),ISBLANK(Table2[[#This Row],[Length of Session
(B)]])),1,0))</f>
        <v>0</v>
      </c>
      <c r="E12" s="390"/>
      <c r="F12" s="391"/>
      <c r="G12" s="392"/>
      <c r="H12" s="391"/>
      <c r="I12" s="391"/>
      <c r="J12" s="393"/>
      <c r="K12" s="393"/>
      <c r="L12" s="384"/>
      <c r="M12" s="391"/>
      <c r="N12" s="391"/>
    </row>
    <row r="13" spans="2:15" x14ac:dyDescent="0.3">
      <c r="C13" s="381">
        <f t="shared" si="0"/>
        <v>7</v>
      </c>
      <c r="D13" s="17">
        <f>IF(AND(ISBLANK(Table2[[#This Row],[Start Date]]),ISBLANK(Table2[[#This Row],[Class]]),ISBLANK(Table2[[#This Row],[Class Description]]),ISBLANK(Table2[[#This Row],[No. of Attendees
(A)]])),0,IF(OR(ISBLANK(Table2[[#This Row],[Class]]),ISBLANK(Table2[[#This Row],[No. of Attendees
(A)]]),ISBLANK(Table2[[#This Row],[Length of Session
(B)]])),1,0))</f>
        <v>0</v>
      </c>
      <c r="E13" s="390"/>
      <c r="F13" s="391"/>
      <c r="G13" s="392"/>
      <c r="H13" s="391"/>
      <c r="I13" s="391"/>
      <c r="J13" s="393"/>
      <c r="K13" s="393"/>
      <c r="L13" s="384"/>
      <c r="M13" s="391"/>
      <c r="N13" s="391"/>
    </row>
    <row r="14" spans="2:15" x14ac:dyDescent="0.3">
      <c r="C14" s="381">
        <f t="shared" si="0"/>
        <v>8</v>
      </c>
      <c r="D14" s="17">
        <f>IF(AND(ISBLANK(Table2[[#This Row],[Start Date]]),ISBLANK(Table2[[#This Row],[Class]]),ISBLANK(Table2[[#This Row],[Class Description]]),ISBLANK(Table2[[#This Row],[No. of Attendees
(A)]])),0,IF(OR(ISBLANK(Table2[[#This Row],[Class]]),ISBLANK(Table2[[#This Row],[No. of Attendees
(A)]]),ISBLANK(Table2[[#This Row],[Length of Session
(B)]])),1,0))</f>
        <v>0</v>
      </c>
      <c r="E14" s="390"/>
      <c r="F14" s="391"/>
      <c r="G14" s="392"/>
      <c r="H14" s="391"/>
      <c r="I14" s="391"/>
      <c r="J14" s="393"/>
      <c r="K14" s="393"/>
      <c r="L14" s="384"/>
      <c r="M14" s="391"/>
      <c r="N14" s="391"/>
    </row>
    <row r="15" spans="2:15" x14ac:dyDescent="0.3">
      <c r="C15" s="381">
        <f t="shared" si="0"/>
        <v>9</v>
      </c>
      <c r="D15" s="17">
        <f>IF(AND(ISBLANK(Table2[[#This Row],[Start Date]]),ISBLANK(Table2[[#This Row],[Class]]),ISBLANK(Table2[[#This Row],[Class Description]]),ISBLANK(Table2[[#This Row],[No. of Attendees
(A)]])),0,IF(OR(ISBLANK(Table2[[#This Row],[Class]]),ISBLANK(Table2[[#This Row],[No. of Attendees
(A)]]),ISBLANK(Table2[[#This Row],[Length of Session
(B)]])),1,0))</f>
        <v>0</v>
      </c>
      <c r="E15" s="390"/>
      <c r="F15" s="391"/>
      <c r="G15" s="392"/>
      <c r="H15" s="391"/>
      <c r="I15" s="391"/>
      <c r="J15" s="393"/>
      <c r="K15" s="393"/>
      <c r="L15" s="384"/>
      <c r="M15" s="391"/>
      <c r="N15" s="391"/>
    </row>
    <row r="16" spans="2:15" x14ac:dyDescent="0.3">
      <c r="C16" s="381">
        <f t="shared" si="0"/>
        <v>10</v>
      </c>
      <c r="D16" s="17">
        <f>IF(AND(ISBLANK(Table2[[#This Row],[Start Date]]),ISBLANK(Table2[[#This Row],[Class]]),ISBLANK(Table2[[#This Row],[Class Description]]),ISBLANK(Table2[[#This Row],[No. of Attendees
(A)]])),0,IF(OR(ISBLANK(Table2[[#This Row],[Class]]),ISBLANK(Table2[[#This Row],[No. of Attendees
(A)]]),ISBLANK(Table2[[#This Row],[Length of Session
(B)]])),1,0))</f>
        <v>0</v>
      </c>
      <c r="E16" s="390"/>
      <c r="F16" s="391"/>
      <c r="G16" s="392"/>
      <c r="H16" s="391"/>
      <c r="I16" s="391"/>
      <c r="J16" s="393"/>
      <c r="K16" s="393"/>
      <c r="L16" s="384"/>
      <c r="M16" s="391"/>
      <c r="N16" s="391"/>
    </row>
    <row r="17" spans="3:14" x14ac:dyDescent="0.3">
      <c r="C17" s="381">
        <f t="shared" si="0"/>
        <v>11</v>
      </c>
      <c r="D17" s="17">
        <f>IF(AND(ISBLANK(Table2[[#This Row],[Start Date]]),ISBLANK(Table2[[#This Row],[Class]]),ISBLANK(Table2[[#This Row],[Class Description]]),ISBLANK(Table2[[#This Row],[No. of Attendees
(A)]])),0,IF(OR(ISBLANK(Table2[[#This Row],[Class]]),ISBLANK(Table2[[#This Row],[No. of Attendees
(A)]]),ISBLANK(Table2[[#This Row],[Length of Session
(B)]])),1,0))</f>
        <v>0</v>
      </c>
      <c r="E17" s="390"/>
      <c r="F17" s="391"/>
      <c r="G17" s="392"/>
      <c r="H17" s="391"/>
      <c r="I17" s="391"/>
      <c r="J17" s="393"/>
      <c r="K17" s="393"/>
      <c r="L17" s="384"/>
      <c r="M17" s="391"/>
      <c r="N17" s="391"/>
    </row>
    <row r="18" spans="3:14" x14ac:dyDescent="0.3">
      <c r="C18" s="381">
        <f t="shared" si="0"/>
        <v>12</v>
      </c>
      <c r="D18" s="17">
        <f>IF(AND(ISBLANK(Table2[[#This Row],[Start Date]]),ISBLANK(Table2[[#This Row],[Class]]),ISBLANK(Table2[[#This Row],[Class Description]]),ISBLANK(Table2[[#This Row],[No. of Attendees
(A)]])),0,IF(OR(ISBLANK(Table2[[#This Row],[Class]]),ISBLANK(Table2[[#This Row],[No. of Attendees
(A)]]),ISBLANK(Table2[[#This Row],[Length of Session
(B)]])),1,0))</f>
        <v>0</v>
      </c>
      <c r="E18" s="390"/>
      <c r="F18" s="391"/>
      <c r="G18" s="392"/>
      <c r="H18" s="391"/>
      <c r="I18" s="391"/>
      <c r="J18" s="393"/>
      <c r="K18" s="393"/>
      <c r="L18" s="384"/>
      <c r="M18" s="391"/>
      <c r="N18" s="391"/>
    </row>
    <row r="19" spans="3:14" x14ac:dyDescent="0.3">
      <c r="C19" s="381">
        <f t="shared" si="0"/>
        <v>13</v>
      </c>
      <c r="D19" s="17">
        <f>IF(AND(ISBLANK(Table2[[#This Row],[Start Date]]),ISBLANK(Table2[[#This Row],[Class]]),ISBLANK(Table2[[#This Row],[Class Description]]),ISBLANK(Table2[[#This Row],[No. of Attendees
(A)]])),0,IF(OR(ISBLANK(Table2[[#This Row],[Class]]),ISBLANK(Table2[[#This Row],[No. of Attendees
(A)]]),ISBLANK(Table2[[#This Row],[Length of Session
(B)]])),1,0))</f>
        <v>0</v>
      </c>
      <c r="E19" s="390"/>
      <c r="F19" s="391"/>
      <c r="G19" s="392"/>
      <c r="H19" s="391"/>
      <c r="I19" s="391"/>
      <c r="J19" s="393"/>
      <c r="K19" s="393"/>
      <c r="L19" s="384"/>
      <c r="M19" s="391"/>
      <c r="N19" s="391"/>
    </row>
    <row r="20" spans="3:14" x14ac:dyDescent="0.3">
      <c r="C20" s="381">
        <f t="shared" si="0"/>
        <v>14</v>
      </c>
      <c r="D20" s="17">
        <f>IF(AND(ISBLANK(Table2[[#This Row],[Start Date]]),ISBLANK(Table2[[#This Row],[Class]]),ISBLANK(Table2[[#This Row],[Class Description]]),ISBLANK(Table2[[#This Row],[No. of Attendees
(A)]])),0,IF(OR(ISBLANK(Table2[[#This Row],[Class]]),ISBLANK(Table2[[#This Row],[No. of Attendees
(A)]]),ISBLANK(Table2[[#This Row],[Length of Session
(B)]])),1,0))</f>
        <v>0</v>
      </c>
      <c r="E20" s="390"/>
      <c r="F20" s="391"/>
      <c r="G20" s="392"/>
      <c r="H20" s="391"/>
      <c r="I20" s="391"/>
      <c r="J20" s="393"/>
      <c r="K20" s="393"/>
      <c r="L20" s="384"/>
      <c r="M20" s="391"/>
      <c r="N20" s="391"/>
    </row>
    <row r="21" spans="3:14" x14ac:dyDescent="0.3">
      <c r="C21" s="381">
        <f t="shared" si="0"/>
        <v>15</v>
      </c>
      <c r="D21" s="17">
        <f>IF(AND(ISBLANK(Table2[[#This Row],[Start Date]]),ISBLANK(Table2[[#This Row],[Class]]),ISBLANK(Table2[[#This Row],[Class Description]]),ISBLANK(Table2[[#This Row],[No. of Attendees
(A)]])),0,IF(OR(ISBLANK(Table2[[#This Row],[Class]]),ISBLANK(Table2[[#This Row],[No. of Attendees
(A)]]),ISBLANK(Table2[[#This Row],[Length of Session
(B)]])),1,0))</f>
        <v>0</v>
      </c>
      <c r="E21" s="390"/>
      <c r="F21" s="391"/>
      <c r="G21" s="392"/>
      <c r="H21" s="391"/>
      <c r="I21" s="391"/>
      <c r="J21" s="393"/>
      <c r="K21" s="393"/>
      <c r="L21" s="384"/>
      <c r="M21" s="391"/>
      <c r="N21" s="391"/>
    </row>
    <row r="22" spans="3:14" x14ac:dyDescent="0.3">
      <c r="C22" s="381">
        <f t="shared" si="0"/>
        <v>16</v>
      </c>
      <c r="D22" s="17">
        <f>IF(AND(ISBLANK(Table2[[#This Row],[Start Date]]),ISBLANK(Table2[[#This Row],[Class]]),ISBLANK(Table2[[#This Row],[Class Description]]),ISBLANK(Table2[[#This Row],[No. of Attendees
(A)]])),0,IF(OR(ISBLANK(Table2[[#This Row],[Class]]),ISBLANK(Table2[[#This Row],[No. of Attendees
(A)]]),ISBLANK(Table2[[#This Row],[Length of Session
(B)]])),1,0))</f>
        <v>0</v>
      </c>
      <c r="E22" s="390"/>
      <c r="F22" s="391"/>
      <c r="G22" s="392"/>
      <c r="H22" s="391"/>
      <c r="I22" s="391"/>
      <c r="J22" s="393"/>
      <c r="K22" s="393"/>
      <c r="L22" s="384"/>
      <c r="M22" s="391"/>
      <c r="N22" s="391"/>
    </row>
    <row r="23" spans="3:14" x14ac:dyDescent="0.3">
      <c r="C23" s="381">
        <f t="shared" si="0"/>
        <v>17</v>
      </c>
      <c r="D23" s="17">
        <f>IF(AND(ISBLANK(Table2[[#This Row],[Start Date]]),ISBLANK(Table2[[#This Row],[Class]]),ISBLANK(Table2[[#This Row],[Class Description]]),ISBLANK(Table2[[#This Row],[No. of Attendees
(A)]])),0,IF(OR(ISBLANK(Table2[[#This Row],[Class]]),ISBLANK(Table2[[#This Row],[No. of Attendees
(A)]]),ISBLANK(Table2[[#This Row],[Length of Session
(B)]])),1,0))</f>
        <v>0</v>
      </c>
      <c r="E23" s="390"/>
      <c r="F23" s="391"/>
      <c r="G23" s="392"/>
      <c r="H23" s="391"/>
      <c r="I23" s="391"/>
      <c r="J23" s="393"/>
      <c r="K23" s="393"/>
      <c r="L23" s="384"/>
      <c r="M23" s="391"/>
      <c r="N23" s="391"/>
    </row>
    <row r="24" spans="3:14" x14ac:dyDescent="0.3">
      <c r="C24" s="381">
        <f t="shared" si="0"/>
        <v>18</v>
      </c>
      <c r="D24" s="17">
        <f>IF(AND(ISBLANK(Table2[[#This Row],[Start Date]]),ISBLANK(Table2[[#This Row],[Class]]),ISBLANK(Table2[[#This Row],[Class Description]]),ISBLANK(Table2[[#This Row],[No. of Attendees
(A)]])),0,IF(OR(ISBLANK(Table2[[#This Row],[Class]]),ISBLANK(Table2[[#This Row],[No. of Attendees
(A)]]),ISBLANK(Table2[[#This Row],[Length of Session
(B)]])),1,0))</f>
        <v>0</v>
      </c>
      <c r="E24" s="390"/>
      <c r="F24" s="391"/>
      <c r="G24" s="392"/>
      <c r="H24" s="391"/>
      <c r="I24" s="391"/>
      <c r="J24" s="393"/>
      <c r="K24" s="393"/>
      <c r="L24" s="384"/>
      <c r="M24" s="391"/>
      <c r="N24" s="391"/>
    </row>
    <row r="25" spans="3:14" x14ac:dyDescent="0.3">
      <c r="C25" s="381">
        <f>ROW()-6</f>
        <v>19</v>
      </c>
      <c r="D25" s="17">
        <f>IF(AND(ISBLANK(Table2[[#This Row],[Start Date]]),ISBLANK(Table2[[#This Row],[Class]]),ISBLANK(Table2[[#This Row],[Class Description]]),ISBLANK(Table2[[#This Row],[No. of Attendees
(A)]])),0,IF(OR(ISBLANK(Table2[[#This Row],[Class]]),ISBLANK(Table2[[#This Row],[No. of Attendees
(A)]]),ISBLANK(Table2[[#This Row],[Length of Session
(B)]])),1,0))</f>
        <v>0</v>
      </c>
      <c r="E25" s="390"/>
      <c r="F25" s="391"/>
      <c r="G25" s="392"/>
      <c r="H25" s="391"/>
      <c r="I25" s="391"/>
      <c r="J25" s="393"/>
      <c r="K25" s="393"/>
      <c r="L25" s="384"/>
      <c r="M25" s="391"/>
      <c r="N25" s="391"/>
    </row>
    <row r="26" spans="3:14" x14ac:dyDescent="0.3">
      <c r="C26" s="381">
        <f>ROW()-6</f>
        <v>20</v>
      </c>
      <c r="D26" s="17">
        <f>IF(AND(ISBLANK(Table2[[#This Row],[Start Date]]),ISBLANK(Table2[[#This Row],[Class]]),ISBLANK(Table2[[#This Row],[Class Description]]),ISBLANK(Table2[[#This Row],[No. of Attendees
(A)]])),0,IF(OR(ISBLANK(Table2[[#This Row],[Class]]),ISBLANK(Table2[[#This Row],[No. of Attendees
(A)]]),ISBLANK(Table2[[#This Row],[Length of Session
(B)]])),1,0))</f>
        <v>0</v>
      </c>
      <c r="E26" s="390"/>
      <c r="F26" s="391"/>
      <c r="G26" s="392"/>
      <c r="H26" s="391"/>
      <c r="I26" s="391"/>
      <c r="J26" s="393"/>
      <c r="K26" s="393"/>
      <c r="L26" s="384"/>
      <c r="M26" s="391"/>
      <c r="N26" s="391"/>
    </row>
    <row r="27" spans="3:14" x14ac:dyDescent="0.3">
      <c r="C27" s="385" t="s">
        <v>193</v>
      </c>
      <c r="D27" s="389">
        <f>SUM(Table2[Test])</f>
        <v>0</v>
      </c>
      <c r="E27" s="385" t="s">
        <v>194</v>
      </c>
      <c r="F27" s="386">
        <f>COUNTA(Table2[Class])</f>
        <v>0</v>
      </c>
      <c r="G27" s="387"/>
      <c r="H27" s="387"/>
      <c r="I27" s="387"/>
      <c r="J27" s="388">
        <f>SUM(J7:J26)</f>
        <v>0</v>
      </c>
      <c r="K27" s="387"/>
      <c r="L27" s="388">
        <f>SUM(L7:L26)</f>
        <v>0</v>
      </c>
      <c r="M27" s="387"/>
      <c r="N27" s="388">
        <f>SUM(N7:N26)</f>
        <v>0</v>
      </c>
    </row>
  </sheetData>
  <sheetProtection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1:O15"/>
  <sheetViews>
    <sheetView showGridLines="0" zoomScaleNormal="100" workbookViewId="0">
      <pane ySplit="6" topLeftCell="A7" activePane="bottomLeft" state="frozen"/>
      <selection activeCell="P31" sqref="P31"/>
      <selection pane="bottomLeft" activeCell="P31" sqref="P31"/>
    </sheetView>
  </sheetViews>
  <sheetFormatPr defaultColWidth="9.109375" defaultRowHeight="13.8" x14ac:dyDescent="0.3"/>
  <cols>
    <col min="1" max="1" width="1" style="2" customWidth="1"/>
    <col min="2" max="2" width="1.88671875" style="2" customWidth="1"/>
    <col min="3" max="3" width="11.109375" style="2" customWidth="1"/>
    <col min="4" max="4" width="8.77734375" style="2" hidden="1" customWidth="1"/>
    <col min="5" max="5" width="11.44140625" style="2" customWidth="1"/>
    <col min="6" max="6" width="16.77734375" style="2" customWidth="1"/>
    <col min="7" max="7" width="27" style="2" customWidth="1"/>
    <col min="8" max="8" width="17.21875" style="2" customWidth="1"/>
    <col min="9" max="9" width="19" style="2" customWidth="1"/>
    <col min="10" max="10" width="11.109375" style="2" customWidth="1"/>
    <col min="11" max="11" width="9.88671875" style="2" customWidth="1"/>
    <col min="12" max="12" width="9.77734375" style="2" customWidth="1"/>
    <col min="13" max="13" width="10" style="2" customWidth="1"/>
    <col min="14" max="14" width="10.44140625" style="2" customWidth="1"/>
    <col min="15" max="15" width="2.77734375" style="2" customWidth="1"/>
    <col min="16" max="16" width="1" style="2" customWidth="1"/>
    <col min="17" max="16384" width="9.109375" style="2"/>
  </cols>
  <sheetData>
    <row r="1" spans="2:15" ht="5.0999999999999996" customHeight="1" thickBot="1" x14ac:dyDescent="0.35"/>
    <row r="2" spans="2:15" ht="38.25" customHeight="1" thickBot="1" x14ac:dyDescent="0.35">
      <c r="B2" s="561" t="s">
        <v>195</v>
      </c>
      <c r="C2" s="561"/>
      <c r="D2" s="561"/>
      <c r="E2" s="561"/>
      <c r="F2" s="561"/>
      <c r="G2" s="561"/>
      <c r="H2" s="561"/>
      <c r="I2" s="561"/>
      <c r="J2" s="561"/>
      <c r="K2" s="561"/>
      <c r="L2" s="561"/>
      <c r="M2" s="561"/>
      <c r="N2" s="561"/>
      <c r="O2" s="561"/>
    </row>
    <row r="3" spans="2:15" ht="45" customHeight="1" x14ac:dyDescent="0.3"/>
    <row r="4" spans="2:15" ht="14.25" customHeight="1" x14ac:dyDescent="0.3">
      <c r="E4" s="339" t="str">
        <f>IF(D15&gt;0,"Incomplete - All required information for each training must be completed.","")</f>
        <v/>
      </c>
    </row>
    <row r="5" spans="2:15" ht="7.5" customHeight="1" x14ac:dyDescent="0.3"/>
    <row r="6" spans="2:15" ht="55.2" x14ac:dyDescent="0.3">
      <c r="C6" s="382" t="s">
        <v>181</v>
      </c>
      <c r="D6" s="382" t="s">
        <v>182</v>
      </c>
      <c r="E6" s="382" t="s">
        <v>183</v>
      </c>
      <c r="F6" s="382" t="s">
        <v>184</v>
      </c>
      <c r="G6" s="382" t="s">
        <v>185</v>
      </c>
      <c r="H6" s="382" t="s">
        <v>186</v>
      </c>
      <c r="I6" s="382" t="s">
        <v>187</v>
      </c>
      <c r="J6" s="382" t="s">
        <v>188</v>
      </c>
      <c r="K6" s="382" t="s">
        <v>189</v>
      </c>
      <c r="L6" s="382" t="s">
        <v>190</v>
      </c>
      <c r="M6" s="382" t="s">
        <v>191</v>
      </c>
      <c r="N6" s="383" t="s">
        <v>192</v>
      </c>
    </row>
    <row r="7" spans="2:15" x14ac:dyDescent="0.3">
      <c r="C7" s="381">
        <f t="shared" ref="C7:C14" si="0">ROW()-6</f>
        <v>1</v>
      </c>
      <c r="D7" s="17">
        <f>IF(AND(ISBLANK(Table22[[#This Row],[Start Date]]),ISBLANK(Table22[[#This Row],[Class]]),ISBLANK(Table22[[#This Row],[Class Description]]),ISBLANK(Table22[[#This Row],[No. of Attendees
(A)]])),0,IF(OR(ISBLANK(Table22[[#This Row],[Class]]),ISBLANK(Table22[[#This Row],[No. of Attendees
(A)]]),ISBLANK(Table22[[#This Row],[Length of Session
(B)]])),1,0))</f>
        <v>0</v>
      </c>
      <c r="E7" s="390"/>
      <c r="F7" s="391"/>
      <c r="G7" s="392"/>
      <c r="H7" s="391"/>
      <c r="I7" s="391"/>
      <c r="J7" s="393"/>
      <c r="K7" s="393"/>
      <c r="L7" s="384"/>
      <c r="M7" s="391"/>
      <c r="N7" s="391"/>
    </row>
    <row r="8" spans="2:15" ht="12.75" customHeight="1" x14ac:dyDescent="0.3">
      <c r="C8" s="381">
        <f t="shared" si="0"/>
        <v>2</v>
      </c>
      <c r="D8" s="17">
        <f>IF(AND(ISBLANK(Table22[[#This Row],[Start Date]]),ISBLANK(Table22[[#This Row],[Class]]),ISBLANK(Table22[[#This Row],[Class Description]]),ISBLANK(Table22[[#This Row],[No. of Attendees
(A)]])),0,IF(OR(ISBLANK(Table22[[#This Row],[Class]]),ISBLANK(Table22[[#This Row],[No. of Attendees
(A)]]),ISBLANK(Table22[[#This Row],[Length of Session
(B)]])),1,0))</f>
        <v>0</v>
      </c>
      <c r="E8" s="390"/>
      <c r="F8" s="391"/>
      <c r="G8" s="392"/>
      <c r="H8" s="391"/>
      <c r="I8" s="391"/>
      <c r="J8" s="393"/>
      <c r="K8" s="393"/>
      <c r="L8" s="384"/>
      <c r="M8" s="391"/>
      <c r="N8" s="391"/>
    </row>
    <row r="9" spans="2:15" ht="12.75" customHeight="1" x14ac:dyDescent="0.3">
      <c r="C9" s="381">
        <f t="shared" si="0"/>
        <v>3</v>
      </c>
      <c r="D9" s="17">
        <f>IF(AND(ISBLANK(Table22[[#This Row],[Start Date]]),ISBLANK(Table22[[#This Row],[Class]]),ISBLANK(Table22[[#This Row],[Class Description]]),ISBLANK(Table22[[#This Row],[No. of Attendees
(A)]])),0,IF(OR(ISBLANK(Table22[[#This Row],[Class]]),ISBLANK(Table22[[#This Row],[No. of Attendees
(A)]]),ISBLANK(Table22[[#This Row],[Length of Session
(B)]])),1,0))</f>
        <v>0</v>
      </c>
      <c r="E9" s="390"/>
      <c r="F9" s="391"/>
      <c r="G9" s="392"/>
      <c r="H9" s="391"/>
      <c r="I9" s="391"/>
      <c r="J9" s="393"/>
      <c r="K9" s="393"/>
      <c r="L9" s="384"/>
      <c r="M9" s="391"/>
      <c r="N9" s="391"/>
    </row>
    <row r="10" spans="2:15" x14ac:dyDescent="0.3">
      <c r="C10" s="381">
        <f t="shared" si="0"/>
        <v>4</v>
      </c>
      <c r="D10" s="17">
        <f>IF(AND(ISBLANK(Table22[[#This Row],[Start Date]]),ISBLANK(Table22[[#This Row],[Class]]),ISBLANK(Table22[[#This Row],[Class Description]]),ISBLANK(Table22[[#This Row],[No. of Attendees
(A)]])),0,IF(OR(ISBLANK(Table22[[#This Row],[Class]]),ISBLANK(Table22[[#This Row],[No. of Attendees
(A)]]),ISBLANK(Table22[[#This Row],[Length of Session
(B)]])),1,0))</f>
        <v>0</v>
      </c>
      <c r="E10" s="390"/>
      <c r="F10" s="391"/>
      <c r="G10" s="392"/>
      <c r="H10" s="391"/>
      <c r="I10" s="391"/>
      <c r="J10" s="393"/>
      <c r="K10" s="393"/>
      <c r="L10" s="384"/>
      <c r="M10" s="391"/>
      <c r="N10" s="391"/>
    </row>
    <row r="11" spans="2:15" x14ac:dyDescent="0.3">
      <c r="C11" s="381">
        <f t="shared" si="0"/>
        <v>5</v>
      </c>
      <c r="D11" s="17">
        <f>IF(AND(ISBLANK(Table22[[#This Row],[Start Date]]),ISBLANK(Table22[[#This Row],[Class]]),ISBLANK(Table22[[#This Row],[Class Description]]),ISBLANK(Table22[[#This Row],[No. of Attendees
(A)]])),0,IF(OR(ISBLANK(Table22[[#This Row],[Class]]),ISBLANK(Table22[[#This Row],[No. of Attendees
(A)]]),ISBLANK(Table22[[#This Row],[Length of Session
(B)]])),1,0))</f>
        <v>0</v>
      </c>
      <c r="E11" s="390"/>
      <c r="F11" s="391"/>
      <c r="G11" s="392"/>
      <c r="H11" s="391"/>
      <c r="I11" s="391"/>
      <c r="J11" s="393"/>
      <c r="K11" s="393"/>
      <c r="L11" s="384"/>
      <c r="M11" s="391"/>
      <c r="N11" s="391"/>
    </row>
    <row r="12" spans="2:15" x14ac:dyDescent="0.3">
      <c r="C12" s="381">
        <f t="shared" si="0"/>
        <v>6</v>
      </c>
      <c r="D12" s="17">
        <f>IF(AND(ISBLANK(Table22[[#This Row],[Start Date]]),ISBLANK(Table22[[#This Row],[Class]]),ISBLANK(Table22[[#This Row],[Class Description]]),ISBLANK(Table22[[#This Row],[No. of Attendees
(A)]])),0,IF(OR(ISBLANK(Table22[[#This Row],[Class]]),ISBLANK(Table22[[#This Row],[No. of Attendees
(A)]]),ISBLANK(Table22[[#This Row],[Length of Session
(B)]])),1,0))</f>
        <v>0</v>
      </c>
      <c r="E12" s="390"/>
      <c r="F12" s="391"/>
      <c r="G12" s="392"/>
      <c r="H12" s="391"/>
      <c r="I12" s="391"/>
      <c r="J12" s="393"/>
      <c r="K12" s="393"/>
      <c r="L12" s="384"/>
      <c r="M12" s="391"/>
      <c r="N12" s="391"/>
    </row>
    <row r="13" spans="2:15" x14ac:dyDescent="0.3">
      <c r="C13" s="381">
        <f t="shared" si="0"/>
        <v>7</v>
      </c>
      <c r="D13" s="17">
        <f>IF(AND(ISBLANK(Table22[[#This Row],[Start Date]]),ISBLANK(Table22[[#This Row],[Class]]),ISBLANK(Table22[[#This Row],[Class Description]]),ISBLANK(Table22[[#This Row],[No. of Attendees
(A)]])),0,IF(OR(ISBLANK(Table22[[#This Row],[Class]]),ISBLANK(Table22[[#This Row],[No. of Attendees
(A)]]),ISBLANK(Table22[[#This Row],[Length of Session
(B)]])),1,0))</f>
        <v>0</v>
      </c>
      <c r="E13" s="390"/>
      <c r="F13" s="391"/>
      <c r="G13" s="392"/>
      <c r="H13" s="391"/>
      <c r="I13" s="391"/>
      <c r="J13" s="393"/>
      <c r="K13" s="393"/>
      <c r="L13" s="384"/>
      <c r="M13" s="391"/>
      <c r="N13" s="391"/>
    </row>
    <row r="14" spans="2:15" x14ac:dyDescent="0.3">
      <c r="C14" s="381">
        <f t="shared" si="0"/>
        <v>8</v>
      </c>
      <c r="D14" s="17">
        <f>IF(AND(ISBLANK(Table22[[#This Row],[Start Date]]),ISBLANK(Table22[[#This Row],[Class]]),ISBLANK(Table22[[#This Row],[Class Description]]),ISBLANK(Table22[[#This Row],[No. of Attendees
(A)]])),0,IF(OR(ISBLANK(Table22[[#This Row],[Class]]),ISBLANK(Table22[[#This Row],[No. of Attendees
(A)]]),ISBLANK(Table22[[#This Row],[Length of Session
(B)]])),1,0))</f>
        <v>0</v>
      </c>
      <c r="E14" s="390"/>
      <c r="F14" s="391"/>
      <c r="G14" s="392"/>
      <c r="H14" s="391"/>
      <c r="I14" s="391"/>
      <c r="J14" s="393"/>
      <c r="K14" s="393"/>
      <c r="L14" s="384"/>
      <c r="M14" s="391"/>
      <c r="N14" s="391"/>
    </row>
    <row r="15" spans="2:15" x14ac:dyDescent="0.3">
      <c r="C15" s="385" t="s">
        <v>193</v>
      </c>
      <c r="D15" s="389">
        <f>SUM(Table22[Test])</f>
        <v>0</v>
      </c>
      <c r="E15" s="385" t="s">
        <v>194</v>
      </c>
      <c r="F15" s="386">
        <f>COUNTA(Table22[Class])</f>
        <v>0</v>
      </c>
      <c r="G15" s="387"/>
      <c r="H15" s="387"/>
      <c r="I15" s="387"/>
      <c r="J15" s="388">
        <f>SUM(J7:J14)</f>
        <v>0</v>
      </c>
      <c r="K15" s="387"/>
      <c r="L15" s="388">
        <f>SUM(L7:L14)</f>
        <v>0</v>
      </c>
      <c r="M15" s="387"/>
      <c r="N15" s="388">
        <f>SUM(N7:N14)</f>
        <v>0</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Q114"/>
  <sheetViews>
    <sheetView showGridLines="0" zoomScale="120" zoomScaleNormal="100" workbookViewId="0">
      <pane ySplit="5" topLeftCell="A6" activePane="bottomLeft" state="frozen"/>
      <selection activeCell="P31" sqref="P31"/>
      <selection pane="bottomLeft" activeCell="M3" sqref="M3:O9"/>
    </sheetView>
  </sheetViews>
  <sheetFormatPr defaultColWidth="9.109375" defaultRowHeight="13.8" x14ac:dyDescent="0.3"/>
  <cols>
    <col min="1" max="1" width="1" style="2" customWidth="1"/>
    <col min="2" max="2" width="3.77734375" style="2" customWidth="1"/>
    <col min="3" max="3" width="36.109375" style="2" customWidth="1"/>
    <col min="4" max="5" width="14.109375" style="2" customWidth="1"/>
    <col min="6" max="6" width="9.109375" style="2" customWidth="1"/>
    <col min="7" max="7" width="14.109375" style="2" customWidth="1"/>
    <col min="8" max="10" width="9.109375" style="2"/>
    <col min="11" max="11" width="14.21875" style="2" customWidth="1"/>
    <col min="12" max="12" width="1" style="2" customWidth="1"/>
    <col min="13" max="13" width="16" style="2" customWidth="1"/>
    <col min="14" max="14" width="0" style="2" hidden="1" customWidth="1"/>
    <col min="15" max="16384" width="9.109375" style="2"/>
  </cols>
  <sheetData>
    <row r="1" spans="1:17" ht="28.5" customHeight="1" x14ac:dyDescent="0.3"/>
    <row r="2" spans="1:17" ht="64.5" customHeight="1" x14ac:dyDescent="0.3">
      <c r="B2" s="453"/>
      <c r="C2" s="454"/>
      <c r="D2" s="454"/>
      <c r="E2" s="454"/>
      <c r="F2" s="454"/>
      <c r="G2" s="454"/>
      <c r="H2" s="454"/>
      <c r="I2" s="454"/>
      <c r="J2" s="454"/>
      <c r="K2" s="455"/>
    </row>
    <row r="3" spans="1:17" ht="13.65" customHeight="1" x14ac:dyDescent="0.3">
      <c r="B3" s="456"/>
      <c r="C3" s="339" t="str">
        <f>IF(N26&gt;0,"Incomplete - All yellow shaded cells must be completed.","")</f>
        <v/>
      </c>
      <c r="D3" s="336"/>
      <c r="E3" s="336"/>
      <c r="F3" s="336"/>
      <c r="G3" s="336"/>
      <c r="H3" s="336"/>
      <c r="I3" s="336"/>
      <c r="J3" s="336"/>
      <c r="K3" s="457"/>
      <c r="M3" s="708"/>
      <c r="N3" s="708"/>
      <c r="O3" s="708"/>
    </row>
    <row r="4" spans="1:17" ht="27.6" x14ac:dyDescent="0.3">
      <c r="B4" s="3"/>
      <c r="D4" s="261" t="s">
        <v>166</v>
      </c>
      <c r="E4" s="261" t="s">
        <v>167</v>
      </c>
      <c r="K4" s="4"/>
      <c r="M4" s="708"/>
      <c r="N4" s="708"/>
      <c r="O4" s="708"/>
    </row>
    <row r="5" spans="1:17" ht="15" customHeight="1" x14ac:dyDescent="0.3">
      <c r="B5" s="3"/>
      <c r="C5" s="9" t="s">
        <v>82</v>
      </c>
      <c r="D5" s="261" t="str">
        <f>"("&amp;Demand_1&amp;")"</f>
        <v>(kW)</v>
      </c>
      <c r="E5" s="261" t="str">
        <f>"("&amp;Energy_1&amp;")"</f>
        <v>(kWh)</v>
      </c>
      <c r="G5" s="261" t="s">
        <v>168</v>
      </c>
      <c r="H5" s="10" t="s">
        <v>169</v>
      </c>
      <c r="K5" s="4"/>
      <c r="M5" s="708"/>
      <c r="N5" s="708"/>
      <c r="O5" s="708"/>
    </row>
    <row r="6" spans="1:17" ht="15" customHeight="1" x14ac:dyDescent="0.3">
      <c r="B6" s="259">
        <v>1</v>
      </c>
      <c r="C6" s="260" t="str">
        <f>'Program Descriptions'!C5</f>
        <v>Residential Products</v>
      </c>
      <c r="D6" s="426">
        <v>0</v>
      </c>
      <c r="E6" s="426">
        <v>13464</v>
      </c>
      <c r="G6" s="426">
        <v>10</v>
      </c>
      <c r="H6" s="590" t="str">
        <f>IF(ISBLANK('Savings &amp; Participants'!H6),"",'Savings &amp; Participants'!H6)</f>
        <v>Customer</v>
      </c>
      <c r="I6" s="590"/>
      <c r="K6" s="4"/>
      <c r="M6" s="709"/>
      <c r="N6" s="709"/>
      <c r="O6" s="709"/>
    </row>
    <row r="7" spans="1:17" ht="15" customHeight="1" x14ac:dyDescent="0.3">
      <c r="B7" s="259">
        <v>2</v>
      </c>
      <c r="C7" s="260" t="str">
        <f>'Program Descriptions'!C6</f>
        <v>School-Based Energy Education</v>
      </c>
      <c r="D7" s="426">
        <v>5.1100000000000003</v>
      </c>
      <c r="E7" s="426">
        <v>47256</v>
      </c>
      <c r="G7" s="426">
        <v>793</v>
      </c>
      <c r="H7" s="590" t="str">
        <f>IF(ISBLANK('Savings &amp; Participants'!H7),"",'Savings &amp; Participants'!H7)</f>
        <v>Customer</v>
      </c>
      <c r="I7" s="590"/>
      <c r="K7" s="4"/>
      <c r="M7" s="709"/>
      <c r="N7" s="709"/>
      <c r="O7" s="709"/>
      <c r="P7"/>
      <c r="Q7"/>
    </row>
    <row r="8" spans="1:17" ht="15" customHeight="1" x14ac:dyDescent="0.3">
      <c r="B8" s="259">
        <v>3</v>
      </c>
      <c r="C8" s="260" t="str">
        <f>'Program Descriptions'!D7</f>
        <v>Weatherization</v>
      </c>
      <c r="D8" s="270">
        <v>0</v>
      </c>
      <c r="E8" s="270">
        <v>0</v>
      </c>
      <c r="G8" s="270">
        <v>6</v>
      </c>
      <c r="H8" s="590" t="str">
        <f>IF(ISBLANK('Savings &amp; Participants'!H8),"",'Savings &amp; Participants'!H8)</f>
        <v>Customer</v>
      </c>
      <c r="I8" s="590"/>
      <c r="K8" s="4"/>
      <c r="M8" s="709"/>
      <c r="N8" s="709"/>
      <c r="O8" s="709"/>
      <c r="P8"/>
      <c r="Q8"/>
    </row>
    <row r="9" spans="1:17" ht="15" customHeight="1" x14ac:dyDescent="0.3">
      <c r="B9" s="259">
        <v>4</v>
      </c>
      <c r="C9" s="260" t="str">
        <f>'Program Descriptions'!D8</f>
        <v>Commercial and Industrial (Custom)</v>
      </c>
      <c r="D9" s="270">
        <v>0</v>
      </c>
      <c r="E9" s="270">
        <v>0</v>
      </c>
      <c r="G9" s="270">
        <v>0</v>
      </c>
      <c r="H9" s="590" t="str">
        <f>IF(ISBLANK('Savings &amp; Participants'!H9),"",'Savings &amp; Participants'!H9)</f>
        <v>Customer</v>
      </c>
      <c r="I9" s="590"/>
      <c r="K9" s="4"/>
      <c r="M9" s="709"/>
      <c r="N9" s="709"/>
      <c r="O9" s="709"/>
      <c r="P9"/>
      <c r="Q9"/>
    </row>
    <row r="10" spans="1:17" ht="15" customHeight="1" x14ac:dyDescent="0.3">
      <c r="B10" s="259">
        <v>5</v>
      </c>
      <c r="C10" s="260" t="str">
        <f>'Program Descriptions'!D9</f>
        <v>Commercial and Industrial (Prescriptive)</v>
      </c>
      <c r="D10" s="270">
        <v>0</v>
      </c>
      <c r="E10" s="270">
        <v>0</v>
      </c>
      <c r="G10" s="270">
        <v>0</v>
      </c>
      <c r="H10" s="590" t="str">
        <f>IF(ISBLANK('Savings &amp; Participants'!H10),"",'Savings &amp; Participants'!H10)</f>
        <v>Customer</v>
      </c>
      <c r="I10" s="590"/>
      <c r="K10" s="4"/>
      <c r="M10"/>
      <c r="N10"/>
      <c r="O10"/>
      <c r="P10"/>
      <c r="Q10"/>
    </row>
    <row r="11" spans="1:17" ht="15" customHeight="1" x14ac:dyDescent="0.3">
      <c r="B11" s="259">
        <v>6</v>
      </c>
      <c r="C11" s="260" t="str">
        <f>'Program Descriptions'!D10</f>
        <v>Online Energy Calculator</v>
      </c>
      <c r="D11" s="270">
        <v>0</v>
      </c>
      <c r="E11" s="270">
        <v>0</v>
      </c>
      <c r="G11" s="552">
        <v>0</v>
      </c>
      <c r="H11" s="590" t="str">
        <f>IF(ISBLANK('Savings &amp; Participants'!H11),"",'Savings &amp; Participants'!H11)</f>
        <v>Customer</v>
      </c>
      <c r="I11" s="590"/>
      <c r="K11" s="4"/>
      <c r="M11"/>
      <c r="N11"/>
      <c r="O11"/>
      <c r="P11"/>
      <c r="Q11"/>
    </row>
    <row r="12" spans="1:17" ht="15" customHeight="1" x14ac:dyDescent="0.3">
      <c r="B12" s="259">
        <v>7</v>
      </c>
      <c r="C12" s="260" t="str">
        <f>'Program Descriptions'!C11</f>
        <v>Administration</v>
      </c>
      <c r="D12" s="270">
        <v>0</v>
      </c>
      <c r="E12" s="270">
        <v>0</v>
      </c>
      <c r="G12" s="270">
        <v>0</v>
      </c>
      <c r="H12" s="590" t="str">
        <f>IF(ISBLANK('Savings &amp; Participants'!H12),"",'Savings &amp; Participants'!H12)</f>
        <v>Homes</v>
      </c>
      <c r="I12" s="590"/>
      <c r="K12" s="4"/>
      <c r="M12"/>
      <c r="N12"/>
      <c r="O12"/>
      <c r="P12"/>
      <c r="Q12"/>
    </row>
    <row r="13" spans="1:17" ht="15" customHeight="1" x14ac:dyDescent="0.3">
      <c r="A13" s="2" t="s">
        <v>196</v>
      </c>
      <c r="B13" s="259">
        <v>8</v>
      </c>
      <c r="C13" s="260" t="str">
        <f>'Program Descriptions'!C12</f>
        <v>Marketing</v>
      </c>
      <c r="D13" s="270">
        <v>0</v>
      </c>
      <c r="E13" s="270">
        <v>0</v>
      </c>
      <c r="G13" s="270">
        <v>0</v>
      </c>
      <c r="H13" s="590" t="str">
        <f>IF(ISBLANK('Savings &amp; Participants'!H13),"",'Savings &amp; Participants'!H13)</f>
        <v>Customer</v>
      </c>
      <c r="I13" s="590"/>
      <c r="K13" s="4"/>
      <c r="M13"/>
      <c r="N13"/>
      <c r="O13"/>
      <c r="P13"/>
      <c r="Q13"/>
    </row>
    <row r="14" spans="1:17" ht="15" customHeight="1" x14ac:dyDescent="0.3">
      <c r="B14" s="259">
        <v>9</v>
      </c>
      <c r="C14" s="260" t="str">
        <f>'Program Descriptions'!C13</f>
        <v>EM&amp;V</v>
      </c>
      <c r="D14" s="270">
        <v>0</v>
      </c>
      <c r="E14" s="270">
        <v>0</v>
      </c>
      <c r="G14" s="270">
        <v>0</v>
      </c>
      <c r="H14" s="590" t="str">
        <f>IF(ISBLANK('Savings &amp; Participants'!H14),"",'Savings &amp; Participants'!H14)</f>
        <v>Projects</v>
      </c>
      <c r="I14" s="590"/>
      <c r="K14" s="4"/>
      <c r="M14"/>
      <c r="N14"/>
      <c r="O14"/>
      <c r="P14"/>
      <c r="Q14"/>
    </row>
    <row r="15" spans="1:17" ht="15" customHeight="1" x14ac:dyDescent="0.3">
      <c r="B15" s="259">
        <v>10</v>
      </c>
      <c r="C15" s="260" t="str">
        <f>'Program Descriptions'!C14</f>
        <v>Empty</v>
      </c>
      <c r="D15" s="270">
        <v>0</v>
      </c>
      <c r="E15" s="270">
        <v>0</v>
      </c>
      <c r="G15" s="270">
        <v>0</v>
      </c>
      <c r="H15" s="590" t="str">
        <f>IF(ISBLANK('Savings &amp; Participants'!H15),"",'Savings &amp; Participants'!H15)</f>
        <v/>
      </c>
      <c r="I15" s="590"/>
      <c r="K15" s="4"/>
      <c r="N15" s="321">
        <f t="shared" ref="N15:N25" si="0">IF(C15="Empty",0,IF(OR(ISBLANK(IF(Demand_1=NG_Demand,E15,D15)),ISBLANK(E15),ISBLANK(G15),ISBLANK(H15)),1,0))</f>
        <v>0</v>
      </c>
      <c r="P15"/>
      <c r="Q15"/>
    </row>
    <row r="16" spans="1:17" ht="15" customHeight="1" x14ac:dyDescent="0.3">
      <c r="B16" s="259">
        <v>11</v>
      </c>
      <c r="C16" s="260" t="str">
        <f>'Program Descriptions'!C15</f>
        <v>Empty</v>
      </c>
      <c r="D16" s="270"/>
      <c r="E16" s="270"/>
      <c r="G16" s="270"/>
      <c r="H16" s="590" t="str">
        <f>IF(ISBLANK('Savings &amp; Participants'!H16),"",'Savings &amp; Participants'!H16)</f>
        <v/>
      </c>
      <c r="I16" s="590"/>
      <c r="K16" s="4"/>
      <c r="N16" s="321">
        <f t="shared" si="0"/>
        <v>0</v>
      </c>
    </row>
    <row r="17" spans="1:14" ht="15" customHeight="1" x14ac:dyDescent="0.3">
      <c r="B17" s="259">
        <v>12</v>
      </c>
      <c r="C17" s="260" t="str">
        <f>'Program Descriptions'!C16</f>
        <v>Empty</v>
      </c>
      <c r="D17" s="270"/>
      <c r="E17" s="270"/>
      <c r="G17" s="270"/>
      <c r="H17" s="590" t="str">
        <f>IF(ISBLANK('Savings &amp; Participants'!H17),"",'Savings &amp; Participants'!H17)</f>
        <v/>
      </c>
      <c r="I17" s="590"/>
      <c r="K17" s="4"/>
      <c r="N17" s="321">
        <f t="shared" si="0"/>
        <v>0</v>
      </c>
    </row>
    <row r="18" spans="1:14" ht="15" customHeight="1" x14ac:dyDescent="0.3">
      <c r="B18" s="259">
        <v>13</v>
      </c>
      <c r="C18" s="260" t="str">
        <f>'Program Descriptions'!C17</f>
        <v>Empty</v>
      </c>
      <c r="D18" s="270"/>
      <c r="E18" s="270"/>
      <c r="G18" s="270"/>
      <c r="H18" s="590" t="str">
        <f>IF(ISBLANK('Savings &amp; Participants'!H18),"",'Savings &amp; Participants'!H18)</f>
        <v/>
      </c>
      <c r="I18" s="590"/>
      <c r="K18" s="4"/>
      <c r="N18" s="321">
        <f t="shared" si="0"/>
        <v>0</v>
      </c>
    </row>
    <row r="19" spans="1:14" ht="15" customHeight="1" x14ac:dyDescent="0.3">
      <c r="B19" s="259">
        <v>14</v>
      </c>
      <c r="C19" s="260" t="str">
        <f>'Program Descriptions'!C18</f>
        <v>Empty</v>
      </c>
      <c r="D19" s="270"/>
      <c r="E19" s="270"/>
      <c r="G19" s="270"/>
      <c r="H19" s="590" t="str">
        <f>IF(ISBLANK('Savings &amp; Participants'!H19),"",'Savings &amp; Participants'!H19)</f>
        <v/>
      </c>
      <c r="I19" s="590"/>
      <c r="K19" s="4"/>
      <c r="N19" s="321">
        <f t="shared" si="0"/>
        <v>0</v>
      </c>
    </row>
    <row r="20" spans="1:14" ht="15" customHeight="1" x14ac:dyDescent="0.3">
      <c r="B20" s="259">
        <v>15</v>
      </c>
      <c r="C20" s="260" t="str">
        <f>'Program Descriptions'!C19</f>
        <v>Empty</v>
      </c>
      <c r="D20" s="270"/>
      <c r="E20" s="270"/>
      <c r="G20" s="270"/>
      <c r="H20" s="590" t="str">
        <f>IF(ISBLANK('Savings &amp; Participants'!H20),"",'Savings &amp; Participants'!H20)</f>
        <v/>
      </c>
      <c r="I20" s="590"/>
      <c r="K20" s="4"/>
      <c r="N20" s="321">
        <f t="shared" si="0"/>
        <v>0</v>
      </c>
    </row>
    <row r="21" spans="1:14" ht="15" customHeight="1" x14ac:dyDescent="0.3">
      <c r="B21" s="259">
        <v>16</v>
      </c>
      <c r="C21" s="260" t="str">
        <f>'Program Descriptions'!C20</f>
        <v>Empty</v>
      </c>
      <c r="D21" s="270"/>
      <c r="E21" s="270"/>
      <c r="G21" s="270"/>
      <c r="H21" s="590" t="str">
        <f>IF(ISBLANK('Savings &amp; Participants'!H21),"",'Savings &amp; Participants'!H21)</f>
        <v/>
      </c>
      <c r="I21" s="590"/>
      <c r="K21" s="4"/>
      <c r="N21" s="321">
        <f t="shared" si="0"/>
        <v>0</v>
      </c>
    </row>
    <row r="22" spans="1:14" ht="15" customHeight="1" x14ac:dyDescent="0.3">
      <c r="B22" s="259">
        <v>17</v>
      </c>
      <c r="C22" s="260" t="str">
        <f>'Program Descriptions'!C21</f>
        <v>Empty</v>
      </c>
      <c r="D22" s="270"/>
      <c r="E22" s="270"/>
      <c r="G22" s="270"/>
      <c r="H22" s="590" t="str">
        <f>IF(ISBLANK('Savings &amp; Participants'!H22),"",'Savings &amp; Participants'!H22)</f>
        <v/>
      </c>
      <c r="I22" s="590"/>
      <c r="K22" s="4"/>
      <c r="N22" s="321">
        <f t="shared" si="0"/>
        <v>0</v>
      </c>
    </row>
    <row r="23" spans="1:14" ht="15" customHeight="1" x14ac:dyDescent="0.3">
      <c r="B23" s="259">
        <v>18</v>
      </c>
      <c r="C23" s="260" t="str">
        <f>'Program Descriptions'!C22</f>
        <v>Empty</v>
      </c>
      <c r="D23" s="270"/>
      <c r="E23" s="270"/>
      <c r="G23" s="270"/>
      <c r="H23" s="590" t="str">
        <f>IF(ISBLANK('Savings &amp; Participants'!H23),"",'Savings &amp; Participants'!H23)</f>
        <v/>
      </c>
      <c r="I23" s="590"/>
      <c r="K23" s="4"/>
      <c r="N23" s="321">
        <f t="shared" si="0"/>
        <v>0</v>
      </c>
    </row>
    <row r="24" spans="1:14" ht="15" customHeight="1" x14ac:dyDescent="0.3">
      <c r="B24" s="259">
        <v>19</v>
      </c>
      <c r="C24" s="260" t="str">
        <f>'Program Descriptions'!C23</f>
        <v>Empty</v>
      </c>
      <c r="D24" s="270"/>
      <c r="E24" s="270"/>
      <c r="G24" s="270"/>
      <c r="H24" s="590" t="str">
        <f>IF(ISBLANK('Savings &amp; Participants'!H24),"",'Savings &amp; Participants'!H24)</f>
        <v/>
      </c>
      <c r="I24" s="590"/>
      <c r="K24" s="4"/>
      <c r="N24" s="321">
        <f t="shared" si="0"/>
        <v>0</v>
      </c>
    </row>
    <row r="25" spans="1:14" ht="15" customHeight="1" thickBot="1" x14ac:dyDescent="0.35">
      <c r="A25" s="2" t="s">
        <v>196</v>
      </c>
      <c r="B25" s="259">
        <v>20</v>
      </c>
      <c r="C25" s="260" t="str">
        <f>'Program Descriptions'!C24</f>
        <v>Empty</v>
      </c>
      <c r="D25" s="270"/>
      <c r="E25" s="270"/>
      <c r="G25" s="270"/>
      <c r="H25" s="590" t="str">
        <f>IF(ISBLANK('Savings &amp; Participants'!H25),"",'Savings &amp; Participants'!H25)</f>
        <v/>
      </c>
      <c r="I25" s="590"/>
      <c r="K25" s="4"/>
      <c r="N25" s="321">
        <f t="shared" si="0"/>
        <v>0</v>
      </c>
    </row>
    <row r="26" spans="1:14" ht="15" customHeight="1" x14ac:dyDescent="0.3">
      <c r="B26" s="3"/>
      <c r="C26" s="264" t="s">
        <v>155</v>
      </c>
      <c r="D26" s="15">
        <f>SUM(D6:D25)</f>
        <v>5.1100000000000003</v>
      </c>
      <c r="E26" s="15">
        <f>SUM(E6:E25)</f>
        <v>60720</v>
      </c>
      <c r="G26" s="15">
        <f>SUM(G6:G25)</f>
        <v>809</v>
      </c>
      <c r="K26" s="4"/>
      <c r="N26" s="2">
        <f>SUM(N6:N25)</f>
        <v>0</v>
      </c>
    </row>
    <row r="27" spans="1:14" ht="15" customHeight="1" x14ac:dyDescent="0.3">
      <c r="B27" s="5"/>
      <c r="C27" s="6"/>
      <c r="D27" s="6"/>
      <c r="E27" s="6"/>
      <c r="F27" s="6"/>
      <c r="G27" s="6"/>
      <c r="H27" s="6"/>
      <c r="I27" s="6"/>
      <c r="J27" s="6"/>
      <c r="K27" s="7"/>
    </row>
    <row r="28" spans="1:14" ht="15" customHeight="1" x14ac:dyDescent="0.3">
      <c r="C28" s="2" t="s">
        <v>197</v>
      </c>
    </row>
    <row r="29" spans="1:14" ht="15" customHeight="1" x14ac:dyDescent="0.3"/>
    <row r="30" spans="1:14" ht="15" customHeight="1" x14ac:dyDescent="0.3"/>
    <row r="31" spans="1:14" ht="15" customHeight="1" x14ac:dyDescent="0.3"/>
    <row r="32" spans="1:1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sheetData>
  <sheetProtection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79" priority="4">
      <formula>Demand_1=NG_Demand</formula>
    </cfRule>
  </conditionalFormatting>
  <conditionalFormatting sqref="D6:E25">
    <cfRule type="expression" dxfId="78" priority="2">
      <formula>$B6&gt;Programs</formula>
    </cfRule>
  </conditionalFormatting>
  <conditionalFormatting sqref="G6:H25">
    <cfRule type="expression" dxfId="77" priority="1">
      <formula>$B6&gt;Programs</formula>
    </cfRule>
  </conditionalFormatting>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B1:O112"/>
  <sheetViews>
    <sheetView showGridLines="0" showRowColHeaders="0" zoomScale="110" zoomScaleNormal="110" workbookViewId="0">
      <pane ySplit="2" topLeftCell="A3" activePane="bottomLeft" state="frozen"/>
      <selection activeCell="P31" sqref="P31"/>
      <selection pane="bottomLeft" activeCell="P31" sqref="P31"/>
    </sheetView>
  </sheetViews>
  <sheetFormatPr defaultColWidth="9.109375" defaultRowHeight="13.8" x14ac:dyDescent="0.3"/>
  <cols>
    <col min="1" max="1" width="1" style="2" customWidth="1"/>
    <col min="2" max="2" width="4.44140625" style="2" customWidth="1"/>
    <col min="3" max="9" width="10.77734375" style="2" customWidth="1"/>
    <col min="10" max="10" width="9.109375" style="2" customWidth="1"/>
    <col min="11" max="11" width="10.77734375" style="2" customWidth="1"/>
    <col min="12" max="12" width="9.109375" style="2" customWidth="1"/>
    <col min="13" max="13" width="10.77734375" style="2" customWidth="1"/>
    <col min="14" max="14" width="9.109375" style="2" customWidth="1"/>
    <col min="15" max="15" width="4.77734375" style="2" customWidth="1"/>
    <col min="16" max="16" width="1" style="2" customWidth="1"/>
    <col min="17" max="17" width="16" style="2" customWidth="1"/>
    <col min="18" max="16384" width="9.109375" style="2"/>
  </cols>
  <sheetData>
    <row r="1" spans="2:15" ht="28.5" customHeight="1" x14ac:dyDescent="0.3"/>
    <row r="2" spans="2:15" ht="64.5" customHeight="1" x14ac:dyDescent="0.3">
      <c r="B2" s="453"/>
      <c r="C2" s="454"/>
      <c r="D2" s="454"/>
      <c r="E2" s="454"/>
      <c r="F2" s="454"/>
      <c r="G2" s="454"/>
      <c r="H2" s="454"/>
      <c r="I2" s="454"/>
      <c r="J2" s="454"/>
      <c r="K2" s="454"/>
      <c r="L2" s="454"/>
      <c r="M2" s="454"/>
      <c r="N2" s="454"/>
      <c r="O2" s="455"/>
    </row>
    <row r="3" spans="2:15" ht="7.5" customHeight="1" x14ac:dyDescent="0.3">
      <c r="B3" s="456"/>
      <c r="C3" s="336"/>
      <c r="D3" s="336"/>
      <c r="E3" s="336"/>
      <c r="F3" s="336"/>
      <c r="G3" s="336"/>
      <c r="H3" s="336"/>
      <c r="I3" s="336"/>
      <c r="J3" s="336"/>
      <c r="K3" s="336"/>
      <c r="L3" s="336"/>
      <c r="M3" s="336"/>
      <c r="N3" s="336"/>
      <c r="O3" s="457"/>
    </row>
    <row r="4" spans="2:15" ht="15" customHeight="1" x14ac:dyDescent="0.3">
      <c r="B4" s="3"/>
      <c r="C4" s="304"/>
      <c r="D4" s="289"/>
      <c r="E4" s="289"/>
      <c r="F4" s="289"/>
      <c r="G4" s="289"/>
      <c r="H4" s="289"/>
      <c r="I4" s="289"/>
      <c r="J4" s="289"/>
      <c r="K4" s="289"/>
      <c r="L4" s="289"/>
      <c r="M4" s="289"/>
      <c r="N4" s="289"/>
      <c r="O4" s="4"/>
    </row>
    <row r="5" spans="2:15" ht="15" customHeight="1" x14ac:dyDescent="0.3">
      <c r="B5" s="3"/>
      <c r="C5" s="305"/>
      <c r="D5" s="306"/>
      <c r="E5" s="289"/>
      <c r="F5" s="305"/>
      <c r="G5" s="305"/>
      <c r="I5" s="306"/>
      <c r="J5" s="289"/>
      <c r="K5" s="306"/>
      <c r="L5" s="289"/>
      <c r="M5" s="306"/>
      <c r="N5" s="289"/>
      <c r="O5" s="4"/>
    </row>
    <row r="6" spans="2:15" ht="50.25" customHeight="1" x14ac:dyDescent="0.3">
      <c r="B6" s="3"/>
      <c r="D6" s="307"/>
      <c r="E6" s="307"/>
      <c r="F6" s="307"/>
      <c r="G6" s="307"/>
      <c r="H6" s="307"/>
      <c r="I6" s="307"/>
      <c r="J6" s="308"/>
      <c r="K6" s="307"/>
      <c r="L6" s="308"/>
      <c r="M6" s="307"/>
      <c r="N6" s="308"/>
      <c r="O6" s="4"/>
    </row>
    <row r="7" spans="2:15" ht="11.25" customHeight="1" x14ac:dyDescent="0.3">
      <c r="B7" s="3"/>
      <c r="H7" s="309"/>
      <c r="I7" s="309"/>
      <c r="J7" s="309"/>
      <c r="K7" s="309"/>
      <c r="L7" s="309"/>
      <c r="M7" s="309"/>
      <c r="N7" s="309"/>
      <c r="O7" s="4"/>
    </row>
    <row r="8" spans="2:15" ht="15" customHeight="1" x14ac:dyDescent="0.3">
      <c r="B8" s="3"/>
      <c r="C8" s="238"/>
      <c r="D8" s="310"/>
      <c r="E8" s="311"/>
      <c r="F8" s="310"/>
      <c r="G8" s="310"/>
      <c r="H8" s="252"/>
      <c r="I8" s="252"/>
      <c r="J8" s="312"/>
      <c r="K8" s="313"/>
      <c r="L8" s="312"/>
      <c r="M8" s="252"/>
      <c r="N8" s="312"/>
      <c r="O8" s="4"/>
    </row>
    <row r="9" spans="2:15" ht="15" customHeight="1" x14ac:dyDescent="0.3">
      <c r="B9" s="3"/>
      <c r="C9" s="238"/>
      <c r="D9" s="310"/>
      <c r="E9" s="311"/>
      <c r="F9" s="310"/>
      <c r="G9" s="310"/>
      <c r="H9" s="252"/>
      <c r="I9" s="252"/>
      <c r="J9" s="312"/>
      <c r="K9" s="313"/>
      <c r="L9" s="312"/>
      <c r="M9" s="252"/>
      <c r="N9" s="312"/>
      <c r="O9" s="4"/>
    </row>
    <row r="10" spans="2:15" ht="15" customHeight="1" x14ac:dyDescent="0.3">
      <c r="B10" s="3"/>
      <c r="C10" s="238"/>
      <c r="D10" s="310"/>
      <c r="E10" s="593" t="s">
        <v>198</v>
      </c>
      <c r="F10" s="593"/>
      <c r="G10" s="593"/>
      <c r="H10" s="593"/>
      <c r="I10" s="593"/>
      <c r="J10" s="593"/>
      <c r="K10" s="313"/>
      <c r="L10" s="312"/>
      <c r="M10" s="252"/>
      <c r="N10" s="312"/>
      <c r="O10" s="4"/>
    </row>
    <row r="11" spans="2:15" ht="15" customHeight="1" x14ac:dyDescent="0.3">
      <c r="B11" s="3"/>
      <c r="C11" s="238"/>
      <c r="D11" s="310"/>
      <c r="E11" s="311"/>
      <c r="F11" s="310"/>
      <c r="G11" s="310"/>
      <c r="H11" s="252"/>
      <c r="I11" s="252"/>
      <c r="J11" s="312"/>
      <c r="K11" s="313"/>
      <c r="L11" s="312"/>
      <c r="M11" s="252"/>
      <c r="N11" s="312"/>
      <c r="O11" s="4"/>
    </row>
    <row r="12" spans="2:15" ht="15" customHeight="1" x14ac:dyDescent="0.3">
      <c r="B12" s="3"/>
      <c r="C12" s="238"/>
      <c r="D12" s="310"/>
      <c r="E12" s="311"/>
      <c r="F12" s="310"/>
      <c r="G12" s="310"/>
      <c r="H12" s="252"/>
      <c r="I12" s="252"/>
      <c r="J12" s="312"/>
      <c r="K12" s="313"/>
      <c r="L12" s="312"/>
      <c r="M12" s="252"/>
      <c r="N12" s="312"/>
      <c r="O12" s="4"/>
    </row>
    <row r="13" spans="2:15" ht="15" customHeight="1" x14ac:dyDescent="0.3">
      <c r="B13" s="3"/>
      <c r="O13" s="4"/>
    </row>
    <row r="14" spans="2:15" ht="15" customHeight="1" x14ac:dyDescent="0.3">
      <c r="B14" s="3"/>
      <c r="O14" s="4"/>
    </row>
    <row r="15" spans="2:15" ht="15" customHeight="1" x14ac:dyDescent="0.3">
      <c r="B15" s="3"/>
      <c r="D15" s="592"/>
      <c r="E15" s="592"/>
      <c r="F15" s="592"/>
      <c r="G15" s="592"/>
      <c r="H15" s="592"/>
      <c r="I15" s="592"/>
      <c r="J15" s="592"/>
      <c r="K15" s="592"/>
      <c r="L15" s="592"/>
      <c r="M15" s="592"/>
      <c r="O15" s="4"/>
    </row>
    <row r="16" spans="2:15" ht="15" customHeight="1" x14ac:dyDescent="0.3">
      <c r="B16" s="3"/>
      <c r="D16" s="314"/>
      <c r="E16" s="591"/>
      <c r="F16" s="591"/>
      <c r="G16" s="591"/>
      <c r="H16" s="591"/>
      <c r="I16" s="591"/>
      <c r="J16" s="591"/>
      <c r="K16" s="591"/>
      <c r="L16" s="591"/>
      <c r="M16" s="591"/>
      <c r="O16" s="4"/>
    </row>
    <row r="17" spans="2:15" ht="15" customHeight="1" x14ac:dyDescent="0.3">
      <c r="B17" s="3"/>
      <c r="D17" s="314"/>
      <c r="O17" s="4"/>
    </row>
    <row r="18" spans="2:15" ht="15" customHeight="1" x14ac:dyDescent="0.3">
      <c r="B18" s="3"/>
      <c r="D18" s="314"/>
      <c r="O18" s="4"/>
    </row>
    <row r="19" spans="2:15" ht="15" customHeight="1" x14ac:dyDescent="0.3">
      <c r="B19" s="3"/>
      <c r="D19" s="314"/>
      <c r="O19" s="4"/>
    </row>
    <row r="20" spans="2:15" ht="15" customHeight="1" x14ac:dyDescent="0.3">
      <c r="B20" s="3"/>
      <c r="D20" s="314"/>
      <c r="O20" s="4"/>
    </row>
    <row r="21" spans="2:15" ht="15" customHeight="1" x14ac:dyDescent="0.3">
      <c r="B21" s="3"/>
      <c r="D21" s="314"/>
      <c r="O21" s="4"/>
    </row>
    <row r="22" spans="2:15" ht="15" customHeight="1" x14ac:dyDescent="0.3">
      <c r="B22" s="3"/>
      <c r="D22" s="314"/>
      <c r="O22" s="4"/>
    </row>
    <row r="23" spans="2:15" ht="15" customHeight="1" x14ac:dyDescent="0.3">
      <c r="B23" s="3"/>
      <c r="D23" s="314"/>
      <c r="O23" s="4"/>
    </row>
    <row r="24" spans="2:15" ht="15" customHeight="1" x14ac:dyDescent="0.3">
      <c r="B24" s="3"/>
      <c r="D24" s="314"/>
      <c r="O24" s="4"/>
    </row>
    <row r="25" spans="2:15" ht="15" customHeight="1" x14ac:dyDescent="0.3">
      <c r="B25" s="5"/>
      <c r="C25" s="6"/>
      <c r="D25" s="6"/>
      <c r="E25" s="6"/>
      <c r="F25" s="6"/>
      <c r="G25" s="6"/>
      <c r="H25" s="6"/>
      <c r="I25" s="6"/>
      <c r="J25" s="6"/>
      <c r="K25" s="6"/>
      <c r="L25" s="6"/>
      <c r="M25" s="6"/>
      <c r="N25" s="6"/>
      <c r="O25" s="7"/>
    </row>
    <row r="26" spans="2:15" ht="15" customHeight="1" x14ac:dyDescent="0.3"/>
    <row r="27" spans="2:15" ht="15" customHeight="1" x14ac:dyDescent="0.3"/>
    <row r="28" spans="2:15" ht="15" customHeight="1" x14ac:dyDescent="0.3"/>
    <row r="29" spans="2:15" ht="15" customHeight="1" x14ac:dyDescent="0.3"/>
    <row r="30" spans="2:15" ht="15" customHeight="1" x14ac:dyDescent="0.3"/>
    <row r="31" spans="2:15" ht="15" customHeight="1" x14ac:dyDescent="0.3"/>
    <row r="32" spans="2: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B1:S179"/>
  <sheetViews>
    <sheetView showGridLines="0" zoomScaleNormal="100" workbookViewId="0">
      <pane ySplit="4" topLeftCell="A5" activePane="bottomLeft" state="frozen"/>
      <selection activeCell="P31" sqref="P31"/>
      <selection pane="bottomLeft" activeCell="M3" sqref="M3:W7"/>
    </sheetView>
  </sheetViews>
  <sheetFormatPr defaultColWidth="9.109375" defaultRowHeight="13.8" x14ac:dyDescent="0.3"/>
  <cols>
    <col min="1" max="1" width="1" style="2" customWidth="1"/>
    <col min="2" max="2" width="3.77734375" style="2" customWidth="1"/>
    <col min="3" max="3" width="36.44140625" style="2" customWidth="1"/>
    <col min="4" max="9" width="12.77734375" style="2" customWidth="1"/>
    <col min="10" max="10" width="13.88671875" style="2" customWidth="1"/>
    <col min="11" max="11" width="2.77734375" style="2" customWidth="1"/>
    <col min="12" max="12" width="1" style="2" customWidth="1"/>
    <col min="13" max="13" width="16" style="2" customWidth="1"/>
    <col min="14" max="16384" width="9.109375" style="2"/>
  </cols>
  <sheetData>
    <row r="1" spans="2:19" ht="28.5" customHeight="1" x14ac:dyDescent="0.3"/>
    <row r="2" spans="2:19" ht="64.5" customHeight="1" x14ac:dyDescent="0.3">
      <c r="B2" s="453"/>
      <c r="C2" s="454"/>
      <c r="D2" s="454"/>
      <c r="E2" s="454"/>
      <c r="F2" s="454"/>
      <c r="G2" s="454"/>
      <c r="H2" s="454"/>
      <c r="I2" s="454"/>
      <c r="J2" s="454"/>
      <c r="K2" s="455"/>
      <c r="M2"/>
      <c r="N2"/>
      <c r="O2"/>
      <c r="P2"/>
      <c r="Q2"/>
      <c r="R2"/>
      <c r="S2"/>
    </row>
    <row r="3" spans="2:19" ht="7.5" customHeight="1" x14ac:dyDescent="0.3">
      <c r="B3" s="456"/>
      <c r="C3" s="336"/>
      <c r="D3" s="336"/>
      <c r="E3" s="336"/>
      <c r="F3" s="336"/>
      <c r="G3" s="336"/>
      <c r="H3" s="336"/>
      <c r="I3" s="336"/>
      <c r="J3" s="336"/>
      <c r="K3" s="457"/>
      <c r="M3"/>
      <c r="N3"/>
      <c r="O3"/>
      <c r="P3"/>
      <c r="Q3"/>
    </row>
    <row r="4" spans="2:19" ht="55.05" customHeight="1" x14ac:dyDescent="0.3">
      <c r="B4" s="3"/>
      <c r="C4" s="9" t="s">
        <v>82</v>
      </c>
      <c r="D4" s="261" t="str">
        <f>Cost!B4</f>
        <v>Planning / Design</v>
      </c>
      <c r="E4" s="261" t="str">
        <f>Cost!C4</f>
        <v>Marketing &amp; Delivery</v>
      </c>
      <c r="F4" s="261" t="str">
        <f>Cost!B14</f>
        <v>Incentives / Direct Install Costs</v>
      </c>
      <c r="G4" s="261" t="str">
        <f>Cost!C19</f>
        <v>EM&amp;V</v>
      </c>
      <c r="H4" s="261" t="str">
        <f>Cost!B25</f>
        <v>Administration</v>
      </c>
      <c r="I4" s="262" t="s">
        <v>154</v>
      </c>
      <c r="J4" s="262"/>
      <c r="K4" s="4"/>
      <c r="M4"/>
      <c r="N4" s="448"/>
      <c r="O4"/>
      <c r="P4"/>
      <c r="Q4"/>
    </row>
    <row r="5" spans="2:19" ht="15" customHeight="1" x14ac:dyDescent="0.3">
      <c r="B5" s="265">
        <v>1</v>
      </c>
      <c r="C5" s="10" t="str">
        <f>'Program Descriptions'!C5</f>
        <v>Residential Products</v>
      </c>
      <c r="D5" s="266">
        <f>SUM(D6:D8)</f>
        <v>0</v>
      </c>
      <c r="E5" s="266">
        <f t="shared" ref="E5:H5" si="0">SUM(E6:E8)</f>
        <v>0</v>
      </c>
      <c r="F5" s="266">
        <f t="shared" si="0"/>
        <v>690</v>
      </c>
      <c r="G5" s="266">
        <f t="shared" si="0"/>
        <v>0</v>
      </c>
      <c r="H5" s="266">
        <f t="shared" si="0"/>
        <v>0</v>
      </c>
      <c r="I5" s="11">
        <f t="shared" ref="I5:I36" si="1">SUM(D5:H5)</f>
        <v>690</v>
      </c>
      <c r="J5" s="11"/>
      <c r="K5" s="4"/>
      <c r="M5"/>
      <c r="N5"/>
      <c r="O5"/>
      <c r="P5"/>
      <c r="Q5"/>
    </row>
    <row r="6" spans="2:19" ht="15" customHeight="1" x14ac:dyDescent="0.3">
      <c r="B6" s="3"/>
      <c r="C6" s="63" t="s">
        <v>199</v>
      </c>
      <c r="D6" s="460">
        <v>0</v>
      </c>
      <c r="E6" s="460">
        <v>0</v>
      </c>
      <c r="F6" s="460">
        <v>690</v>
      </c>
      <c r="G6" s="460">
        <v>0</v>
      </c>
      <c r="H6" s="460">
        <v>0</v>
      </c>
      <c r="I6" s="62">
        <f t="shared" si="1"/>
        <v>690</v>
      </c>
      <c r="J6" s="62"/>
      <c r="K6" s="4"/>
      <c r="M6"/>
      <c r="N6"/>
      <c r="O6"/>
      <c r="P6"/>
      <c r="Q6"/>
    </row>
    <row r="7" spans="2:19" ht="15" customHeight="1" x14ac:dyDescent="0.3">
      <c r="B7" s="3"/>
      <c r="C7" s="63" t="s">
        <v>200</v>
      </c>
      <c r="D7" s="460">
        <v>0</v>
      </c>
      <c r="E7" s="460">
        <v>0</v>
      </c>
      <c r="F7" s="460">
        <v>0</v>
      </c>
      <c r="G7" s="460">
        <v>0</v>
      </c>
      <c r="H7" s="460">
        <v>0</v>
      </c>
      <c r="I7" s="62">
        <f t="shared" si="1"/>
        <v>0</v>
      </c>
      <c r="J7" s="62"/>
      <c r="K7" s="4"/>
      <c r="M7"/>
      <c r="N7"/>
      <c r="O7"/>
      <c r="P7"/>
      <c r="Q7"/>
    </row>
    <row r="8" spans="2:19" ht="15" customHeight="1" x14ac:dyDescent="0.3">
      <c r="B8" s="3"/>
      <c r="C8" s="63" t="s">
        <v>201</v>
      </c>
      <c r="D8" s="460">
        <v>0</v>
      </c>
      <c r="E8" s="460">
        <v>0</v>
      </c>
      <c r="F8" s="460">
        <v>0</v>
      </c>
      <c r="G8" s="460">
        <v>0</v>
      </c>
      <c r="H8" s="460">
        <v>0</v>
      </c>
      <c r="I8" s="62">
        <f t="shared" si="1"/>
        <v>0</v>
      </c>
      <c r="J8" s="62"/>
      <c r="K8" s="4"/>
      <c r="M8"/>
      <c r="N8"/>
      <c r="O8"/>
      <c r="P8"/>
      <c r="Q8"/>
    </row>
    <row r="9" spans="2:19" ht="15" customHeight="1" x14ac:dyDescent="0.3">
      <c r="B9" s="265">
        <f>B5+1</f>
        <v>2</v>
      </c>
      <c r="C9" s="10" t="str">
        <f>'Program Descriptions'!C6</f>
        <v>School-Based Energy Education</v>
      </c>
      <c r="D9" s="266">
        <f>SUM(D10:D12)</f>
        <v>0</v>
      </c>
      <c r="E9" s="266">
        <f t="shared" ref="E9:H9" si="2">SUM(E10:E12)</f>
        <v>0</v>
      </c>
      <c r="F9" s="266">
        <f>SUM(F10:F12)</f>
        <v>29581.94</v>
      </c>
      <c r="G9" s="266">
        <f t="shared" si="2"/>
        <v>0</v>
      </c>
      <c r="H9" s="266">
        <f t="shared" si="2"/>
        <v>0</v>
      </c>
      <c r="I9" s="11">
        <f t="shared" si="1"/>
        <v>29581.94</v>
      </c>
      <c r="J9" s="11"/>
      <c r="K9" s="4"/>
      <c r="M9"/>
      <c r="N9"/>
      <c r="O9"/>
      <c r="P9"/>
      <c r="Q9"/>
    </row>
    <row r="10" spans="2:19" ht="15" customHeight="1" x14ac:dyDescent="0.3">
      <c r="B10" s="3"/>
      <c r="C10" s="63" t="s">
        <v>199</v>
      </c>
      <c r="D10" s="460">
        <v>0</v>
      </c>
      <c r="E10" s="460">
        <v>0</v>
      </c>
      <c r="F10" s="460">
        <v>29581.94</v>
      </c>
      <c r="G10" s="460">
        <v>0</v>
      </c>
      <c r="H10" s="460"/>
      <c r="I10" s="62">
        <f t="shared" si="1"/>
        <v>29581.94</v>
      </c>
      <c r="J10" s="62"/>
      <c r="K10" s="4"/>
      <c r="M10"/>
      <c r="N10"/>
      <c r="O10"/>
      <c r="P10"/>
      <c r="Q10"/>
    </row>
    <row r="11" spans="2:19" ht="15" customHeight="1" x14ac:dyDescent="0.3">
      <c r="B11" s="3"/>
      <c r="C11" s="63" t="s">
        <v>200</v>
      </c>
      <c r="D11" s="460">
        <v>0</v>
      </c>
      <c r="E11" s="460">
        <v>0</v>
      </c>
      <c r="F11" s="460">
        <v>0</v>
      </c>
      <c r="G11" s="460">
        <v>0</v>
      </c>
      <c r="H11" s="460">
        <v>0</v>
      </c>
      <c r="I11" s="62">
        <f t="shared" si="1"/>
        <v>0</v>
      </c>
      <c r="J11" s="62"/>
      <c r="K11" s="4"/>
      <c r="M11"/>
      <c r="N11"/>
      <c r="O11"/>
      <c r="P11"/>
      <c r="Q11"/>
    </row>
    <row r="12" spans="2:19" ht="15" customHeight="1" x14ac:dyDescent="0.3">
      <c r="B12" s="3"/>
      <c r="C12" s="63" t="s">
        <v>201</v>
      </c>
      <c r="D12" s="460">
        <v>0</v>
      </c>
      <c r="E12" s="460">
        <v>0</v>
      </c>
      <c r="F12" s="460">
        <v>0</v>
      </c>
      <c r="G12" s="460">
        <v>0</v>
      </c>
      <c r="H12" s="460">
        <v>0</v>
      </c>
      <c r="I12" s="62">
        <f t="shared" si="1"/>
        <v>0</v>
      </c>
      <c r="J12" s="62"/>
      <c r="K12" s="4"/>
      <c r="M12"/>
      <c r="N12"/>
      <c r="O12"/>
      <c r="P12"/>
      <c r="Q12"/>
    </row>
    <row r="13" spans="2:19" ht="15" customHeight="1" x14ac:dyDescent="0.3">
      <c r="B13" s="265">
        <f>B9+1</f>
        <v>3</v>
      </c>
      <c r="C13" s="10" t="str">
        <f>'Program Descriptions'!D7</f>
        <v>Weatherization</v>
      </c>
      <c r="D13" s="266">
        <f>SUM(D14:D16)</f>
        <v>0</v>
      </c>
      <c r="E13" s="266">
        <f t="shared" ref="E13:H13" si="3">SUM(E14:E16)</f>
        <v>0</v>
      </c>
      <c r="F13" s="266">
        <f t="shared" si="3"/>
        <v>0</v>
      </c>
      <c r="G13" s="266">
        <f t="shared" si="3"/>
        <v>0</v>
      </c>
      <c r="H13" s="266">
        <f t="shared" si="3"/>
        <v>0</v>
      </c>
      <c r="I13" s="11">
        <f t="shared" si="1"/>
        <v>0</v>
      </c>
      <c r="J13" s="11"/>
      <c r="K13" s="4"/>
      <c r="M13"/>
      <c r="N13"/>
      <c r="O13"/>
      <c r="P13"/>
      <c r="Q13"/>
    </row>
    <row r="14" spans="2:19" ht="15" customHeight="1" x14ac:dyDescent="0.3">
      <c r="B14" s="3"/>
      <c r="C14" s="63" t="s">
        <v>199</v>
      </c>
      <c r="D14" s="460">
        <v>0</v>
      </c>
      <c r="E14" s="460">
        <v>0</v>
      </c>
      <c r="F14" s="460">
        <v>0</v>
      </c>
      <c r="G14" s="460">
        <v>0</v>
      </c>
      <c r="H14" s="460">
        <v>0</v>
      </c>
      <c r="I14" s="62">
        <f t="shared" si="1"/>
        <v>0</v>
      </c>
      <c r="J14" s="62"/>
      <c r="K14" s="4"/>
      <c r="M14"/>
      <c r="N14"/>
      <c r="O14"/>
      <c r="P14"/>
      <c r="Q14"/>
    </row>
    <row r="15" spans="2:19" ht="15" customHeight="1" x14ac:dyDescent="0.3">
      <c r="B15" s="3"/>
      <c r="C15" s="63" t="s">
        <v>200</v>
      </c>
      <c r="D15" s="460">
        <v>0</v>
      </c>
      <c r="E15" s="460">
        <v>0</v>
      </c>
      <c r="F15" s="460">
        <v>0</v>
      </c>
      <c r="G15" s="460">
        <v>0</v>
      </c>
      <c r="H15" s="460">
        <v>0</v>
      </c>
      <c r="I15" s="62">
        <f t="shared" si="1"/>
        <v>0</v>
      </c>
      <c r="J15" s="62"/>
      <c r="K15" s="4"/>
      <c r="M15"/>
      <c r="N15"/>
      <c r="O15"/>
      <c r="P15"/>
      <c r="Q15"/>
    </row>
    <row r="16" spans="2:19" ht="15" customHeight="1" x14ac:dyDescent="0.3">
      <c r="B16" s="3"/>
      <c r="C16" s="63" t="s">
        <v>201</v>
      </c>
      <c r="D16" s="460">
        <v>0</v>
      </c>
      <c r="E16" s="460">
        <v>0</v>
      </c>
      <c r="F16" s="460">
        <v>0</v>
      </c>
      <c r="G16" s="460">
        <v>0</v>
      </c>
      <c r="H16" s="460">
        <v>0</v>
      </c>
      <c r="I16" s="62">
        <f t="shared" si="1"/>
        <v>0</v>
      </c>
      <c r="J16" s="62"/>
      <c r="K16" s="4"/>
      <c r="M16"/>
      <c r="N16"/>
      <c r="O16"/>
      <c r="P16"/>
      <c r="Q16"/>
    </row>
    <row r="17" spans="2:17" ht="15" customHeight="1" x14ac:dyDescent="0.3">
      <c r="B17" s="265">
        <f>B13+1</f>
        <v>4</v>
      </c>
      <c r="C17" s="10" t="str">
        <f>'Program Descriptions'!D8</f>
        <v>Commercial and Industrial (Custom)</v>
      </c>
      <c r="D17" s="266">
        <f>SUM(D18:D20)</f>
        <v>0</v>
      </c>
      <c r="E17" s="266">
        <f t="shared" ref="E17:H17" si="4">SUM(E18:E20)</f>
        <v>0</v>
      </c>
      <c r="F17" s="266">
        <f t="shared" si="4"/>
        <v>0</v>
      </c>
      <c r="G17" s="266">
        <f t="shared" si="4"/>
        <v>0</v>
      </c>
      <c r="H17" s="266">
        <f t="shared" si="4"/>
        <v>0</v>
      </c>
      <c r="I17" s="11">
        <f t="shared" si="1"/>
        <v>0</v>
      </c>
      <c r="J17" s="11"/>
      <c r="K17" s="4"/>
      <c r="M17"/>
      <c r="N17"/>
      <c r="O17"/>
      <c r="P17"/>
      <c r="Q17"/>
    </row>
    <row r="18" spans="2:17" ht="15" customHeight="1" x14ac:dyDescent="0.3">
      <c r="B18" s="3"/>
      <c r="C18" s="63" t="s">
        <v>199</v>
      </c>
      <c r="D18" s="460">
        <v>0</v>
      </c>
      <c r="E18" s="460">
        <v>0</v>
      </c>
      <c r="F18" s="460">
        <v>0</v>
      </c>
      <c r="G18" s="460">
        <v>0</v>
      </c>
      <c r="H18" s="460">
        <v>0</v>
      </c>
      <c r="I18" s="62">
        <f t="shared" si="1"/>
        <v>0</v>
      </c>
      <c r="J18" s="62"/>
      <c r="K18" s="4"/>
      <c r="M18"/>
      <c r="N18"/>
      <c r="O18"/>
      <c r="P18"/>
      <c r="Q18"/>
    </row>
    <row r="19" spans="2:17" ht="15" customHeight="1" x14ac:dyDescent="0.3">
      <c r="B19" s="3"/>
      <c r="C19" s="63" t="s">
        <v>200</v>
      </c>
      <c r="D19" s="460">
        <v>0</v>
      </c>
      <c r="E19" s="460">
        <v>0</v>
      </c>
      <c r="F19" s="460">
        <v>0</v>
      </c>
      <c r="G19" s="460">
        <v>0</v>
      </c>
      <c r="H19" s="460">
        <v>0</v>
      </c>
      <c r="I19" s="62">
        <f t="shared" si="1"/>
        <v>0</v>
      </c>
      <c r="J19" s="62"/>
      <c r="K19" s="4"/>
      <c r="M19"/>
      <c r="N19"/>
      <c r="O19"/>
      <c r="P19"/>
      <c r="Q19"/>
    </row>
    <row r="20" spans="2:17" ht="15" customHeight="1" x14ac:dyDescent="0.3">
      <c r="B20" s="3"/>
      <c r="C20" s="63" t="s">
        <v>201</v>
      </c>
      <c r="D20" s="460">
        <v>0</v>
      </c>
      <c r="E20" s="460">
        <v>0</v>
      </c>
      <c r="F20" s="460">
        <v>0</v>
      </c>
      <c r="G20" s="460">
        <v>0</v>
      </c>
      <c r="H20" s="460">
        <v>0</v>
      </c>
      <c r="I20" s="62">
        <f t="shared" si="1"/>
        <v>0</v>
      </c>
      <c r="J20" s="62"/>
      <c r="K20" s="4"/>
      <c r="M20"/>
      <c r="N20"/>
      <c r="O20"/>
      <c r="P20"/>
      <c r="Q20"/>
    </row>
    <row r="21" spans="2:17" ht="15" customHeight="1" x14ac:dyDescent="0.3">
      <c r="B21" s="265">
        <f>B17+1</f>
        <v>5</v>
      </c>
      <c r="C21" s="10" t="str">
        <f>'Program Descriptions'!D9</f>
        <v>Commercial and Industrial (Prescriptive)</v>
      </c>
      <c r="D21" s="266">
        <f>SUM(D22:D24)</f>
        <v>0</v>
      </c>
      <c r="E21" s="266">
        <f t="shared" ref="E21:H21" si="5">SUM(E22:E24)</f>
        <v>0</v>
      </c>
      <c r="F21" s="266">
        <f>SUM(F22:F24)</f>
        <v>0</v>
      </c>
      <c r="G21" s="266">
        <f t="shared" si="5"/>
        <v>0</v>
      </c>
      <c r="H21" s="266">
        <f t="shared" si="5"/>
        <v>0</v>
      </c>
      <c r="I21" s="11">
        <f t="shared" si="1"/>
        <v>0</v>
      </c>
      <c r="J21" s="11"/>
      <c r="K21" s="4"/>
      <c r="M21"/>
      <c r="N21"/>
      <c r="O21"/>
      <c r="P21"/>
      <c r="Q21"/>
    </row>
    <row r="22" spans="2:17" ht="15" customHeight="1" x14ac:dyDescent="0.3">
      <c r="B22" s="3"/>
      <c r="C22" s="63" t="s">
        <v>199</v>
      </c>
      <c r="D22" s="460">
        <v>0</v>
      </c>
      <c r="E22" s="460">
        <v>0</v>
      </c>
      <c r="F22" s="460">
        <v>0</v>
      </c>
      <c r="G22" s="460">
        <v>0</v>
      </c>
      <c r="H22" s="460">
        <v>0</v>
      </c>
      <c r="I22" s="62">
        <f t="shared" si="1"/>
        <v>0</v>
      </c>
      <c r="J22" s="62"/>
      <c r="K22" s="4"/>
      <c r="M22"/>
      <c r="N22"/>
      <c r="O22"/>
      <c r="P22"/>
      <c r="Q22"/>
    </row>
    <row r="23" spans="2:17" ht="15" customHeight="1" x14ac:dyDescent="0.3">
      <c r="B23" s="3"/>
      <c r="C23" s="63" t="s">
        <v>200</v>
      </c>
      <c r="D23" s="460">
        <v>0</v>
      </c>
      <c r="E23" s="460">
        <v>0</v>
      </c>
      <c r="F23" s="460">
        <v>0</v>
      </c>
      <c r="G23" s="460">
        <v>0</v>
      </c>
      <c r="H23" s="460">
        <v>0</v>
      </c>
      <c r="I23" s="62">
        <f t="shared" si="1"/>
        <v>0</v>
      </c>
      <c r="J23" s="62"/>
      <c r="K23" s="4"/>
      <c r="M23"/>
      <c r="N23"/>
      <c r="O23"/>
      <c r="P23"/>
      <c r="Q23"/>
    </row>
    <row r="24" spans="2:17" ht="15" customHeight="1" x14ac:dyDescent="0.3">
      <c r="B24" s="3"/>
      <c r="C24" s="63" t="s">
        <v>201</v>
      </c>
      <c r="D24" s="460">
        <v>0</v>
      </c>
      <c r="E24" s="460">
        <v>0</v>
      </c>
      <c r="F24" s="460">
        <v>0</v>
      </c>
      <c r="G24" s="460">
        <v>0</v>
      </c>
      <c r="H24" s="460">
        <v>0</v>
      </c>
      <c r="I24" s="62">
        <f t="shared" si="1"/>
        <v>0</v>
      </c>
      <c r="J24" s="62"/>
      <c r="K24" s="4"/>
      <c r="M24"/>
      <c r="N24"/>
      <c r="O24"/>
      <c r="P24"/>
      <c r="Q24"/>
    </row>
    <row r="25" spans="2:17" ht="15" customHeight="1" x14ac:dyDescent="0.3">
      <c r="B25" s="265">
        <f>B21+1</f>
        <v>6</v>
      </c>
      <c r="C25" s="10" t="str">
        <f>'Program Descriptions'!D10</f>
        <v>Online Energy Calculator</v>
      </c>
      <c r="D25" s="266">
        <f t="shared" ref="D25:G25" si="6">SUM(D26:D28)</f>
        <v>0</v>
      </c>
      <c r="E25" s="266">
        <f t="shared" si="6"/>
        <v>0</v>
      </c>
      <c r="F25" s="266">
        <f t="shared" si="6"/>
        <v>0</v>
      </c>
      <c r="G25" s="266">
        <f t="shared" si="6"/>
        <v>0</v>
      </c>
      <c r="H25" s="266">
        <f>SUM(H26:H28)</f>
        <v>0</v>
      </c>
      <c r="I25" s="11">
        <f t="shared" si="1"/>
        <v>0</v>
      </c>
      <c r="J25" s="11"/>
      <c r="K25" s="4"/>
      <c r="M25"/>
      <c r="N25"/>
      <c r="O25"/>
      <c r="P25"/>
      <c r="Q25"/>
    </row>
    <row r="26" spans="2:17" ht="15" customHeight="1" x14ac:dyDescent="0.3">
      <c r="B26" s="3"/>
      <c r="C26" s="63" t="s">
        <v>199</v>
      </c>
      <c r="D26" s="460">
        <v>0</v>
      </c>
      <c r="E26" s="460">
        <v>0</v>
      </c>
      <c r="F26" s="460">
        <v>0</v>
      </c>
      <c r="G26" s="460">
        <v>0</v>
      </c>
      <c r="H26" s="460">
        <v>0</v>
      </c>
      <c r="I26" s="62">
        <f t="shared" si="1"/>
        <v>0</v>
      </c>
      <c r="J26" s="62"/>
      <c r="K26" s="4"/>
      <c r="M26"/>
      <c r="N26"/>
      <c r="O26"/>
      <c r="P26"/>
      <c r="Q26"/>
    </row>
    <row r="27" spans="2:17" ht="15" customHeight="1" x14ac:dyDescent="0.3">
      <c r="B27" s="3"/>
      <c r="C27" s="63" t="s">
        <v>200</v>
      </c>
      <c r="D27" s="460">
        <v>0</v>
      </c>
      <c r="E27" s="460">
        <v>0</v>
      </c>
      <c r="F27" s="460">
        <v>0</v>
      </c>
      <c r="G27" s="460">
        <v>0</v>
      </c>
      <c r="H27" s="460">
        <v>0</v>
      </c>
      <c r="I27" s="62">
        <f t="shared" si="1"/>
        <v>0</v>
      </c>
      <c r="J27" s="62"/>
      <c r="K27" s="4"/>
      <c r="M27"/>
      <c r="N27"/>
      <c r="O27"/>
      <c r="P27"/>
      <c r="Q27"/>
    </row>
    <row r="28" spans="2:17" ht="15" customHeight="1" x14ac:dyDescent="0.3">
      <c r="B28" s="3"/>
      <c r="C28" s="63" t="s">
        <v>201</v>
      </c>
      <c r="D28" s="460">
        <v>0</v>
      </c>
      <c r="E28" s="460">
        <v>0</v>
      </c>
      <c r="F28" s="460">
        <v>0</v>
      </c>
      <c r="G28" s="460">
        <v>0</v>
      </c>
      <c r="H28" s="460">
        <v>0</v>
      </c>
      <c r="I28" s="62">
        <f t="shared" si="1"/>
        <v>0</v>
      </c>
      <c r="J28" s="62"/>
      <c r="K28" s="4"/>
      <c r="M28"/>
      <c r="N28"/>
      <c r="O28"/>
      <c r="P28"/>
      <c r="Q28"/>
    </row>
    <row r="29" spans="2:17" ht="15" customHeight="1" x14ac:dyDescent="0.3">
      <c r="B29" s="265">
        <f>B25+1</f>
        <v>7</v>
      </c>
      <c r="C29" s="10" t="str">
        <f>'Program Descriptions'!C11</f>
        <v>Administration</v>
      </c>
      <c r="D29" s="266">
        <f>SUM(D30:D32)</f>
        <v>0</v>
      </c>
      <c r="E29" s="266">
        <f t="shared" ref="E29:H29" si="7">SUM(E30:E32)</f>
        <v>0</v>
      </c>
      <c r="F29" s="266">
        <f>SUM(F30:F32)</f>
        <v>0</v>
      </c>
      <c r="G29" s="266">
        <f t="shared" si="7"/>
        <v>0</v>
      </c>
      <c r="H29" s="266">
        <f t="shared" si="7"/>
        <v>1000</v>
      </c>
      <c r="I29" s="11">
        <f t="shared" si="1"/>
        <v>1000</v>
      </c>
      <c r="J29" s="11"/>
      <c r="K29" s="4"/>
    </row>
    <row r="30" spans="2:17" ht="15" customHeight="1" x14ac:dyDescent="0.3">
      <c r="B30" s="3"/>
      <c r="C30" s="63" t="s">
        <v>199</v>
      </c>
      <c r="D30" s="460">
        <v>0</v>
      </c>
      <c r="E30" s="460">
        <v>0</v>
      </c>
      <c r="F30" s="460">
        <v>0</v>
      </c>
      <c r="G30" s="460">
        <v>0</v>
      </c>
      <c r="H30" s="460">
        <v>0</v>
      </c>
      <c r="I30" s="62">
        <f t="shared" si="1"/>
        <v>0</v>
      </c>
      <c r="J30" s="62"/>
      <c r="K30" s="4"/>
      <c r="M30"/>
      <c r="N30"/>
    </row>
    <row r="31" spans="2:17" ht="15" customHeight="1" x14ac:dyDescent="0.3">
      <c r="B31" s="3"/>
      <c r="C31" s="63" t="s">
        <v>200</v>
      </c>
      <c r="D31" s="460">
        <v>0</v>
      </c>
      <c r="E31" s="460">
        <v>0</v>
      </c>
      <c r="F31" s="460">
        <v>0</v>
      </c>
      <c r="G31" s="460">
        <v>0</v>
      </c>
      <c r="H31" s="460">
        <v>0</v>
      </c>
      <c r="I31" s="62">
        <f t="shared" si="1"/>
        <v>0</v>
      </c>
      <c r="J31" s="62"/>
      <c r="K31" s="4"/>
      <c r="M31"/>
      <c r="N31"/>
    </row>
    <row r="32" spans="2:17" ht="15" customHeight="1" x14ac:dyDescent="0.3">
      <c r="B32" s="3"/>
      <c r="C32" s="63" t="s">
        <v>201</v>
      </c>
      <c r="D32" s="460">
        <v>0</v>
      </c>
      <c r="E32" s="460">
        <v>0</v>
      </c>
      <c r="F32" s="460">
        <v>0</v>
      </c>
      <c r="G32" s="460">
        <v>0</v>
      </c>
      <c r="H32" s="460">
        <v>1000</v>
      </c>
      <c r="I32" s="62">
        <f t="shared" si="1"/>
        <v>1000</v>
      </c>
      <c r="J32" s="62"/>
      <c r="K32" s="4"/>
      <c r="M32"/>
      <c r="N32"/>
    </row>
    <row r="33" spans="2:14" ht="15" customHeight="1" x14ac:dyDescent="0.3">
      <c r="B33" s="265">
        <f>B29+1</f>
        <v>8</v>
      </c>
      <c r="C33" s="10" t="str">
        <f>'Program Descriptions'!C12</f>
        <v>Marketing</v>
      </c>
      <c r="D33" s="266">
        <f>SUM(D34:D36)</f>
        <v>0</v>
      </c>
      <c r="E33" s="266">
        <f>SUM(E34:E36)</f>
        <v>0</v>
      </c>
      <c r="F33" s="266">
        <f>SUM(F34:F36)</f>
        <v>0</v>
      </c>
      <c r="G33" s="266">
        <f>SUM(G34:G36)</f>
        <v>0</v>
      </c>
      <c r="H33" s="266">
        <f>SUM(H34:H36)</f>
        <v>0</v>
      </c>
      <c r="I33" s="11">
        <f t="shared" si="1"/>
        <v>0</v>
      </c>
      <c r="J33" s="11"/>
      <c r="K33" s="4"/>
      <c r="M33"/>
      <c r="N33"/>
    </row>
    <row r="34" spans="2:14" ht="15" customHeight="1" x14ac:dyDescent="0.3">
      <c r="B34" s="3"/>
      <c r="C34" s="63" t="s">
        <v>199</v>
      </c>
      <c r="D34" s="460">
        <v>0</v>
      </c>
      <c r="E34" s="460">
        <v>0</v>
      </c>
      <c r="F34" s="460">
        <v>0</v>
      </c>
      <c r="G34" s="460">
        <v>0</v>
      </c>
      <c r="H34" s="460">
        <v>0</v>
      </c>
      <c r="I34" s="62">
        <f t="shared" si="1"/>
        <v>0</v>
      </c>
      <c r="J34" s="62"/>
      <c r="K34" s="4"/>
      <c r="M34"/>
      <c r="N34"/>
    </row>
    <row r="35" spans="2:14" ht="15" customHeight="1" x14ac:dyDescent="0.3">
      <c r="B35" s="3"/>
      <c r="C35" s="63" t="s">
        <v>200</v>
      </c>
      <c r="D35" s="460">
        <v>0</v>
      </c>
      <c r="E35" s="460">
        <v>0</v>
      </c>
      <c r="F35" s="460">
        <v>0</v>
      </c>
      <c r="G35" s="460">
        <v>0</v>
      </c>
      <c r="H35" s="460">
        <v>0</v>
      </c>
      <c r="I35" s="62">
        <f t="shared" si="1"/>
        <v>0</v>
      </c>
      <c r="J35" s="62"/>
      <c r="K35" s="4"/>
      <c r="M35"/>
      <c r="N35"/>
    </row>
    <row r="36" spans="2:14" ht="15" customHeight="1" x14ac:dyDescent="0.3">
      <c r="B36" s="3"/>
      <c r="C36" s="63" t="s">
        <v>201</v>
      </c>
      <c r="D36" s="460">
        <v>0</v>
      </c>
      <c r="E36" s="460">
        <v>0</v>
      </c>
      <c r="F36" s="460">
        <v>0</v>
      </c>
      <c r="G36" s="460">
        <v>0</v>
      </c>
      <c r="H36" s="460">
        <v>0</v>
      </c>
      <c r="I36" s="62">
        <f t="shared" si="1"/>
        <v>0</v>
      </c>
      <c r="J36" s="62"/>
      <c r="K36" s="4"/>
      <c r="M36"/>
      <c r="N36"/>
    </row>
    <row r="37" spans="2:14" ht="15" customHeight="1" x14ac:dyDescent="0.3">
      <c r="B37" s="265">
        <f>B33+1</f>
        <v>9</v>
      </c>
      <c r="C37" s="10" t="str">
        <f>'Program Descriptions'!C13</f>
        <v>EM&amp;V</v>
      </c>
      <c r="D37" s="266">
        <f>SUM(D38:D40)</f>
        <v>0</v>
      </c>
      <c r="E37" s="266">
        <f>SUM(E38:E40)</f>
        <v>0</v>
      </c>
      <c r="F37" s="266">
        <f>SUM(F38:F40)</f>
        <v>0</v>
      </c>
      <c r="G37" s="266">
        <f>SUM(G38:G40)</f>
        <v>2687.5</v>
      </c>
      <c r="H37" s="266">
        <f>SUM(H38:H40)</f>
        <v>0</v>
      </c>
      <c r="I37" s="11">
        <f t="shared" ref="I37:I68" si="8">SUM(D37:H37)</f>
        <v>2687.5</v>
      </c>
      <c r="J37" s="11"/>
      <c r="K37" s="4"/>
      <c r="M37"/>
      <c r="N37"/>
    </row>
    <row r="38" spans="2:14" ht="15" customHeight="1" x14ac:dyDescent="0.3">
      <c r="B38" s="3"/>
      <c r="C38" s="63" t="s">
        <v>199</v>
      </c>
      <c r="D38" s="460"/>
      <c r="E38" s="460"/>
      <c r="F38" s="460"/>
      <c r="G38" s="460"/>
      <c r="H38" s="460"/>
      <c r="I38" s="62">
        <f t="shared" si="8"/>
        <v>0</v>
      </c>
      <c r="J38" s="62"/>
      <c r="K38" s="4"/>
      <c r="M38"/>
      <c r="N38"/>
    </row>
    <row r="39" spans="2:14" ht="15" customHeight="1" x14ac:dyDescent="0.3">
      <c r="B39" s="3"/>
      <c r="C39" s="63" t="s">
        <v>200</v>
      </c>
      <c r="D39" s="460"/>
      <c r="E39" s="460"/>
      <c r="F39" s="460"/>
      <c r="G39" s="460"/>
      <c r="H39" s="460"/>
      <c r="I39" s="62">
        <f t="shared" si="8"/>
        <v>0</v>
      </c>
      <c r="J39" s="62"/>
      <c r="K39" s="4"/>
      <c r="M39"/>
      <c r="N39"/>
    </row>
    <row r="40" spans="2:14" ht="15" customHeight="1" x14ac:dyDescent="0.3">
      <c r="B40" s="3"/>
      <c r="C40" s="63" t="s">
        <v>201</v>
      </c>
      <c r="D40" s="460"/>
      <c r="E40" s="460"/>
      <c r="F40" s="460"/>
      <c r="G40" s="460">
        <v>2687.5</v>
      </c>
      <c r="H40" s="460"/>
      <c r="I40" s="62">
        <f t="shared" si="8"/>
        <v>2687.5</v>
      </c>
      <c r="J40" s="62"/>
      <c r="K40" s="4"/>
      <c r="M40"/>
      <c r="N40"/>
    </row>
    <row r="41" spans="2:14" ht="15" hidden="1" customHeight="1" x14ac:dyDescent="0.3">
      <c r="B41" s="265">
        <f>B37+1</f>
        <v>10</v>
      </c>
      <c r="C41" s="10" t="str">
        <f>'Program Descriptions'!C14</f>
        <v>Empty</v>
      </c>
      <c r="D41" s="266">
        <f>SUM(D42:D44)</f>
        <v>0</v>
      </c>
      <c r="E41" s="266">
        <f>SUM(E42:E44)</f>
        <v>0</v>
      </c>
      <c r="F41" s="266">
        <f>SUM(F42:F44)</f>
        <v>0</v>
      </c>
      <c r="G41" s="266">
        <f>SUM(G42:G44)</f>
        <v>0</v>
      </c>
      <c r="H41" s="266">
        <f>SUM(H42:H44)</f>
        <v>0</v>
      </c>
      <c r="I41" s="11">
        <f t="shared" si="8"/>
        <v>0</v>
      </c>
      <c r="J41" s="11"/>
      <c r="K41" s="4"/>
      <c r="M41"/>
      <c r="N41"/>
    </row>
    <row r="42" spans="2:14" ht="15" hidden="1" customHeight="1" x14ac:dyDescent="0.3">
      <c r="B42" s="3"/>
      <c r="C42" s="63" t="s">
        <v>199</v>
      </c>
      <c r="D42" s="460"/>
      <c r="E42" s="460"/>
      <c r="F42" s="460"/>
      <c r="G42" s="460"/>
      <c r="H42" s="460"/>
      <c r="I42" s="62">
        <f t="shared" si="8"/>
        <v>0</v>
      </c>
      <c r="J42" s="62"/>
      <c r="K42" s="4"/>
      <c r="M42"/>
      <c r="N42"/>
    </row>
    <row r="43" spans="2:14" ht="15" hidden="1" customHeight="1" x14ac:dyDescent="0.3">
      <c r="B43" s="3"/>
      <c r="C43" s="63" t="s">
        <v>200</v>
      </c>
      <c r="D43" s="460"/>
      <c r="E43" s="460"/>
      <c r="F43" s="460"/>
      <c r="G43" s="460"/>
      <c r="H43" s="460"/>
      <c r="I43" s="62">
        <f t="shared" si="8"/>
        <v>0</v>
      </c>
      <c r="J43" s="62"/>
      <c r="K43" s="4"/>
      <c r="M43"/>
      <c r="N43"/>
    </row>
    <row r="44" spans="2:14" ht="15" hidden="1" customHeight="1" x14ac:dyDescent="0.3">
      <c r="B44" s="3"/>
      <c r="C44" s="63" t="s">
        <v>201</v>
      </c>
      <c r="D44" s="460"/>
      <c r="E44" s="460"/>
      <c r="F44" s="460"/>
      <c r="G44" s="460"/>
      <c r="H44" s="460"/>
      <c r="I44" s="62">
        <f t="shared" si="8"/>
        <v>0</v>
      </c>
      <c r="J44" s="62"/>
      <c r="K44" s="4"/>
      <c r="M44"/>
      <c r="N44"/>
    </row>
    <row r="45" spans="2:14" ht="15" hidden="1" customHeight="1" x14ac:dyDescent="0.3">
      <c r="B45" s="265">
        <f>B41+1</f>
        <v>11</v>
      </c>
      <c r="C45" s="10" t="str">
        <f>'Program Descriptions'!C15</f>
        <v>Empty</v>
      </c>
      <c r="D45" s="266">
        <f>SUM(D46:D48)</f>
        <v>0</v>
      </c>
      <c r="E45" s="266">
        <f>SUM(E46:E48)</f>
        <v>0</v>
      </c>
      <c r="F45" s="266">
        <f>SUM(F46:F48)</f>
        <v>0</v>
      </c>
      <c r="G45" s="266">
        <f>SUM(G46:G48)</f>
        <v>0</v>
      </c>
      <c r="H45" s="266">
        <f>SUM(H46:H48)</f>
        <v>0</v>
      </c>
      <c r="I45" s="11">
        <f t="shared" si="8"/>
        <v>0</v>
      </c>
      <c r="J45" s="11"/>
      <c r="K45" s="4"/>
      <c r="M45"/>
      <c r="N45"/>
    </row>
    <row r="46" spans="2:14" ht="15" hidden="1" customHeight="1" x14ac:dyDescent="0.3">
      <c r="B46" s="3"/>
      <c r="C46" s="63" t="s">
        <v>199</v>
      </c>
      <c r="D46" s="460"/>
      <c r="E46" s="460"/>
      <c r="F46" s="460"/>
      <c r="G46" s="460"/>
      <c r="H46" s="460"/>
      <c r="I46" s="62">
        <f t="shared" si="8"/>
        <v>0</v>
      </c>
      <c r="J46" s="62"/>
      <c r="K46" s="4"/>
      <c r="M46"/>
      <c r="N46"/>
    </row>
    <row r="47" spans="2:14" ht="15" hidden="1" customHeight="1" x14ac:dyDescent="0.3">
      <c r="B47" s="3"/>
      <c r="C47" s="63" t="s">
        <v>200</v>
      </c>
      <c r="D47" s="460"/>
      <c r="E47" s="460"/>
      <c r="F47" s="460"/>
      <c r="G47" s="460"/>
      <c r="H47" s="460"/>
      <c r="I47" s="62">
        <f t="shared" si="8"/>
        <v>0</v>
      </c>
      <c r="J47" s="62"/>
      <c r="K47" s="4"/>
      <c r="M47"/>
      <c r="N47"/>
    </row>
    <row r="48" spans="2:14" ht="15" hidden="1" customHeight="1" x14ac:dyDescent="0.3">
      <c r="B48" s="3"/>
      <c r="C48" s="63" t="s">
        <v>201</v>
      </c>
      <c r="D48" s="460"/>
      <c r="E48" s="460"/>
      <c r="F48" s="460"/>
      <c r="G48" s="460"/>
      <c r="H48" s="460"/>
      <c r="I48" s="62">
        <f t="shared" si="8"/>
        <v>0</v>
      </c>
      <c r="J48" s="62"/>
      <c r="K48" s="4"/>
      <c r="M48"/>
      <c r="N48"/>
    </row>
    <row r="49" spans="2:14" ht="15" hidden="1" customHeight="1" x14ac:dyDescent="0.3">
      <c r="B49" s="265">
        <f>B45+1</f>
        <v>12</v>
      </c>
      <c r="C49" s="10" t="str">
        <f>'Program Descriptions'!C16</f>
        <v>Empty</v>
      </c>
      <c r="D49" s="266">
        <f>SUM(D50:D52)</f>
        <v>0</v>
      </c>
      <c r="E49" s="266">
        <f>SUM(E50:E52)</f>
        <v>0</v>
      </c>
      <c r="F49" s="266">
        <f>SUM(F50:F52)</f>
        <v>0</v>
      </c>
      <c r="G49" s="266">
        <f>SUM(G50:G52)</f>
        <v>0</v>
      </c>
      <c r="H49" s="266">
        <f>SUM(H50:H52)</f>
        <v>0</v>
      </c>
      <c r="I49" s="11">
        <f t="shared" si="8"/>
        <v>0</v>
      </c>
      <c r="J49" s="11"/>
      <c r="K49" s="4"/>
      <c r="M49"/>
      <c r="N49"/>
    </row>
    <row r="50" spans="2:14" ht="15" hidden="1" customHeight="1" x14ac:dyDescent="0.3">
      <c r="B50" s="3"/>
      <c r="C50" s="63" t="s">
        <v>199</v>
      </c>
      <c r="D50" s="460"/>
      <c r="E50" s="460"/>
      <c r="F50" s="460"/>
      <c r="G50" s="460"/>
      <c r="H50" s="460"/>
      <c r="I50" s="62">
        <f t="shared" si="8"/>
        <v>0</v>
      </c>
      <c r="J50" s="62"/>
      <c r="K50" s="4"/>
      <c r="M50"/>
      <c r="N50"/>
    </row>
    <row r="51" spans="2:14" ht="15" hidden="1" customHeight="1" x14ac:dyDescent="0.3">
      <c r="B51" s="3"/>
      <c r="C51" s="63" t="s">
        <v>200</v>
      </c>
      <c r="D51" s="460"/>
      <c r="E51" s="460"/>
      <c r="F51" s="460"/>
      <c r="G51" s="460"/>
      <c r="H51" s="460"/>
      <c r="I51" s="62">
        <f t="shared" si="8"/>
        <v>0</v>
      </c>
      <c r="J51" s="62"/>
      <c r="K51" s="4"/>
      <c r="M51"/>
      <c r="N51"/>
    </row>
    <row r="52" spans="2:14" ht="15" hidden="1" customHeight="1" x14ac:dyDescent="0.3">
      <c r="B52" s="3"/>
      <c r="C52" s="63" t="s">
        <v>201</v>
      </c>
      <c r="D52" s="460"/>
      <c r="E52" s="460"/>
      <c r="F52" s="460"/>
      <c r="G52" s="460"/>
      <c r="H52" s="460"/>
      <c r="I52" s="62">
        <f t="shared" si="8"/>
        <v>0</v>
      </c>
      <c r="J52" s="62"/>
      <c r="K52" s="4"/>
      <c r="M52"/>
      <c r="N52"/>
    </row>
    <row r="53" spans="2:14" ht="15" hidden="1" customHeight="1" x14ac:dyDescent="0.3">
      <c r="B53" s="265">
        <f>B49+1</f>
        <v>13</v>
      </c>
      <c r="C53" s="10" t="str">
        <f>'Program Descriptions'!C17</f>
        <v>Empty</v>
      </c>
      <c r="D53" s="266">
        <f>SUM(D54:D56)</f>
        <v>0</v>
      </c>
      <c r="E53" s="266">
        <f>SUM(E54:E56)</f>
        <v>0</v>
      </c>
      <c r="F53" s="266">
        <f>SUM(F54:F56)</f>
        <v>0</v>
      </c>
      <c r="G53" s="266">
        <f>SUM(G54:G56)</f>
        <v>0</v>
      </c>
      <c r="H53" s="266">
        <f>SUM(H54:H56)</f>
        <v>0</v>
      </c>
      <c r="I53" s="11">
        <f t="shared" si="8"/>
        <v>0</v>
      </c>
      <c r="J53" s="11"/>
      <c r="K53" s="4"/>
      <c r="M53"/>
      <c r="N53"/>
    </row>
    <row r="54" spans="2:14" ht="15" hidden="1" customHeight="1" x14ac:dyDescent="0.3">
      <c r="B54" s="3"/>
      <c r="C54" s="63" t="s">
        <v>199</v>
      </c>
      <c r="D54" s="460"/>
      <c r="E54" s="460"/>
      <c r="F54" s="460"/>
      <c r="G54" s="460"/>
      <c r="H54" s="460"/>
      <c r="I54" s="62">
        <f t="shared" si="8"/>
        <v>0</v>
      </c>
      <c r="J54" s="62"/>
      <c r="K54" s="4"/>
      <c r="M54"/>
      <c r="N54"/>
    </row>
    <row r="55" spans="2:14" ht="15" hidden="1" customHeight="1" x14ac:dyDescent="0.3">
      <c r="B55" s="3"/>
      <c r="C55" s="63" t="s">
        <v>200</v>
      </c>
      <c r="D55" s="460"/>
      <c r="E55" s="460"/>
      <c r="F55" s="460"/>
      <c r="G55" s="460"/>
      <c r="H55" s="460"/>
      <c r="I55" s="62">
        <f t="shared" si="8"/>
        <v>0</v>
      </c>
      <c r="J55" s="62"/>
      <c r="K55" s="4"/>
      <c r="M55"/>
      <c r="N55"/>
    </row>
    <row r="56" spans="2:14" ht="15" hidden="1" customHeight="1" x14ac:dyDescent="0.3">
      <c r="B56" s="3"/>
      <c r="C56" s="63" t="s">
        <v>201</v>
      </c>
      <c r="D56" s="460"/>
      <c r="E56" s="460"/>
      <c r="F56" s="460"/>
      <c r="G56" s="460"/>
      <c r="H56" s="460"/>
      <c r="I56" s="62">
        <f t="shared" si="8"/>
        <v>0</v>
      </c>
      <c r="J56" s="62"/>
      <c r="K56" s="4"/>
      <c r="M56"/>
      <c r="N56"/>
    </row>
    <row r="57" spans="2:14" ht="15" hidden="1" customHeight="1" x14ac:dyDescent="0.3">
      <c r="B57" s="265">
        <f>B53+1</f>
        <v>14</v>
      </c>
      <c r="C57" s="10" t="str">
        <f>'Program Descriptions'!C18</f>
        <v>Empty</v>
      </c>
      <c r="D57" s="266">
        <f>SUM(D58:D60)</f>
        <v>0</v>
      </c>
      <c r="E57" s="266">
        <f>SUM(E58:E60)</f>
        <v>0</v>
      </c>
      <c r="F57" s="266">
        <f>SUM(F58:F60)</f>
        <v>0</v>
      </c>
      <c r="G57" s="266">
        <f>SUM(G58:G60)</f>
        <v>0</v>
      </c>
      <c r="H57" s="266">
        <f>SUM(H58:H60)</f>
        <v>0</v>
      </c>
      <c r="I57" s="11">
        <f t="shared" si="8"/>
        <v>0</v>
      </c>
      <c r="J57" s="11"/>
      <c r="K57" s="4"/>
      <c r="M57"/>
      <c r="N57"/>
    </row>
    <row r="58" spans="2:14" ht="15" hidden="1" customHeight="1" x14ac:dyDescent="0.3">
      <c r="B58" s="3"/>
      <c r="C58" s="63" t="s">
        <v>199</v>
      </c>
      <c r="D58" s="460"/>
      <c r="E58" s="460"/>
      <c r="F58" s="460"/>
      <c r="G58" s="460"/>
      <c r="H58" s="460"/>
      <c r="I58" s="62">
        <f t="shared" si="8"/>
        <v>0</v>
      </c>
      <c r="J58" s="62"/>
      <c r="K58" s="4"/>
      <c r="M58"/>
      <c r="N58"/>
    </row>
    <row r="59" spans="2:14" ht="15" hidden="1" customHeight="1" x14ac:dyDescent="0.3">
      <c r="B59" s="3"/>
      <c r="C59" s="63" t="s">
        <v>200</v>
      </c>
      <c r="D59" s="460"/>
      <c r="E59" s="460"/>
      <c r="F59" s="460"/>
      <c r="G59" s="460"/>
      <c r="H59" s="460"/>
      <c r="I59" s="62">
        <f t="shared" si="8"/>
        <v>0</v>
      </c>
      <c r="J59" s="62"/>
      <c r="K59" s="4"/>
      <c r="M59"/>
      <c r="N59"/>
    </row>
    <row r="60" spans="2:14" ht="15" hidden="1" customHeight="1" x14ac:dyDescent="0.3">
      <c r="B60" s="3"/>
      <c r="C60" s="63" t="s">
        <v>201</v>
      </c>
      <c r="D60" s="460"/>
      <c r="E60" s="460"/>
      <c r="F60" s="460"/>
      <c r="G60" s="460"/>
      <c r="H60" s="460"/>
      <c r="I60" s="62">
        <f t="shared" si="8"/>
        <v>0</v>
      </c>
      <c r="J60" s="62"/>
      <c r="K60" s="4"/>
      <c r="M60"/>
      <c r="N60"/>
    </row>
    <row r="61" spans="2:14" ht="15" hidden="1" customHeight="1" x14ac:dyDescent="0.3">
      <c r="B61" s="265">
        <f>B57+1</f>
        <v>15</v>
      </c>
      <c r="C61" s="10" t="str">
        <f>'Program Descriptions'!C19</f>
        <v>Empty</v>
      </c>
      <c r="D61" s="266">
        <f>SUM(D62:D64)</f>
        <v>0</v>
      </c>
      <c r="E61" s="266">
        <f>SUM(E62:E64)</f>
        <v>0</v>
      </c>
      <c r="F61" s="266">
        <f>SUM(F62:F64)</f>
        <v>0</v>
      </c>
      <c r="G61" s="266">
        <f>SUM(G62:G64)</f>
        <v>0</v>
      </c>
      <c r="H61" s="266">
        <f>SUM(H62:H64)</f>
        <v>0</v>
      </c>
      <c r="I61" s="11">
        <f t="shared" si="8"/>
        <v>0</v>
      </c>
      <c r="J61" s="11"/>
      <c r="K61" s="4"/>
      <c r="M61"/>
      <c r="N61"/>
    </row>
    <row r="62" spans="2:14" ht="15" hidden="1" customHeight="1" x14ac:dyDescent="0.3">
      <c r="B62" s="3"/>
      <c r="C62" s="63" t="s">
        <v>199</v>
      </c>
      <c r="D62" s="460"/>
      <c r="E62" s="460"/>
      <c r="F62" s="460"/>
      <c r="G62" s="460"/>
      <c r="H62" s="460"/>
      <c r="I62" s="62">
        <f t="shared" si="8"/>
        <v>0</v>
      </c>
      <c r="J62" s="62"/>
      <c r="K62" s="4"/>
      <c r="M62"/>
      <c r="N62"/>
    </row>
    <row r="63" spans="2:14" ht="15" hidden="1" customHeight="1" x14ac:dyDescent="0.3">
      <c r="B63" s="3"/>
      <c r="C63" s="63" t="s">
        <v>200</v>
      </c>
      <c r="D63" s="460"/>
      <c r="E63" s="460"/>
      <c r="F63" s="460"/>
      <c r="G63" s="460"/>
      <c r="H63" s="460"/>
      <c r="I63" s="62">
        <f t="shared" si="8"/>
        <v>0</v>
      </c>
      <c r="J63" s="62"/>
      <c r="K63" s="4"/>
      <c r="M63"/>
      <c r="N63"/>
    </row>
    <row r="64" spans="2:14" ht="15" hidden="1" customHeight="1" x14ac:dyDescent="0.3">
      <c r="B64" s="3"/>
      <c r="C64" s="63" t="s">
        <v>201</v>
      </c>
      <c r="D64" s="460"/>
      <c r="E64" s="460"/>
      <c r="F64" s="460"/>
      <c r="G64" s="460"/>
      <c r="H64" s="460"/>
      <c r="I64" s="62">
        <f t="shared" si="8"/>
        <v>0</v>
      </c>
      <c r="J64" s="62"/>
      <c r="K64" s="4"/>
      <c r="M64"/>
      <c r="N64"/>
    </row>
    <row r="65" spans="2:14" ht="15" hidden="1" customHeight="1" x14ac:dyDescent="0.3">
      <c r="B65" s="265">
        <f>B61+1</f>
        <v>16</v>
      </c>
      <c r="C65" s="10" t="str">
        <f>'Program Descriptions'!C20</f>
        <v>Empty</v>
      </c>
      <c r="D65" s="266">
        <f>SUM(D66:D68)</f>
        <v>0</v>
      </c>
      <c r="E65" s="266">
        <f>SUM(E66:E68)</f>
        <v>0</v>
      </c>
      <c r="F65" s="266">
        <f>SUM(F66:F68)</f>
        <v>0</v>
      </c>
      <c r="G65" s="266">
        <f>SUM(G66:G68)</f>
        <v>0</v>
      </c>
      <c r="H65" s="266">
        <f>SUM(H66:H68)</f>
        <v>0</v>
      </c>
      <c r="I65" s="11">
        <f t="shared" si="8"/>
        <v>0</v>
      </c>
      <c r="J65" s="11"/>
      <c r="K65" s="4"/>
      <c r="M65"/>
      <c r="N65"/>
    </row>
    <row r="66" spans="2:14" ht="15" hidden="1" customHeight="1" x14ac:dyDescent="0.3">
      <c r="B66" s="3"/>
      <c r="C66" s="63" t="s">
        <v>199</v>
      </c>
      <c r="D66" s="460"/>
      <c r="E66" s="460"/>
      <c r="F66" s="460"/>
      <c r="G66" s="460"/>
      <c r="H66" s="460"/>
      <c r="I66" s="62">
        <f t="shared" si="8"/>
        <v>0</v>
      </c>
      <c r="J66" s="62"/>
      <c r="K66" s="4"/>
      <c r="M66"/>
      <c r="N66"/>
    </row>
    <row r="67" spans="2:14" ht="15" hidden="1" customHeight="1" x14ac:dyDescent="0.3">
      <c r="B67" s="3"/>
      <c r="C67" s="63" t="s">
        <v>200</v>
      </c>
      <c r="D67" s="460"/>
      <c r="E67" s="460"/>
      <c r="F67" s="460"/>
      <c r="G67" s="460"/>
      <c r="H67" s="460"/>
      <c r="I67" s="62">
        <f t="shared" si="8"/>
        <v>0</v>
      </c>
      <c r="J67" s="62"/>
      <c r="K67" s="4"/>
      <c r="M67"/>
      <c r="N67"/>
    </row>
    <row r="68" spans="2:14" ht="15" hidden="1" customHeight="1" x14ac:dyDescent="0.3">
      <c r="B68" s="3"/>
      <c r="C68" s="63" t="s">
        <v>201</v>
      </c>
      <c r="D68" s="460"/>
      <c r="E68" s="460"/>
      <c r="F68" s="460"/>
      <c r="G68" s="460"/>
      <c r="H68" s="460"/>
      <c r="I68" s="62">
        <f t="shared" si="8"/>
        <v>0</v>
      </c>
      <c r="J68" s="62"/>
      <c r="K68" s="4"/>
      <c r="M68"/>
      <c r="N68"/>
    </row>
    <row r="69" spans="2:14" ht="15" hidden="1" customHeight="1" x14ac:dyDescent="0.3">
      <c r="B69" s="265">
        <f>B65+1</f>
        <v>17</v>
      </c>
      <c r="C69" s="10" t="str">
        <f>'Program Descriptions'!C21</f>
        <v>Empty</v>
      </c>
      <c r="D69" s="266">
        <f>SUM(D70:D72)</f>
        <v>0</v>
      </c>
      <c r="E69" s="266">
        <f>SUM(E70:E72)</f>
        <v>0</v>
      </c>
      <c r="F69" s="266">
        <f>SUM(F70:F72)</f>
        <v>0</v>
      </c>
      <c r="G69" s="266">
        <f>SUM(G70:G72)</f>
        <v>0</v>
      </c>
      <c r="H69" s="266">
        <f>SUM(H70:H72)</f>
        <v>0</v>
      </c>
      <c r="I69" s="11">
        <f t="shared" ref="I69:I84" si="9">SUM(D69:H69)</f>
        <v>0</v>
      </c>
      <c r="J69" s="11"/>
      <c r="K69" s="4"/>
      <c r="M69"/>
      <c r="N69"/>
    </row>
    <row r="70" spans="2:14" ht="15" hidden="1" customHeight="1" x14ac:dyDescent="0.3">
      <c r="B70" s="3"/>
      <c r="C70" s="63" t="s">
        <v>199</v>
      </c>
      <c r="D70" s="460"/>
      <c r="E70" s="460"/>
      <c r="F70" s="460"/>
      <c r="G70" s="460"/>
      <c r="H70" s="460"/>
      <c r="I70" s="62">
        <f t="shared" si="9"/>
        <v>0</v>
      </c>
      <c r="J70" s="62"/>
      <c r="K70" s="4"/>
      <c r="M70"/>
      <c r="N70"/>
    </row>
    <row r="71" spans="2:14" ht="15" hidden="1" customHeight="1" x14ac:dyDescent="0.3">
      <c r="B71" s="3"/>
      <c r="C71" s="63" t="s">
        <v>200</v>
      </c>
      <c r="D71" s="460"/>
      <c r="E71" s="460"/>
      <c r="F71" s="460"/>
      <c r="G71" s="460"/>
      <c r="H71" s="460"/>
      <c r="I71" s="62">
        <f t="shared" si="9"/>
        <v>0</v>
      </c>
      <c r="J71" s="62"/>
      <c r="K71" s="4"/>
      <c r="M71"/>
      <c r="N71"/>
    </row>
    <row r="72" spans="2:14" ht="15" hidden="1" customHeight="1" x14ac:dyDescent="0.3">
      <c r="B72" s="3"/>
      <c r="C72" s="63" t="s">
        <v>201</v>
      </c>
      <c r="D72" s="460"/>
      <c r="E72" s="460"/>
      <c r="F72" s="460"/>
      <c r="G72" s="460"/>
      <c r="H72" s="460"/>
      <c r="I72" s="62">
        <f t="shared" si="9"/>
        <v>0</v>
      </c>
      <c r="J72" s="62"/>
      <c r="K72" s="4"/>
      <c r="M72"/>
      <c r="N72"/>
    </row>
    <row r="73" spans="2:14" ht="15" hidden="1" customHeight="1" x14ac:dyDescent="0.3">
      <c r="B73" s="265">
        <f>B69+1</f>
        <v>18</v>
      </c>
      <c r="C73" s="10" t="str">
        <f>'Program Descriptions'!C22</f>
        <v>Empty</v>
      </c>
      <c r="D73" s="266">
        <f>SUM(D74:D76)</f>
        <v>0</v>
      </c>
      <c r="E73" s="266">
        <f>SUM(E74:E76)</f>
        <v>0</v>
      </c>
      <c r="F73" s="266">
        <f>SUM(F74:F76)</f>
        <v>0</v>
      </c>
      <c r="G73" s="266">
        <f>SUM(G74:G76)</f>
        <v>0</v>
      </c>
      <c r="H73" s="266">
        <f>SUM(H74:H76)</f>
        <v>0</v>
      </c>
      <c r="I73" s="11">
        <f t="shared" si="9"/>
        <v>0</v>
      </c>
      <c r="J73" s="11"/>
      <c r="K73" s="4"/>
      <c r="M73"/>
      <c r="N73"/>
    </row>
    <row r="74" spans="2:14" ht="15" hidden="1" customHeight="1" x14ac:dyDescent="0.3">
      <c r="B74" s="3"/>
      <c r="C74" s="63" t="s">
        <v>199</v>
      </c>
      <c r="D74" s="460"/>
      <c r="E74" s="460"/>
      <c r="F74" s="460"/>
      <c r="G74" s="460"/>
      <c r="H74" s="460"/>
      <c r="I74" s="62">
        <f t="shared" si="9"/>
        <v>0</v>
      </c>
      <c r="J74" s="62"/>
      <c r="K74" s="4"/>
      <c r="M74"/>
      <c r="N74"/>
    </row>
    <row r="75" spans="2:14" ht="15" hidden="1" customHeight="1" x14ac:dyDescent="0.3">
      <c r="B75" s="3"/>
      <c r="C75" s="63" t="s">
        <v>200</v>
      </c>
      <c r="D75" s="460"/>
      <c r="E75" s="460"/>
      <c r="F75" s="460"/>
      <c r="G75" s="460"/>
      <c r="H75" s="460"/>
      <c r="I75" s="62">
        <f t="shared" si="9"/>
        <v>0</v>
      </c>
      <c r="J75" s="62"/>
      <c r="K75" s="4"/>
      <c r="M75"/>
      <c r="N75"/>
    </row>
    <row r="76" spans="2:14" ht="15" hidden="1" customHeight="1" x14ac:dyDescent="0.3">
      <c r="B76" s="3"/>
      <c r="C76" s="63" t="s">
        <v>201</v>
      </c>
      <c r="D76" s="460"/>
      <c r="E76" s="460"/>
      <c r="F76" s="460"/>
      <c r="G76" s="460"/>
      <c r="H76" s="460"/>
      <c r="I76" s="62">
        <f t="shared" si="9"/>
        <v>0</v>
      </c>
      <c r="J76" s="62"/>
      <c r="K76" s="4"/>
      <c r="M76"/>
      <c r="N76"/>
    </row>
    <row r="77" spans="2:14" ht="15" hidden="1" customHeight="1" x14ac:dyDescent="0.3">
      <c r="B77" s="265">
        <f>B73+1</f>
        <v>19</v>
      </c>
      <c r="C77" s="10" t="str">
        <f>'Program Descriptions'!C23</f>
        <v>Empty</v>
      </c>
      <c r="D77" s="266">
        <f>SUM(D78:D80)</f>
        <v>0</v>
      </c>
      <c r="E77" s="266">
        <f>SUM(E78:E80)</f>
        <v>0</v>
      </c>
      <c r="F77" s="266">
        <f>SUM(F78:F80)</f>
        <v>0</v>
      </c>
      <c r="G77" s="266">
        <f>SUM(G78:G80)</f>
        <v>0</v>
      </c>
      <c r="H77" s="266">
        <f>SUM(H78:H80)</f>
        <v>0</v>
      </c>
      <c r="I77" s="11">
        <f t="shared" si="9"/>
        <v>0</v>
      </c>
      <c r="J77" s="11"/>
      <c r="K77" s="4"/>
      <c r="M77"/>
      <c r="N77"/>
    </row>
    <row r="78" spans="2:14" ht="15" hidden="1" customHeight="1" x14ac:dyDescent="0.3">
      <c r="B78" s="3"/>
      <c r="C78" s="63" t="s">
        <v>199</v>
      </c>
      <c r="D78" s="460"/>
      <c r="E78" s="460"/>
      <c r="F78" s="460"/>
      <c r="G78" s="460"/>
      <c r="H78" s="460"/>
      <c r="I78" s="62">
        <f t="shared" si="9"/>
        <v>0</v>
      </c>
      <c r="J78" s="62"/>
      <c r="K78" s="4"/>
      <c r="M78"/>
      <c r="N78"/>
    </row>
    <row r="79" spans="2:14" ht="15" hidden="1" customHeight="1" x14ac:dyDescent="0.3">
      <c r="B79" s="3"/>
      <c r="C79" s="63" t="s">
        <v>200</v>
      </c>
      <c r="D79" s="460"/>
      <c r="E79" s="460"/>
      <c r="F79" s="460"/>
      <c r="G79" s="460"/>
      <c r="H79" s="460"/>
      <c r="I79" s="62">
        <f t="shared" si="9"/>
        <v>0</v>
      </c>
      <c r="J79" s="62"/>
      <c r="K79" s="4"/>
      <c r="M79"/>
      <c r="N79"/>
    </row>
    <row r="80" spans="2:14" ht="15" hidden="1" customHeight="1" x14ac:dyDescent="0.3">
      <c r="B80" s="3"/>
      <c r="C80" s="63" t="s">
        <v>201</v>
      </c>
      <c r="D80" s="460"/>
      <c r="E80" s="460"/>
      <c r="F80" s="460"/>
      <c r="G80" s="460"/>
      <c r="H80" s="460"/>
      <c r="I80" s="62">
        <f t="shared" si="9"/>
        <v>0</v>
      </c>
      <c r="J80" s="62"/>
      <c r="K80" s="4"/>
      <c r="M80"/>
      <c r="N80"/>
    </row>
    <row r="81" spans="2:14" ht="15" hidden="1" customHeight="1" x14ac:dyDescent="0.3">
      <c r="B81" s="265">
        <f>B77+1</f>
        <v>20</v>
      </c>
      <c r="C81" s="10" t="str">
        <f>'Program Descriptions'!C24</f>
        <v>Empty</v>
      </c>
      <c r="D81" s="266">
        <f>SUM(D82:D84)</f>
        <v>0</v>
      </c>
      <c r="E81" s="266">
        <f>SUM(E82:E84)</f>
        <v>0</v>
      </c>
      <c r="F81" s="266">
        <f>SUM(F82:F84)</f>
        <v>0</v>
      </c>
      <c r="G81" s="266">
        <f>SUM(G82:G84)</f>
        <v>0</v>
      </c>
      <c r="H81" s="266">
        <f>SUM(H82:H84)</f>
        <v>0</v>
      </c>
      <c r="I81" s="11">
        <f t="shared" si="9"/>
        <v>0</v>
      </c>
      <c r="J81" s="11"/>
      <c r="K81" s="4"/>
      <c r="M81"/>
      <c r="N81"/>
    </row>
    <row r="82" spans="2:14" ht="15" hidden="1" customHeight="1" x14ac:dyDescent="0.3">
      <c r="B82" s="3"/>
      <c r="C82" s="63" t="s">
        <v>199</v>
      </c>
      <c r="D82" s="460"/>
      <c r="E82" s="460"/>
      <c r="F82" s="460"/>
      <c r="G82" s="460"/>
      <c r="H82" s="460"/>
      <c r="I82" s="62">
        <f t="shared" si="9"/>
        <v>0</v>
      </c>
      <c r="J82" s="62"/>
      <c r="K82" s="4"/>
      <c r="M82"/>
      <c r="N82"/>
    </row>
    <row r="83" spans="2:14" ht="15" hidden="1" customHeight="1" x14ac:dyDescent="0.3">
      <c r="B83" s="3"/>
      <c r="C83" s="63" t="s">
        <v>200</v>
      </c>
      <c r="D83" s="460"/>
      <c r="E83" s="460"/>
      <c r="F83" s="460"/>
      <c r="G83" s="460"/>
      <c r="H83" s="460"/>
      <c r="I83" s="62">
        <f t="shared" si="9"/>
        <v>0</v>
      </c>
      <c r="J83" s="62"/>
      <c r="K83" s="4"/>
      <c r="M83"/>
      <c r="N83"/>
    </row>
    <row r="84" spans="2:14" ht="15" hidden="1" customHeight="1" x14ac:dyDescent="0.3">
      <c r="B84" s="3"/>
      <c r="C84" s="63" t="s">
        <v>201</v>
      </c>
      <c r="D84" s="460"/>
      <c r="E84" s="460"/>
      <c r="F84" s="460"/>
      <c r="G84" s="460"/>
      <c r="H84" s="460"/>
      <c r="I84" s="62">
        <f t="shared" si="9"/>
        <v>0</v>
      </c>
      <c r="J84" s="62"/>
      <c r="K84" s="4"/>
      <c r="M84"/>
      <c r="N84"/>
    </row>
    <row r="85" spans="2:14" ht="15" customHeight="1" x14ac:dyDescent="0.3">
      <c r="B85" s="3"/>
      <c r="K85" s="4"/>
      <c r="M85"/>
      <c r="N85"/>
    </row>
    <row r="86" spans="2:14" ht="15" customHeight="1" x14ac:dyDescent="0.3">
      <c r="B86" s="3"/>
      <c r="K86" s="4"/>
      <c r="M86"/>
      <c r="N86"/>
    </row>
    <row r="87" spans="2:14" ht="41.25" customHeight="1" x14ac:dyDescent="0.3">
      <c r="B87" s="3"/>
      <c r="C87" s="9" t="s">
        <v>202</v>
      </c>
      <c r="D87" s="261" t="str">
        <f>D4</f>
        <v>Planning / Design</v>
      </c>
      <c r="E87" s="261" t="str">
        <f>E4</f>
        <v>Marketing &amp; Delivery</v>
      </c>
      <c r="F87" s="261" t="str">
        <f>F4</f>
        <v>Incentives / Direct Install Costs</v>
      </c>
      <c r="G87" s="261" t="str">
        <f>G4</f>
        <v>EM&amp;V</v>
      </c>
      <c r="H87" s="261" t="str">
        <f>H4</f>
        <v>Administration</v>
      </c>
      <c r="I87" s="261" t="str">
        <f>Cost!C25</f>
        <v>Regulatory</v>
      </c>
      <c r="J87" s="261" t="s">
        <v>154</v>
      </c>
      <c r="K87" s="4"/>
      <c r="M87"/>
      <c r="N87"/>
    </row>
    <row r="88" spans="2:14" ht="15" customHeight="1" x14ac:dyDescent="0.3">
      <c r="B88" s="3"/>
      <c r="C88" s="63" t="s">
        <v>199</v>
      </c>
      <c r="D88" s="469">
        <f t="array" ref="D88">SUM(IF(MOD(ROW(D6:D$84)-ROW(D6),4)=0,D6:D$84,0))</f>
        <v>0</v>
      </c>
      <c r="E88" s="469">
        <f t="array" ref="E88">SUM(IF(MOD(ROW(E6:E$84)-ROW(E6),4)=0,E6:E$84,0))</f>
        <v>0</v>
      </c>
      <c r="F88" s="469">
        <f t="array" ref="F88">SUM(IF(MOD(ROW(F6:F$84)-ROW(F6),4)=0,F6:F$84,0))</f>
        <v>30271.94</v>
      </c>
      <c r="G88" s="469">
        <f t="array" ref="G88">SUM(IF(MOD(ROW(G6:G$84)-ROW(G6),4)=0,G6:G$84,0))</f>
        <v>0</v>
      </c>
      <c r="H88" s="469">
        <f t="array" ref="H88">SUM(IF(MOD(ROW(H6:H$84)-ROW(H6),4)=0,H6:H$84,0))</f>
        <v>0</v>
      </c>
      <c r="I88" s="425">
        <v>923.35</v>
      </c>
      <c r="J88" s="11">
        <f>SUM(D88:I88)</f>
        <v>31195.289999999997</v>
      </c>
      <c r="K88" s="4"/>
      <c r="M88"/>
      <c r="N88"/>
    </row>
    <row r="89" spans="2:14" ht="15" customHeight="1" x14ac:dyDescent="0.3">
      <c r="B89" s="3"/>
      <c r="C89" s="63" t="s">
        <v>200</v>
      </c>
      <c r="D89" s="469">
        <f t="array" ref="D89">SUM(IF(MOD(ROW(D7:D$84)-ROW(D7),4)=0,D7:D$84,0))</f>
        <v>0</v>
      </c>
      <c r="E89" s="469">
        <f t="array" ref="E89">SUM(IF(MOD(ROW(E7:E$84)-ROW(E7),4)=0,E7:E$84,0))</f>
        <v>0</v>
      </c>
      <c r="F89" s="469">
        <f t="array" ref="F89">SUM(IF(MOD(ROW(F7:F$84)-ROW(F7),4)=0,F7:F$84,0))</f>
        <v>0</v>
      </c>
      <c r="G89" s="469"/>
      <c r="H89" s="469">
        <f t="array" ref="H89">SUM(IF(MOD(ROW(H7:H$84)-ROW(H7),4)=0,H7:H$84,0))</f>
        <v>0</v>
      </c>
      <c r="I89" s="425"/>
      <c r="J89" s="11">
        <f>SUM(D89:I89)</f>
        <v>0</v>
      </c>
      <c r="K89" s="4"/>
      <c r="M89"/>
      <c r="N89"/>
    </row>
    <row r="90" spans="2:14" ht="15" customHeight="1" thickBot="1" x14ac:dyDescent="0.35">
      <c r="B90" s="3"/>
      <c r="C90" s="63" t="s">
        <v>201</v>
      </c>
      <c r="D90" s="470">
        <f t="array" ref="D90">SUM(IF(MOD(ROW(D8:D$84)-ROW(D8),4)=0,D8:D$84,0))</f>
        <v>0</v>
      </c>
      <c r="E90" s="470">
        <f t="array" ref="E90">SUM(IF(MOD(ROW(E8:E$84)-ROW(E8),4)=0,E8:E$84,0))</f>
        <v>0</v>
      </c>
      <c r="F90" s="470">
        <f t="array" ref="F90">SUM(IF(MOD(ROW(F8:F$84)-ROW(F8),4)=0,F8:F$84,0))</f>
        <v>0</v>
      </c>
      <c r="G90" s="470">
        <f t="array" ref="G90">SUM(IF(MOD(ROW(G8:G$84)-ROW(G8),4)=0,G8:G$84,0))</f>
        <v>2687.5</v>
      </c>
      <c r="H90" s="470">
        <f t="array" ref="H90">SUM(IF(MOD(ROW(H8:H$84)-ROW(H8),4)=0,H8:H$84,0))</f>
        <v>1000</v>
      </c>
      <c r="I90" s="461"/>
      <c r="J90" s="11">
        <f>SUM(D90:I90)</f>
        <v>3687.5</v>
      </c>
      <c r="K90" s="4"/>
      <c r="M90"/>
      <c r="N90"/>
    </row>
    <row r="91" spans="2:14" ht="15" customHeight="1" x14ac:dyDescent="0.3">
      <c r="B91" s="3"/>
      <c r="C91" s="263" t="s">
        <v>155</v>
      </c>
      <c r="D91" s="14">
        <f>SUM(D88:D90)</f>
        <v>0</v>
      </c>
      <c r="E91" s="14">
        <f t="shared" ref="E91:I91" si="10">SUM(E88:E90)</f>
        <v>0</v>
      </c>
      <c r="F91" s="14">
        <f t="shared" si="10"/>
        <v>30271.94</v>
      </c>
      <c r="G91" s="14">
        <f t="shared" si="10"/>
        <v>2687.5</v>
      </c>
      <c r="H91" s="14">
        <f t="shared" si="10"/>
        <v>1000</v>
      </c>
      <c r="I91" s="14">
        <f t="shared" si="10"/>
        <v>923.35</v>
      </c>
      <c r="J91" s="14">
        <f>SUM(J88:J90)</f>
        <v>34882.789999999994</v>
      </c>
      <c r="K91" s="4"/>
      <c r="M91"/>
      <c r="N91"/>
    </row>
    <row r="92" spans="2:14" ht="15" customHeight="1" x14ac:dyDescent="0.3">
      <c r="B92" s="5"/>
      <c r="C92" s="6"/>
      <c r="D92" s="6"/>
      <c r="E92" s="6"/>
      <c r="F92" s="6"/>
      <c r="G92" s="6"/>
      <c r="H92" s="6"/>
      <c r="I92" s="6"/>
      <c r="J92" s="6"/>
      <c r="K92" s="7"/>
      <c r="M92"/>
      <c r="N92"/>
    </row>
    <row r="93" spans="2:14" ht="15" customHeight="1" x14ac:dyDescent="0.3">
      <c r="M93"/>
      <c r="N93"/>
    </row>
    <row r="94" spans="2:14" ht="15" customHeight="1" x14ac:dyDescent="0.3">
      <c r="M94"/>
      <c r="N94"/>
    </row>
    <row r="95" spans="2:14" ht="15" customHeight="1" x14ac:dyDescent="0.3">
      <c r="M95"/>
      <c r="N95"/>
    </row>
    <row r="96" spans="2:14"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sheetData>
  <sheetProtection formatRows="0"/>
  <conditionalFormatting sqref="D6:H8 D22:E23 G22:H23 D24:H24 D30">
    <cfRule type="expression" dxfId="76" priority="73">
      <formula>$B5&gt;Programs</formula>
    </cfRule>
  </conditionalFormatting>
  <conditionalFormatting sqref="D10:H12">
    <cfRule type="expression" dxfId="75" priority="2">
      <formula>$B9&gt;Programs</formula>
    </cfRule>
  </conditionalFormatting>
  <conditionalFormatting sqref="D14:H16">
    <cfRule type="expression" dxfId="74" priority="6">
      <formula>$B13&gt;Programs</formula>
    </cfRule>
  </conditionalFormatting>
  <conditionalFormatting sqref="D18:H20">
    <cfRule type="expression" dxfId="73" priority="5">
      <formula>$B17&gt;Programs</formula>
    </cfRule>
  </conditionalFormatting>
  <conditionalFormatting sqref="D26:H28">
    <cfRule type="expression" dxfId="72" priority="3">
      <formula>$B25&gt;Programs</formula>
    </cfRule>
  </conditionalFormatting>
  <conditionalFormatting sqref="D32:H32">
    <cfRule type="expression" dxfId="71" priority="47">
      <formula>$B29&gt;Programs</formula>
    </cfRule>
  </conditionalFormatting>
  <conditionalFormatting sqref="D34:H34">
    <cfRule type="expression" dxfId="70" priority="46">
      <formula>$B33&gt;Programs</formula>
    </cfRule>
  </conditionalFormatting>
  <conditionalFormatting sqref="D35:H35">
    <cfRule type="expression" dxfId="69" priority="45">
      <formula>$B33&gt;Programs</formula>
    </cfRule>
  </conditionalFormatting>
  <conditionalFormatting sqref="D36:H36">
    <cfRule type="expression" dxfId="68" priority="44">
      <formula>$B33&gt;Programs</formula>
    </cfRule>
  </conditionalFormatting>
  <conditionalFormatting sqref="D38:H38">
    <cfRule type="expression" dxfId="67" priority="43">
      <formula>$B37&gt;Programs</formula>
    </cfRule>
  </conditionalFormatting>
  <conditionalFormatting sqref="D39:H39">
    <cfRule type="expression" dxfId="66" priority="42">
      <formula>$B37&gt;Programs</formula>
    </cfRule>
  </conditionalFormatting>
  <conditionalFormatting sqref="D40:H40">
    <cfRule type="expression" dxfId="65" priority="41">
      <formula>$B37&gt;Programs</formula>
    </cfRule>
  </conditionalFormatting>
  <conditionalFormatting sqref="D42:H42">
    <cfRule type="expression" dxfId="64" priority="40">
      <formula>$B41&gt;Programs</formula>
    </cfRule>
  </conditionalFormatting>
  <conditionalFormatting sqref="D43:H43">
    <cfRule type="expression" dxfId="63" priority="39">
      <formula>$B41&gt;Programs</formula>
    </cfRule>
  </conditionalFormatting>
  <conditionalFormatting sqref="D44:H44">
    <cfRule type="expression" dxfId="62" priority="38">
      <formula>$B41&gt;Programs</formula>
    </cfRule>
  </conditionalFormatting>
  <conditionalFormatting sqref="D46:H46">
    <cfRule type="expression" dxfId="61" priority="37">
      <formula>$B45&gt;Programs</formula>
    </cfRule>
  </conditionalFormatting>
  <conditionalFormatting sqref="D47:H47">
    <cfRule type="expression" dxfId="60" priority="36">
      <formula>$B45&gt;Programs</formula>
    </cfRule>
  </conditionalFormatting>
  <conditionalFormatting sqref="D48:H48">
    <cfRule type="expression" dxfId="59" priority="35">
      <formula>$B45&gt;Programs</formula>
    </cfRule>
  </conditionalFormatting>
  <conditionalFormatting sqref="D50:H50">
    <cfRule type="expression" dxfId="58" priority="34">
      <formula>$B49&gt;Programs</formula>
    </cfRule>
  </conditionalFormatting>
  <conditionalFormatting sqref="D51:H51">
    <cfRule type="expression" dxfId="57" priority="33">
      <formula>$B49&gt;Programs</formula>
    </cfRule>
  </conditionalFormatting>
  <conditionalFormatting sqref="D52:H52">
    <cfRule type="expression" dxfId="56" priority="32">
      <formula>$B49&gt;Programs</formula>
    </cfRule>
  </conditionalFormatting>
  <conditionalFormatting sqref="D54:H54">
    <cfRule type="expression" dxfId="55" priority="31">
      <formula>$B53&gt;Programs</formula>
    </cfRule>
  </conditionalFormatting>
  <conditionalFormatting sqref="D55:H55">
    <cfRule type="expression" dxfId="54" priority="30">
      <formula>$B53&gt;Programs</formula>
    </cfRule>
  </conditionalFormatting>
  <conditionalFormatting sqref="D56:H56">
    <cfRule type="expression" dxfId="53" priority="29">
      <formula>$B53&gt;Programs</formula>
    </cfRule>
  </conditionalFormatting>
  <conditionalFormatting sqref="D58:H58">
    <cfRule type="expression" dxfId="52" priority="28">
      <formula>$B57&gt;Programs</formula>
    </cfRule>
  </conditionalFormatting>
  <conditionalFormatting sqref="D59:H59">
    <cfRule type="expression" dxfId="51" priority="27">
      <formula>$B57&gt;Programs</formula>
    </cfRule>
  </conditionalFormatting>
  <conditionalFormatting sqref="D60:H60">
    <cfRule type="expression" dxfId="50" priority="26">
      <formula>$B57&gt;Programs</formula>
    </cfRule>
  </conditionalFormatting>
  <conditionalFormatting sqref="D62:H62">
    <cfRule type="expression" dxfId="49" priority="25">
      <formula>$B61&gt;Programs</formula>
    </cfRule>
  </conditionalFormatting>
  <conditionalFormatting sqref="D63:H63">
    <cfRule type="expression" dxfId="48" priority="24">
      <formula>$B61&gt;Programs</formula>
    </cfRule>
  </conditionalFormatting>
  <conditionalFormatting sqref="D64:H64">
    <cfRule type="expression" dxfId="47" priority="23">
      <formula>$B61&gt;Programs</formula>
    </cfRule>
  </conditionalFormatting>
  <conditionalFormatting sqref="D66:H66">
    <cfRule type="expression" dxfId="46" priority="22">
      <formula>$B65&gt;Programs</formula>
    </cfRule>
  </conditionalFormatting>
  <conditionalFormatting sqref="D67:H67">
    <cfRule type="expression" dxfId="45" priority="21">
      <formula>$B65&gt;Programs</formula>
    </cfRule>
  </conditionalFormatting>
  <conditionalFormatting sqref="D68:H68">
    <cfRule type="expression" dxfId="44" priority="20">
      <formula>$B65&gt;Programs</formula>
    </cfRule>
  </conditionalFormatting>
  <conditionalFormatting sqref="D70:H70">
    <cfRule type="expression" dxfId="43" priority="19">
      <formula>$B69&gt;Programs</formula>
    </cfRule>
  </conditionalFormatting>
  <conditionalFormatting sqref="D71:H71">
    <cfRule type="expression" dxfId="42" priority="18">
      <formula>$B69&gt;Programs</formula>
    </cfRule>
  </conditionalFormatting>
  <conditionalFormatting sqref="D72:H72">
    <cfRule type="expression" dxfId="41" priority="17">
      <formula>$B69&gt;Programs</formula>
    </cfRule>
  </conditionalFormatting>
  <conditionalFormatting sqref="D74:H74">
    <cfRule type="expression" dxfId="40" priority="16">
      <formula>$B73&gt;Programs</formula>
    </cfRule>
  </conditionalFormatting>
  <conditionalFormatting sqref="D75:H75">
    <cfRule type="expression" dxfId="39" priority="15">
      <formula>$B73&gt;Programs</formula>
    </cfRule>
  </conditionalFormatting>
  <conditionalFormatting sqref="D76:H76">
    <cfRule type="expression" dxfId="38" priority="14">
      <formula>$B73&gt;Programs</formula>
    </cfRule>
  </conditionalFormatting>
  <conditionalFormatting sqref="D78:H78">
    <cfRule type="expression" dxfId="37" priority="13">
      <formula>$B77&gt;Programs</formula>
    </cfRule>
  </conditionalFormatting>
  <conditionalFormatting sqref="D79:H79">
    <cfRule type="expression" dxfId="36" priority="12">
      <formula>$B77&gt;Programs</formula>
    </cfRule>
  </conditionalFormatting>
  <conditionalFormatting sqref="D80:H80">
    <cfRule type="expression" dxfId="35" priority="11">
      <formula>$B77&gt;Programs</formula>
    </cfRule>
  </conditionalFormatting>
  <conditionalFormatting sqref="D82:H82">
    <cfRule type="expression" dxfId="34" priority="10">
      <formula>$B81&gt;Programs</formula>
    </cfRule>
  </conditionalFormatting>
  <conditionalFormatting sqref="D83:H83">
    <cfRule type="expression" dxfId="33" priority="9">
      <formula>$B81&gt;Programs</formula>
    </cfRule>
  </conditionalFormatting>
  <conditionalFormatting sqref="D84:H84">
    <cfRule type="expression" dxfId="32" priority="8">
      <formula>$B81&gt;Programs</formula>
    </cfRule>
  </conditionalFormatting>
  <conditionalFormatting sqref="E30 D31:H31">
    <cfRule type="expression" dxfId="31" priority="48">
      <formula>$B28&gt;Programs</formula>
    </cfRule>
  </conditionalFormatting>
  <conditionalFormatting sqref="F22:F23">
    <cfRule type="expression" dxfId="30" priority="76">
      <formula>$B22&gt;Programs</formula>
    </cfRule>
  </conditionalFormatting>
  <conditionalFormatting sqref="F30:H30">
    <cfRule type="expression" dxfId="29" priority="1">
      <formula>$B29&gt;Programs</formula>
    </cfRule>
  </conditionalFormatting>
  <pageMargins left="0.25" right="0.25" top="0.25" bottom="0.2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B1:L15"/>
  <sheetViews>
    <sheetView showGridLines="0" showRowColHeaders="0" zoomScale="110" zoomScaleNormal="110" workbookViewId="0">
      <selection activeCell="E5" sqref="E5"/>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7" width="12.77734375" style="2" customWidth="1"/>
    <col min="8" max="8" width="49.77734375" style="2" customWidth="1"/>
    <col min="9" max="9" width="3" style="2" customWidth="1"/>
    <col min="10" max="10" width="1" style="2" customWidth="1"/>
    <col min="11" max="11" width="9.109375" style="2"/>
    <col min="12" max="12" width="0" style="2" hidden="1" customWidth="1"/>
    <col min="13" max="16384" width="9.109375" style="2"/>
  </cols>
  <sheetData>
    <row r="1" spans="2:12" ht="5.0999999999999996" customHeight="1" thickBot="1" x14ac:dyDescent="0.35"/>
    <row r="2" spans="2:12" ht="38.25" customHeight="1" thickBot="1" x14ac:dyDescent="0.35">
      <c r="B2" s="561" t="s">
        <v>203</v>
      </c>
      <c r="C2" s="561"/>
      <c r="D2" s="561"/>
      <c r="E2" s="561"/>
      <c r="F2" s="561"/>
      <c r="G2" s="561"/>
      <c r="H2" s="561"/>
      <c r="I2" s="561"/>
    </row>
    <row r="3" spans="2:12" ht="36" customHeight="1" x14ac:dyDescent="0.3">
      <c r="B3" s="456"/>
      <c r="C3" s="336"/>
      <c r="D3" s="336"/>
      <c r="E3" s="336"/>
      <c r="F3" s="336"/>
      <c r="G3" s="336"/>
      <c r="H3" s="336"/>
      <c r="I3" s="457"/>
    </row>
    <row r="4" spans="2:12" ht="11.25" customHeight="1" x14ac:dyDescent="0.3">
      <c r="B4" s="3"/>
      <c r="D4" s="339" t="str">
        <f>IF(L11&gt;0,"Incomplete - Explanation for difference must be provided.","")</f>
        <v/>
      </c>
      <c r="I4" s="4"/>
    </row>
    <row r="5" spans="2:12" x14ac:dyDescent="0.3">
      <c r="B5" s="3"/>
      <c r="D5" s="30" t="s">
        <v>204</v>
      </c>
      <c r="E5" s="32">
        <f>'Actual Expenses'!J91</f>
        <v>34882.789999999994</v>
      </c>
      <c r="G5" s="28"/>
      <c r="H5" s="28"/>
      <c r="I5" s="4"/>
    </row>
    <row r="6" spans="2:12" x14ac:dyDescent="0.3">
      <c r="B6" s="3"/>
      <c r="D6" s="30" t="s">
        <v>205</v>
      </c>
      <c r="E6" s="467">
        <v>97402.97</v>
      </c>
      <c r="F6" s="28"/>
      <c r="G6" s="28"/>
      <c r="H6" s="28"/>
      <c r="I6" s="4"/>
      <c r="L6" s="2">
        <f>IF(E7&lt;&gt;0,1,0)</f>
        <v>1</v>
      </c>
    </row>
    <row r="7" spans="2:12" x14ac:dyDescent="0.3">
      <c r="B7" s="3"/>
      <c r="D7" s="30" t="s">
        <v>160</v>
      </c>
      <c r="E7" s="253">
        <f>E5-E6</f>
        <v>-62520.180000000008</v>
      </c>
      <c r="F7" s="28"/>
      <c r="G7" s="28"/>
      <c r="H7" s="28"/>
      <c r="I7" s="4"/>
    </row>
    <row r="8" spans="2:12" x14ac:dyDescent="0.3">
      <c r="B8" s="3"/>
      <c r="D8" s="10"/>
      <c r="E8" s="28"/>
      <c r="F8" s="28"/>
      <c r="G8" s="28"/>
      <c r="H8" s="28"/>
      <c r="I8" s="4"/>
    </row>
    <row r="9" spans="2:12" x14ac:dyDescent="0.3">
      <c r="B9" s="3"/>
      <c r="D9" s="10" t="s">
        <v>206</v>
      </c>
      <c r="I9" s="4"/>
    </row>
    <row r="10" spans="2:12" x14ac:dyDescent="0.3">
      <c r="B10" s="3"/>
      <c r="D10" s="594" t="s">
        <v>684</v>
      </c>
      <c r="E10" s="595"/>
      <c r="F10" s="595"/>
      <c r="G10" s="595"/>
      <c r="H10" s="596"/>
      <c r="I10" s="4"/>
    </row>
    <row r="11" spans="2:12" x14ac:dyDescent="0.3">
      <c r="B11" s="3"/>
      <c r="D11" s="597"/>
      <c r="E11" s="598"/>
      <c r="F11" s="598"/>
      <c r="G11" s="598"/>
      <c r="H11" s="599"/>
      <c r="I11" s="4"/>
      <c r="L11" s="2">
        <f>IF(L6=1,IF(ISBLANK(D10),1,0),0)</f>
        <v>0</v>
      </c>
    </row>
    <row r="12" spans="2:12" x14ac:dyDescent="0.3">
      <c r="B12" s="3"/>
      <c r="D12" s="597"/>
      <c r="E12" s="598"/>
      <c r="F12" s="598"/>
      <c r="G12" s="598"/>
      <c r="H12" s="599"/>
      <c r="I12" s="4"/>
    </row>
    <row r="13" spans="2:12" x14ac:dyDescent="0.3">
      <c r="B13" s="3"/>
      <c r="D13" s="597"/>
      <c r="E13" s="598"/>
      <c r="F13" s="598"/>
      <c r="G13" s="598"/>
      <c r="H13" s="599"/>
      <c r="I13" s="4"/>
    </row>
    <row r="14" spans="2:12" x14ac:dyDescent="0.3">
      <c r="B14" s="3"/>
      <c r="D14" s="600"/>
      <c r="E14" s="601"/>
      <c r="F14" s="601"/>
      <c r="G14" s="601"/>
      <c r="H14" s="602"/>
      <c r="I14" s="4"/>
    </row>
    <row r="15" spans="2:12" x14ac:dyDescent="0.3">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W29"/>
  <sheetViews>
    <sheetView showGridLines="0" workbookViewId="0">
      <selection activeCell="Q3" sqref="Q3:U12"/>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8" width="17.21875" style="2" customWidth="1"/>
    <col min="9" max="9" width="7.77734375" style="2" customWidth="1"/>
    <col min="10" max="10" width="7.21875" style="2" customWidth="1"/>
    <col min="11" max="11" width="6.88671875" style="2" customWidth="1"/>
    <col min="12" max="12" width="1" style="2" customWidth="1"/>
    <col min="13" max="13" width="0" style="2" hidden="1" customWidth="1"/>
    <col min="14" max="14" width="9.109375" style="2" hidden="1" customWidth="1"/>
    <col min="15" max="15" width="0" style="2" hidden="1" customWidth="1"/>
    <col min="16" max="16384" width="9.109375" style="2"/>
  </cols>
  <sheetData>
    <row r="1" spans="2:23" ht="5.0999999999999996" customHeight="1" thickBot="1" x14ac:dyDescent="0.35"/>
    <row r="2" spans="2:23" ht="38.25" customHeight="1" thickBot="1" x14ac:dyDescent="0.35">
      <c r="B2" s="561" t="s">
        <v>207</v>
      </c>
      <c r="C2" s="561"/>
      <c r="D2" s="561"/>
      <c r="E2" s="561"/>
      <c r="F2" s="561"/>
      <c r="G2" s="561"/>
      <c r="H2" s="561"/>
      <c r="I2" s="561"/>
      <c r="J2" s="561"/>
      <c r="K2" s="561"/>
    </row>
    <row r="3" spans="2:23" x14ac:dyDescent="0.3">
      <c r="B3" s="456"/>
      <c r="C3" s="336"/>
      <c r="D3" s="339" t="str">
        <f>IF(N26&gt;0,"Incomplete - All 'yellow' shaded cells must be completed.","")</f>
        <v/>
      </c>
      <c r="E3" s="336"/>
      <c r="F3" s="336"/>
      <c r="G3" s="336"/>
      <c r="H3" s="336"/>
      <c r="I3" s="336"/>
      <c r="J3" s="336"/>
      <c r="K3" s="457"/>
      <c r="Q3" s="708"/>
      <c r="R3" s="708"/>
      <c r="S3" s="708"/>
      <c r="T3" s="708"/>
      <c r="U3" s="708"/>
    </row>
    <row r="4" spans="2:23" x14ac:dyDescent="0.3">
      <c r="B4" s="3"/>
      <c r="E4" s="28" t="s">
        <v>208</v>
      </c>
      <c r="F4" s="28" t="s">
        <v>209</v>
      </c>
      <c r="G4" s="28" t="s">
        <v>210</v>
      </c>
      <c r="H4" s="28" t="s">
        <v>211</v>
      </c>
      <c r="K4" s="4"/>
      <c r="P4"/>
      <c r="Q4" s="709"/>
      <c r="R4" s="709"/>
      <c r="S4" s="709"/>
      <c r="T4" s="709"/>
      <c r="U4" s="709"/>
      <c r="V4"/>
      <c r="W4"/>
    </row>
    <row r="5" spans="2:23" x14ac:dyDescent="0.3">
      <c r="B5" s="3"/>
      <c r="D5" s="10" t="s">
        <v>82</v>
      </c>
      <c r="E5" s="28" t="str">
        <f>"("&amp;Energy_1&amp;")"</f>
        <v>(kWh)</v>
      </c>
      <c r="F5" s="28" t="str">
        <f>E5</f>
        <v>(kWh)</v>
      </c>
      <c r="G5" s="28" t="str">
        <f>E5</f>
        <v>(kWh)</v>
      </c>
      <c r="H5" s="28" t="str">
        <f>E5</f>
        <v>(kWh)</v>
      </c>
      <c r="I5" s="28"/>
      <c r="J5" s="28"/>
      <c r="K5" s="4"/>
      <c r="P5"/>
      <c r="Q5" s="709"/>
      <c r="R5" s="709"/>
      <c r="S5" s="709"/>
      <c r="T5" s="709"/>
      <c r="U5" s="709"/>
      <c r="V5"/>
      <c r="W5"/>
    </row>
    <row r="6" spans="2:23" x14ac:dyDescent="0.3">
      <c r="B6" s="259"/>
      <c r="C6" s="267">
        <v>1</v>
      </c>
      <c r="D6" s="260" t="str">
        <f>'Program Descriptions'!D5</f>
        <v>Residential Products</v>
      </c>
      <c r="E6" s="270">
        <v>13464</v>
      </c>
      <c r="F6" s="270"/>
      <c r="G6" s="270"/>
      <c r="H6" s="17">
        <f>E6+F6+G6</f>
        <v>13464</v>
      </c>
      <c r="I6" s="65"/>
      <c r="J6" s="65"/>
      <c r="K6" s="64"/>
      <c r="N6" s="321"/>
      <c r="P6"/>
      <c r="Q6" s="709"/>
      <c r="R6" s="709"/>
      <c r="S6" s="709"/>
      <c r="T6" s="709"/>
      <c r="U6" s="709"/>
      <c r="V6"/>
      <c r="W6"/>
    </row>
    <row r="7" spans="2:23" x14ac:dyDescent="0.3">
      <c r="B7" s="259"/>
      <c r="C7" s="267">
        <v>2</v>
      </c>
      <c r="D7" s="260" t="str">
        <f>'Program Descriptions'!D6</f>
        <v>School-Based Energy Education</v>
      </c>
      <c r="E7" s="270">
        <v>47256</v>
      </c>
      <c r="F7" s="270"/>
      <c r="G7" s="270"/>
      <c r="H7" s="17">
        <f>E7+F7+G7</f>
        <v>47256</v>
      </c>
      <c r="I7" s="65"/>
      <c r="J7" s="65"/>
      <c r="K7" s="64"/>
      <c r="N7" s="321"/>
      <c r="P7"/>
      <c r="Q7" s="709"/>
      <c r="R7" s="709"/>
      <c r="S7" s="709"/>
      <c r="T7" s="709"/>
      <c r="U7" s="709"/>
      <c r="V7"/>
      <c r="W7"/>
    </row>
    <row r="8" spans="2:23" x14ac:dyDescent="0.3">
      <c r="B8" s="259"/>
      <c r="C8" s="267">
        <v>3</v>
      </c>
      <c r="D8" s="260" t="str">
        <f>'Program Descriptions'!D7</f>
        <v>Weatherization</v>
      </c>
      <c r="E8" s="270">
        <v>0</v>
      </c>
      <c r="F8" s="270"/>
      <c r="G8" s="270"/>
      <c r="H8" s="17">
        <f t="shared" ref="H8:H25" si="0">E8+F8+G8</f>
        <v>0</v>
      </c>
      <c r="I8" s="65"/>
      <c r="J8" s="65"/>
      <c r="K8" s="64"/>
      <c r="N8" s="321"/>
      <c r="P8"/>
      <c r="Q8" s="709"/>
      <c r="R8" s="709"/>
      <c r="S8" s="709"/>
      <c r="T8" s="709"/>
      <c r="U8" s="709"/>
      <c r="V8"/>
      <c r="W8"/>
    </row>
    <row r="9" spans="2:23" x14ac:dyDescent="0.3">
      <c r="B9" s="259"/>
      <c r="C9" s="267">
        <v>4</v>
      </c>
      <c r="D9" s="260" t="str">
        <f>'Program Descriptions'!D8</f>
        <v>Commercial and Industrial (Custom)</v>
      </c>
      <c r="E9" s="270">
        <f>'Evaluated Savings'!E9</f>
        <v>0</v>
      </c>
      <c r="F9" s="270"/>
      <c r="G9" s="270"/>
      <c r="H9" s="17">
        <f t="shared" si="0"/>
        <v>0</v>
      </c>
      <c r="I9" s="65"/>
      <c r="J9" s="65"/>
      <c r="K9" s="64"/>
      <c r="N9" s="321"/>
      <c r="P9"/>
      <c r="Q9" s="709"/>
      <c r="R9" s="709"/>
      <c r="S9" s="709"/>
      <c r="T9" s="709"/>
      <c r="U9" s="709"/>
      <c r="V9"/>
      <c r="W9"/>
    </row>
    <row r="10" spans="2:23" x14ac:dyDescent="0.3">
      <c r="B10" s="259"/>
      <c r="C10" s="267">
        <v>5</v>
      </c>
      <c r="D10" s="260" t="str">
        <f>'Program Descriptions'!D9</f>
        <v>Commercial and Industrial (Prescriptive)</v>
      </c>
      <c r="E10" s="270">
        <f>'Evaluated Savings'!E10</f>
        <v>0</v>
      </c>
      <c r="F10" s="270"/>
      <c r="G10" s="270"/>
      <c r="H10" s="17">
        <f t="shared" si="0"/>
        <v>0</v>
      </c>
      <c r="I10" s="65"/>
      <c r="J10" s="65"/>
      <c r="K10" s="64"/>
      <c r="N10" s="321"/>
      <c r="P10"/>
      <c r="Q10" s="709"/>
      <c r="R10" s="709"/>
      <c r="S10" s="709"/>
      <c r="T10" s="709"/>
      <c r="U10" s="709"/>
      <c r="V10"/>
      <c r="W10"/>
    </row>
    <row r="11" spans="2:23" x14ac:dyDescent="0.3">
      <c r="B11" s="259"/>
      <c r="C11" s="267">
        <v>6</v>
      </c>
      <c r="D11" s="260" t="str">
        <f>'Program Descriptions'!D10</f>
        <v>Online Energy Calculator</v>
      </c>
      <c r="E11" s="270">
        <f>'Evaluated Savings'!E11</f>
        <v>0</v>
      </c>
      <c r="F11" s="270"/>
      <c r="G11" s="270"/>
      <c r="H11" s="17">
        <f t="shared" si="0"/>
        <v>0</v>
      </c>
      <c r="I11" s="65"/>
      <c r="J11" s="65"/>
      <c r="K11" s="64"/>
      <c r="N11" s="321"/>
      <c r="P11"/>
      <c r="Q11" s="709"/>
      <c r="R11" s="709"/>
      <c r="S11" s="709"/>
      <c r="T11" s="709"/>
      <c r="U11" s="709"/>
      <c r="V11"/>
      <c r="W11"/>
    </row>
    <row r="12" spans="2:23" ht="14.4" thickBot="1" x14ac:dyDescent="0.35">
      <c r="B12" s="259"/>
      <c r="C12" s="267">
        <v>7</v>
      </c>
      <c r="D12" s="260" t="str">
        <f>'Program Descriptions'!C11</f>
        <v>Administration</v>
      </c>
      <c r="E12" s="270">
        <f>'Evaluated Savings'!E12</f>
        <v>0</v>
      </c>
      <c r="F12" s="270"/>
      <c r="G12" s="270"/>
      <c r="H12" s="17">
        <f t="shared" si="0"/>
        <v>0</v>
      </c>
      <c r="I12" s="65"/>
      <c r="J12" s="65"/>
      <c r="K12" s="64"/>
      <c r="N12" s="321"/>
      <c r="Q12" s="708"/>
      <c r="R12" s="708"/>
      <c r="S12" s="708"/>
      <c r="T12" s="708"/>
      <c r="U12" s="708"/>
    </row>
    <row r="13" spans="2:23" hidden="1" x14ac:dyDescent="0.3">
      <c r="B13" s="259"/>
      <c r="C13" s="267">
        <v>8</v>
      </c>
      <c r="D13" s="260" t="str">
        <f>'Program Descriptions'!C12</f>
        <v>Marketing</v>
      </c>
      <c r="E13" s="270"/>
      <c r="F13" s="270"/>
      <c r="G13" s="270"/>
      <c r="H13" s="17">
        <f t="shared" si="0"/>
        <v>0</v>
      </c>
      <c r="I13" s="65"/>
      <c r="J13" s="65"/>
      <c r="K13" s="64"/>
      <c r="N13" s="321"/>
    </row>
    <row r="14" spans="2:23" hidden="1" x14ac:dyDescent="0.3">
      <c r="B14" s="259"/>
      <c r="C14" s="267">
        <v>9</v>
      </c>
      <c r="D14" s="260" t="str">
        <f>'Program Descriptions'!C13</f>
        <v>EM&amp;V</v>
      </c>
      <c r="E14" s="270"/>
      <c r="F14" s="270"/>
      <c r="G14" s="270"/>
      <c r="H14" s="17">
        <f t="shared" si="0"/>
        <v>0</v>
      </c>
      <c r="I14" s="65"/>
      <c r="J14" s="65"/>
      <c r="K14" s="64"/>
      <c r="N14" s="321"/>
    </row>
    <row r="15" spans="2:23" hidden="1" x14ac:dyDescent="0.3">
      <c r="B15" s="259"/>
      <c r="C15" s="267">
        <v>10</v>
      </c>
      <c r="D15" s="260" t="str">
        <f>'Program Descriptions'!C14</f>
        <v>Empty</v>
      </c>
      <c r="E15" s="270"/>
      <c r="F15" s="270"/>
      <c r="G15" s="270"/>
      <c r="H15" s="17">
        <f t="shared" si="0"/>
        <v>0</v>
      </c>
      <c r="I15" s="65"/>
      <c r="J15" s="65"/>
      <c r="K15" s="64"/>
      <c r="N15" s="321"/>
    </row>
    <row r="16" spans="2:23" hidden="1" x14ac:dyDescent="0.3">
      <c r="B16" s="259"/>
      <c r="C16" s="267">
        <v>11</v>
      </c>
      <c r="D16" s="260" t="str">
        <f>'Program Descriptions'!C15</f>
        <v>Empty</v>
      </c>
      <c r="E16" s="270"/>
      <c r="F16" s="270"/>
      <c r="G16" s="270"/>
      <c r="H16" s="17">
        <f t="shared" si="0"/>
        <v>0</v>
      </c>
      <c r="I16" s="65"/>
      <c r="J16" s="65"/>
      <c r="K16" s="64"/>
      <c r="N16" s="321"/>
    </row>
    <row r="17" spans="2:14" hidden="1" x14ac:dyDescent="0.3">
      <c r="B17" s="259"/>
      <c r="C17" s="267">
        <v>12</v>
      </c>
      <c r="D17" s="260" t="str">
        <f>'Program Descriptions'!C16</f>
        <v>Empty</v>
      </c>
      <c r="E17" s="270"/>
      <c r="F17" s="270"/>
      <c r="G17" s="270"/>
      <c r="H17" s="17">
        <f t="shared" si="0"/>
        <v>0</v>
      </c>
      <c r="I17" s="65"/>
      <c r="J17" s="65"/>
      <c r="K17" s="64"/>
      <c r="N17" s="321"/>
    </row>
    <row r="18" spans="2:14" hidden="1" x14ac:dyDescent="0.3">
      <c r="B18" s="259"/>
      <c r="C18" s="267">
        <v>13</v>
      </c>
      <c r="D18" s="260" t="str">
        <f>'Program Descriptions'!C17</f>
        <v>Empty</v>
      </c>
      <c r="E18" s="270"/>
      <c r="F18" s="270"/>
      <c r="G18" s="270"/>
      <c r="H18" s="17">
        <f t="shared" si="0"/>
        <v>0</v>
      </c>
      <c r="I18" s="65"/>
      <c r="J18" s="65"/>
      <c r="K18" s="64"/>
      <c r="N18" s="321"/>
    </row>
    <row r="19" spans="2:14" hidden="1" x14ac:dyDescent="0.3">
      <c r="B19" s="259"/>
      <c r="C19" s="267">
        <v>14</v>
      </c>
      <c r="D19" s="260" t="str">
        <f>'Program Descriptions'!C18</f>
        <v>Empty</v>
      </c>
      <c r="E19" s="270"/>
      <c r="F19" s="270"/>
      <c r="G19" s="270"/>
      <c r="H19" s="17">
        <f t="shared" si="0"/>
        <v>0</v>
      </c>
      <c r="I19" s="65"/>
      <c r="J19" s="65"/>
      <c r="K19" s="64"/>
      <c r="N19" s="321"/>
    </row>
    <row r="20" spans="2:14" hidden="1" x14ac:dyDescent="0.3">
      <c r="B20" s="259"/>
      <c r="C20" s="267">
        <v>15</v>
      </c>
      <c r="D20" s="260" t="str">
        <f>'Program Descriptions'!C19</f>
        <v>Empty</v>
      </c>
      <c r="E20" s="270"/>
      <c r="F20" s="270"/>
      <c r="G20" s="270"/>
      <c r="H20" s="17">
        <f t="shared" si="0"/>
        <v>0</v>
      </c>
      <c r="I20" s="65"/>
      <c r="J20" s="65"/>
      <c r="K20" s="64"/>
      <c r="N20" s="321"/>
    </row>
    <row r="21" spans="2:14" hidden="1" x14ac:dyDescent="0.3">
      <c r="B21" s="259"/>
      <c r="C21" s="267">
        <v>16</v>
      </c>
      <c r="D21" s="260" t="str">
        <f>'Program Descriptions'!C20</f>
        <v>Empty</v>
      </c>
      <c r="E21" s="270"/>
      <c r="F21" s="270"/>
      <c r="G21" s="270"/>
      <c r="H21" s="17">
        <f t="shared" si="0"/>
        <v>0</v>
      </c>
      <c r="I21" s="65"/>
      <c r="J21" s="65"/>
      <c r="K21" s="64"/>
      <c r="N21" s="321"/>
    </row>
    <row r="22" spans="2:14" hidden="1" x14ac:dyDescent="0.3">
      <c r="B22" s="259"/>
      <c r="C22" s="267">
        <v>17</v>
      </c>
      <c r="D22" s="260" t="str">
        <f>'Program Descriptions'!C21</f>
        <v>Empty</v>
      </c>
      <c r="E22" s="270"/>
      <c r="F22" s="270"/>
      <c r="G22" s="270"/>
      <c r="H22" s="17">
        <f t="shared" si="0"/>
        <v>0</v>
      </c>
      <c r="I22" s="65"/>
      <c r="J22" s="65"/>
      <c r="K22" s="64"/>
      <c r="N22" s="321"/>
    </row>
    <row r="23" spans="2:14" hidden="1" x14ac:dyDescent="0.3">
      <c r="B23" s="259"/>
      <c r="C23" s="267">
        <v>18</v>
      </c>
      <c r="D23" s="260" t="str">
        <f>'Program Descriptions'!C22</f>
        <v>Empty</v>
      </c>
      <c r="E23" s="270"/>
      <c r="F23" s="270"/>
      <c r="G23" s="270"/>
      <c r="H23" s="17">
        <f t="shared" si="0"/>
        <v>0</v>
      </c>
      <c r="I23" s="65"/>
      <c r="J23" s="65"/>
      <c r="K23" s="64"/>
      <c r="N23" s="321"/>
    </row>
    <row r="24" spans="2:14" hidden="1" x14ac:dyDescent="0.3">
      <c r="B24" s="259"/>
      <c r="C24" s="267">
        <v>19</v>
      </c>
      <c r="D24" s="260" t="str">
        <f>'Program Descriptions'!C23</f>
        <v>Empty</v>
      </c>
      <c r="E24" s="270"/>
      <c r="F24" s="270"/>
      <c r="G24" s="270"/>
      <c r="H24" s="17">
        <f t="shared" si="0"/>
        <v>0</v>
      </c>
      <c r="I24" s="65"/>
      <c r="J24" s="65"/>
      <c r="K24" s="64"/>
      <c r="N24" s="321"/>
    </row>
    <row r="25" spans="2:14" ht="14.4" hidden="1" thickBot="1" x14ac:dyDescent="0.35">
      <c r="B25" s="259"/>
      <c r="C25" s="267">
        <v>20</v>
      </c>
      <c r="D25" s="260" t="str">
        <f>'Program Descriptions'!C24</f>
        <v>Empty</v>
      </c>
      <c r="E25" s="270"/>
      <c r="F25" s="270"/>
      <c r="G25" s="270"/>
      <c r="H25" s="17">
        <f t="shared" si="0"/>
        <v>0</v>
      </c>
      <c r="I25" s="65"/>
      <c r="J25" s="65"/>
      <c r="K25" s="64"/>
      <c r="N25" s="321"/>
    </row>
    <row r="26" spans="2:14" x14ac:dyDescent="0.3">
      <c r="B26" s="3"/>
      <c r="C26" s="29"/>
      <c r="D26" s="30" t="s">
        <v>163</v>
      </c>
      <c r="E26" s="15">
        <f>SUM(E6:E25)</f>
        <v>60720</v>
      </c>
      <c r="F26" s="15">
        <f>SUM(F6:F25)</f>
        <v>0</v>
      </c>
      <c r="G26" s="15">
        <f>SUM(G6:G25)</f>
        <v>0</v>
      </c>
      <c r="H26" s="15">
        <f>SUM(H6:H25)</f>
        <v>60720</v>
      </c>
      <c r="I26" s="32"/>
      <c r="J26" s="32"/>
      <c r="K26" s="4"/>
      <c r="N26" s="2">
        <f>SUM(N6:N25)</f>
        <v>0</v>
      </c>
    </row>
    <row r="27" spans="2:14" x14ac:dyDescent="0.3">
      <c r="B27" s="3"/>
      <c r="K27" s="4"/>
    </row>
    <row r="28" spans="2:14" x14ac:dyDescent="0.3">
      <c r="B28" s="3"/>
      <c r="K28" s="4"/>
    </row>
    <row r="29" spans="2:14" x14ac:dyDescent="0.3">
      <c r="B29" s="5"/>
      <c r="C29" s="6"/>
      <c r="D29" s="6"/>
      <c r="E29" s="6"/>
      <c r="F29" s="6"/>
      <c r="G29" s="6"/>
      <c r="H29" s="6"/>
      <c r="I29" s="6"/>
      <c r="J29" s="6"/>
      <c r="K29" s="7"/>
    </row>
  </sheetData>
  <sheetProtection formatColumns="0"/>
  <mergeCells count="1">
    <mergeCell ref="B2:K2"/>
  </mergeCells>
  <conditionalFormatting sqref="E6:G25">
    <cfRule type="expression" dxfId="28" priority="1">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X115"/>
  <sheetViews>
    <sheetView showGridLines="0" zoomScale="110" zoomScaleNormal="110" workbookViewId="0">
      <pane ySplit="6" topLeftCell="A7" activePane="bottomLeft" state="frozen"/>
      <selection activeCell="P31" sqref="P31"/>
      <selection pane="bottomLeft" activeCell="F26" sqref="F26"/>
    </sheetView>
  </sheetViews>
  <sheetFormatPr defaultColWidth="9.109375" defaultRowHeight="13.8" x14ac:dyDescent="0.3"/>
  <cols>
    <col min="1" max="1" width="1" style="2" customWidth="1"/>
    <col min="2" max="2" width="3.77734375" style="2" customWidth="1"/>
    <col min="3" max="3" width="35.88671875" style="2" customWidth="1"/>
    <col min="4" max="4" width="12.109375" style="2" customWidth="1"/>
    <col min="5" max="5" width="9.109375" style="2"/>
    <col min="6" max="6" width="12.88671875" style="2" customWidth="1"/>
    <col min="7" max="9" width="11.109375" style="2" customWidth="1"/>
    <col min="10" max="10" width="9" style="2" customWidth="1"/>
    <col min="11" max="11" width="9" style="2" hidden="1" customWidth="1"/>
    <col min="12" max="12" width="13.77734375" style="2" customWidth="1"/>
    <col min="13" max="13" width="3.21875" style="2" customWidth="1"/>
    <col min="14" max="14" width="1" style="2" customWidth="1"/>
    <col min="15" max="15" width="9.109375" style="2"/>
    <col min="16" max="16" width="0" style="2" hidden="1" customWidth="1"/>
    <col min="17" max="16384" width="9.109375" style="2"/>
  </cols>
  <sheetData>
    <row r="1" spans="2:24" ht="28.5" customHeight="1" x14ac:dyDescent="0.3"/>
    <row r="2" spans="2:24" ht="64.5" customHeight="1" x14ac:dyDescent="0.3">
      <c r="B2" s="453"/>
      <c r="C2" s="454"/>
      <c r="D2" s="454"/>
      <c r="E2" s="454"/>
      <c r="F2" s="454"/>
      <c r="G2" s="454"/>
      <c r="H2" s="454"/>
      <c r="I2" s="454"/>
      <c r="J2" s="454"/>
      <c r="K2" s="454"/>
      <c r="L2" s="454"/>
      <c r="M2" s="455"/>
    </row>
    <row r="3" spans="2:24" ht="15" customHeight="1" thickBot="1" x14ac:dyDescent="0.35">
      <c r="B3" s="456"/>
      <c r="C3" s="339" t="str">
        <f>IF(P27&gt;0,"Incomplete - All 'yellow' shaded cells must be completed.","")</f>
        <v/>
      </c>
      <c r="D3" s="336"/>
      <c r="E3" s="336"/>
      <c r="F3" s="336"/>
      <c r="G3" s="336"/>
      <c r="H3" s="336"/>
      <c r="I3" s="336"/>
      <c r="J3" s="336"/>
      <c r="K3" s="336"/>
      <c r="L3" s="336"/>
      <c r="M3" s="457"/>
    </row>
    <row r="4" spans="2:24" ht="21" customHeight="1" x14ac:dyDescent="0.3">
      <c r="B4" s="3"/>
      <c r="D4" s="603" t="s">
        <v>212</v>
      </c>
      <c r="E4" s="604"/>
      <c r="F4" s="605"/>
      <c r="G4" s="603" t="s">
        <v>213</v>
      </c>
      <c r="H4" s="604"/>
      <c r="I4" s="604"/>
      <c r="J4" s="604"/>
      <c r="K4" s="604"/>
      <c r="L4" s="605"/>
      <c r="M4" s="4"/>
      <c r="O4" s="708"/>
      <c r="P4" s="708"/>
      <c r="Q4" s="708"/>
      <c r="R4" s="708"/>
      <c r="S4" s="708"/>
      <c r="T4" s="708"/>
    </row>
    <row r="5" spans="2:24" ht="30.75" customHeight="1" x14ac:dyDescent="0.3">
      <c r="B5" s="3"/>
      <c r="D5" s="103" t="s">
        <v>214</v>
      </c>
      <c r="E5" s="471" t="s">
        <v>215</v>
      </c>
      <c r="F5" s="104" t="s">
        <v>216</v>
      </c>
      <c r="G5" s="103" t="s">
        <v>217</v>
      </c>
      <c r="H5" s="471" t="s">
        <v>218</v>
      </c>
      <c r="I5" s="471" t="s">
        <v>219</v>
      </c>
      <c r="J5" s="472" t="s">
        <v>220</v>
      </c>
      <c r="K5" s="606" t="s">
        <v>221</v>
      </c>
      <c r="L5" s="104" t="s">
        <v>222</v>
      </c>
      <c r="M5" s="4"/>
      <c r="O5" s="708"/>
      <c r="P5" s="708"/>
      <c r="Q5" s="708"/>
      <c r="R5" s="708"/>
      <c r="S5" s="708"/>
      <c r="T5" s="708"/>
    </row>
    <row r="6" spans="2:24" ht="15" customHeight="1" x14ac:dyDescent="0.3">
      <c r="B6" s="3"/>
      <c r="C6" s="9" t="s">
        <v>82</v>
      </c>
      <c r="D6" s="105" t="str">
        <f>"("&amp;Titles!F13&amp;")"</f>
        <v>(kWh)</v>
      </c>
      <c r="E6" s="66" t="s">
        <v>223</v>
      </c>
      <c r="F6" s="106" t="str">
        <f>"("&amp;Titles!F14&amp;")"</f>
        <v>(MWh)</v>
      </c>
      <c r="G6" s="105" t="s">
        <v>224</v>
      </c>
      <c r="H6" s="66" t="s">
        <v>224</v>
      </c>
      <c r="I6" s="66" t="s">
        <v>224</v>
      </c>
      <c r="J6" s="66" t="s">
        <v>223</v>
      </c>
      <c r="K6" s="607"/>
      <c r="L6" s="106" t="str">
        <f>"($/"&amp;Titles!F13&amp;")"</f>
        <v>($/kWh)</v>
      </c>
      <c r="M6" s="4"/>
      <c r="O6" s="708"/>
      <c r="P6" s="708"/>
      <c r="Q6" s="708"/>
      <c r="R6" s="708"/>
      <c r="S6" s="708"/>
      <c r="T6" s="708"/>
    </row>
    <row r="7" spans="2:24" ht="15" customHeight="1" x14ac:dyDescent="0.3">
      <c r="B7" s="259">
        <v>1</v>
      </c>
      <c r="C7" s="260" t="str">
        <f>'Evaluated Savings'!C6</f>
        <v>Residential Products</v>
      </c>
      <c r="D7" s="107">
        <f>'Evaluated Savings'!E6</f>
        <v>13464</v>
      </c>
      <c r="E7" s="712">
        <v>0.80100000000000005</v>
      </c>
      <c r="F7" s="108">
        <v>135</v>
      </c>
      <c r="G7" s="473">
        <v>0.75</v>
      </c>
      <c r="H7" s="361">
        <v>1.4</v>
      </c>
      <c r="I7" s="67">
        <f>H7-G7</f>
        <v>0.64999999999999991</v>
      </c>
      <c r="J7" s="112">
        <f>IF(ISERROR(H7/G7),"n/a",H7/G7)</f>
        <v>1.8666666666666665</v>
      </c>
      <c r="K7" s="244">
        <f>IF($F$6="(MWh)",F7*1000/D7,F7/D7)</f>
        <v>10.026737967914439</v>
      </c>
      <c r="L7" s="150">
        <f t="shared" ref="L7:L27" si="0">IF(ISERROR(G7*1000*((Discount_Rate*(1+Discount_Rate)^(K7))/(((1+Discount_Rate)^(K7))-1))/D7),"n/a",G7*1000*((Discount_Rate*(1+Discount_Rate)^(K7))/(((1+Discount_Rate)^(K7))-1))/D7)</f>
        <v>7.6254234911556588E-3</v>
      </c>
      <c r="M7" s="4"/>
      <c r="O7" s="709"/>
      <c r="P7" s="709"/>
      <c r="Q7" s="709"/>
      <c r="R7" s="709"/>
      <c r="S7" s="709"/>
      <c r="T7" s="709"/>
      <c r="U7"/>
      <c r="V7"/>
      <c r="W7"/>
      <c r="X7"/>
    </row>
    <row r="8" spans="2:24" ht="15" customHeight="1" x14ac:dyDescent="0.3">
      <c r="B8" s="259">
        <v>2</v>
      </c>
      <c r="C8" s="260" t="str">
        <f>'Evaluated Savings'!C7</f>
        <v>School-Based Energy Education</v>
      </c>
      <c r="D8" s="107">
        <f>'Evaluated Savings'!E7</f>
        <v>47256</v>
      </c>
      <c r="E8" s="712">
        <v>100</v>
      </c>
      <c r="F8" s="108">
        <v>473</v>
      </c>
      <c r="G8" s="361">
        <v>2.2999999999999998</v>
      </c>
      <c r="H8" s="473">
        <v>92.7</v>
      </c>
      <c r="I8" s="67">
        <f>H8-G8</f>
        <v>90.4</v>
      </c>
      <c r="J8" s="112">
        <f>IF(ISERROR(H8/G8),"n/a",H8/G8)</f>
        <v>40.304347826086961</v>
      </c>
      <c r="K8" s="244">
        <f>IF($F$6="(MWh)",F8*1000/D8,F8/D8)</f>
        <v>10.009310986964618</v>
      </c>
      <c r="L8" s="150">
        <f t="shared" si="0"/>
        <v>6.671112407893507E-3</v>
      </c>
      <c r="M8" s="4"/>
      <c r="O8" s="709"/>
      <c r="P8" s="709"/>
      <c r="Q8" s="709"/>
      <c r="R8" s="709"/>
      <c r="S8" s="709"/>
      <c r="T8" s="709"/>
      <c r="U8"/>
      <c r="V8"/>
      <c r="W8"/>
      <c r="X8"/>
    </row>
    <row r="9" spans="2:24" ht="15" customHeight="1" x14ac:dyDescent="0.3">
      <c r="B9" s="259">
        <v>3</v>
      </c>
      <c r="C9" s="260" t="str">
        <f>'Evaluated Savings'!C8</f>
        <v>Weatherization</v>
      </c>
      <c r="D9" s="107">
        <f>'Evaluated Savings'!E8</f>
        <v>0</v>
      </c>
      <c r="E9" s="251">
        <v>0</v>
      </c>
      <c r="F9" s="108">
        <v>0</v>
      </c>
      <c r="G9" s="361">
        <v>0</v>
      </c>
      <c r="H9" s="473">
        <v>0</v>
      </c>
      <c r="I9" s="67">
        <f>H9-G9</f>
        <v>0</v>
      </c>
      <c r="J9" s="112" t="str">
        <f t="shared" ref="J9:J27" si="1">IF(ISERROR(H9/G9),"n/a",H9/G9)</f>
        <v>n/a</v>
      </c>
      <c r="K9" s="244" t="e">
        <f>IF($F$6="(MWh)",F9*1000/D9,F9/D9)</f>
        <v>#DIV/0!</v>
      </c>
      <c r="L9" s="150" t="str">
        <f t="shared" si="0"/>
        <v>n/a</v>
      </c>
      <c r="M9" s="4"/>
      <c r="O9"/>
      <c r="P9"/>
      <c r="Q9"/>
      <c r="R9"/>
      <c r="S9"/>
      <c r="T9"/>
      <c r="U9"/>
      <c r="V9"/>
      <c r="W9"/>
      <c r="X9"/>
    </row>
    <row r="10" spans="2:24" ht="15" customHeight="1" x14ac:dyDescent="0.3">
      <c r="B10" s="259">
        <v>4</v>
      </c>
      <c r="C10" s="260" t="str">
        <f>'Evaluated Savings'!C9</f>
        <v>Commercial and Industrial (Custom)</v>
      </c>
      <c r="D10" s="107">
        <f>'Evaluated Savings'!E9</f>
        <v>0</v>
      </c>
      <c r="E10" s="251">
        <v>0</v>
      </c>
      <c r="F10" s="108">
        <v>0</v>
      </c>
      <c r="G10" s="361">
        <v>0</v>
      </c>
      <c r="H10" s="473">
        <v>0</v>
      </c>
      <c r="I10" s="67">
        <f>H10-G10</f>
        <v>0</v>
      </c>
      <c r="J10" s="112" t="str">
        <f t="shared" ref="J10:J26" si="2">IF(ISERROR(H10/G10),"n/a",H10/G10)</f>
        <v>n/a</v>
      </c>
      <c r="K10" s="244" t="e">
        <f t="shared" ref="K10:K26" si="3">IF($F$6="(MWh)",F10*1000/D10,F10/D10)</f>
        <v>#DIV/0!</v>
      </c>
      <c r="L10" s="150" t="str">
        <f t="shared" ref="L10:L26" si="4">IF(ISERROR(G10*1000*((Discount_Rate*(1+Discount_Rate)^(K10))/(((1+Discount_Rate)^(K10))-1))/D10),"n/a",G10*1000*((Discount_Rate*(1+Discount_Rate)^(K10))/(((1+Discount_Rate)^(K10))-1))/D10)</f>
        <v>n/a</v>
      </c>
      <c r="M10" s="4"/>
      <c r="O10"/>
      <c r="P10"/>
      <c r="Q10"/>
      <c r="R10"/>
      <c r="S10"/>
      <c r="T10"/>
      <c r="U10"/>
      <c r="V10"/>
      <c r="W10"/>
      <c r="X10"/>
    </row>
    <row r="11" spans="2:24" ht="15" customHeight="1" x14ac:dyDescent="0.3">
      <c r="B11" s="259">
        <v>5</v>
      </c>
      <c r="C11" s="260" t="str">
        <f>'Evaluated Savings'!C10</f>
        <v>Commercial and Industrial (Prescriptive)</v>
      </c>
      <c r="D11" s="107">
        <f>'Evaluated Savings'!E10</f>
        <v>0</v>
      </c>
      <c r="E11" s="251">
        <v>0</v>
      </c>
      <c r="F11" s="108">
        <v>0</v>
      </c>
      <c r="G11" s="361">
        <v>0</v>
      </c>
      <c r="H11" s="473">
        <v>0</v>
      </c>
      <c r="I11" s="67">
        <f>H11-G11</f>
        <v>0</v>
      </c>
      <c r="J11" s="112" t="str">
        <f t="shared" si="2"/>
        <v>n/a</v>
      </c>
      <c r="K11" s="244" t="e">
        <f t="shared" si="3"/>
        <v>#DIV/0!</v>
      </c>
      <c r="L11" s="150" t="str">
        <f t="shared" si="4"/>
        <v>n/a</v>
      </c>
      <c r="M11" s="4"/>
      <c r="O11"/>
      <c r="P11"/>
      <c r="Q11"/>
      <c r="R11"/>
      <c r="S11"/>
      <c r="T11"/>
      <c r="U11"/>
      <c r="V11"/>
      <c r="W11"/>
      <c r="X11"/>
    </row>
    <row r="12" spans="2:24" ht="15" customHeight="1" x14ac:dyDescent="0.3">
      <c r="B12" s="259">
        <v>6</v>
      </c>
      <c r="C12" s="260" t="str">
        <f>'Evaluated Savings'!C11</f>
        <v>Online Energy Calculator</v>
      </c>
      <c r="D12" s="107">
        <f>'Evaluated Savings'!E11</f>
        <v>0</v>
      </c>
      <c r="E12" s="251">
        <v>0</v>
      </c>
      <c r="F12" s="108">
        <v>0</v>
      </c>
      <c r="G12" s="361">
        <v>0</v>
      </c>
      <c r="H12" s="473">
        <v>0</v>
      </c>
      <c r="I12" s="67">
        <f t="shared" ref="I12:I20" si="5">H12-G12</f>
        <v>0</v>
      </c>
      <c r="J12" s="112" t="str">
        <f t="shared" si="2"/>
        <v>n/a</v>
      </c>
      <c r="K12" s="244" t="e">
        <f t="shared" si="3"/>
        <v>#DIV/0!</v>
      </c>
      <c r="L12" s="150" t="str">
        <f t="shared" si="4"/>
        <v>n/a</v>
      </c>
      <c r="M12" s="4"/>
      <c r="O12"/>
      <c r="P12"/>
      <c r="Q12"/>
      <c r="R12"/>
      <c r="S12"/>
      <c r="T12"/>
      <c r="U12"/>
      <c r="V12"/>
      <c r="W12"/>
      <c r="X12"/>
    </row>
    <row r="13" spans="2:24" ht="15" customHeight="1" x14ac:dyDescent="0.3">
      <c r="B13" s="259">
        <v>7</v>
      </c>
      <c r="C13" s="260" t="str">
        <f>'Evaluated Savings'!C12</f>
        <v>Administration</v>
      </c>
      <c r="D13" s="107">
        <f>'Evaluated Savings'!E12</f>
        <v>0</v>
      </c>
      <c r="E13" s="251">
        <v>0</v>
      </c>
      <c r="F13" s="108">
        <v>0</v>
      </c>
      <c r="G13" s="250">
        <v>0</v>
      </c>
      <c r="H13" s="460">
        <v>0</v>
      </c>
      <c r="I13" s="67">
        <f t="shared" si="5"/>
        <v>0</v>
      </c>
      <c r="J13" s="112" t="str">
        <f t="shared" si="2"/>
        <v>n/a</v>
      </c>
      <c r="K13" s="244" t="e">
        <f t="shared" si="3"/>
        <v>#DIV/0!</v>
      </c>
      <c r="L13" s="150" t="str">
        <f t="shared" si="4"/>
        <v>n/a</v>
      </c>
      <c r="M13" s="4"/>
      <c r="O13"/>
      <c r="P13"/>
      <c r="Q13"/>
      <c r="R13"/>
      <c r="S13"/>
      <c r="T13"/>
      <c r="U13"/>
      <c r="V13"/>
      <c r="W13"/>
      <c r="X13"/>
    </row>
    <row r="14" spans="2:24" ht="15" customHeight="1" x14ac:dyDescent="0.3">
      <c r="B14" s="259">
        <v>8</v>
      </c>
      <c r="C14" s="260" t="str">
        <f>'Evaluated Savings'!C13</f>
        <v>Marketing</v>
      </c>
      <c r="D14" s="107">
        <f>'Evaluated Savings'!E13</f>
        <v>0</v>
      </c>
      <c r="E14" s="251">
        <v>0</v>
      </c>
      <c r="F14" s="108">
        <v>0</v>
      </c>
      <c r="G14" s="250">
        <v>0</v>
      </c>
      <c r="H14" s="460">
        <v>0</v>
      </c>
      <c r="I14" s="67">
        <f t="shared" si="5"/>
        <v>0</v>
      </c>
      <c r="J14" s="112" t="str">
        <f t="shared" si="2"/>
        <v>n/a</v>
      </c>
      <c r="K14" s="244" t="e">
        <f t="shared" si="3"/>
        <v>#DIV/0!</v>
      </c>
      <c r="L14" s="150" t="str">
        <f t="shared" si="4"/>
        <v>n/a</v>
      </c>
      <c r="M14" s="4"/>
      <c r="O14"/>
      <c r="P14"/>
      <c r="Q14"/>
      <c r="R14"/>
      <c r="S14"/>
      <c r="T14"/>
      <c r="U14"/>
      <c r="V14"/>
      <c r="W14"/>
      <c r="X14"/>
    </row>
    <row r="15" spans="2:24" ht="15" customHeight="1" x14ac:dyDescent="0.3">
      <c r="B15" s="259">
        <v>9</v>
      </c>
      <c r="C15" s="260" t="str">
        <f>'Program Descriptions'!C13</f>
        <v>EM&amp;V</v>
      </c>
      <c r="D15" s="107">
        <f>'Evaluated Savings'!E14</f>
        <v>0</v>
      </c>
      <c r="E15" s="251">
        <v>0</v>
      </c>
      <c r="F15" s="108">
        <v>0</v>
      </c>
      <c r="G15" s="250">
        <f>('Actual Expenses'!I37)/1000</f>
        <v>2.6875</v>
      </c>
      <c r="H15" s="460">
        <v>0</v>
      </c>
      <c r="I15" s="67">
        <f t="shared" si="5"/>
        <v>-2.6875</v>
      </c>
      <c r="J15" s="112">
        <f t="shared" si="2"/>
        <v>0</v>
      </c>
      <c r="K15" s="244" t="e">
        <f t="shared" si="3"/>
        <v>#DIV/0!</v>
      </c>
      <c r="L15" s="150" t="str">
        <f t="shared" si="4"/>
        <v>n/a</v>
      </c>
      <c r="M15" s="4"/>
      <c r="O15"/>
      <c r="P15"/>
      <c r="Q15"/>
      <c r="R15"/>
      <c r="S15"/>
      <c r="T15"/>
      <c r="U15"/>
      <c r="V15"/>
      <c r="W15"/>
      <c r="X15"/>
    </row>
    <row r="16" spans="2:24" ht="15" customHeight="1" x14ac:dyDescent="0.3">
      <c r="B16" s="259">
        <v>10</v>
      </c>
      <c r="C16" s="260" t="str">
        <f>'Program Descriptions'!C14</f>
        <v>Empty</v>
      </c>
      <c r="D16" s="107">
        <f>'Evaluated Savings'!E15</f>
        <v>0</v>
      </c>
      <c r="E16" s="251">
        <v>0</v>
      </c>
      <c r="F16" s="108">
        <v>0</v>
      </c>
      <c r="G16" s="250">
        <v>0</v>
      </c>
      <c r="H16" s="460">
        <v>0</v>
      </c>
      <c r="I16" s="67">
        <f t="shared" si="5"/>
        <v>0</v>
      </c>
      <c r="J16" s="112" t="str">
        <f t="shared" si="2"/>
        <v>n/a</v>
      </c>
      <c r="K16" s="244" t="e">
        <f t="shared" si="3"/>
        <v>#DIV/0!</v>
      </c>
      <c r="L16" s="150" t="str">
        <f t="shared" si="4"/>
        <v>n/a</v>
      </c>
      <c r="M16" s="4"/>
      <c r="O16"/>
      <c r="P16"/>
      <c r="Q16"/>
      <c r="R16"/>
      <c r="S16"/>
      <c r="T16"/>
      <c r="U16"/>
      <c r="V16"/>
      <c r="W16"/>
      <c r="X16"/>
    </row>
    <row r="17" spans="2:24" ht="15" customHeight="1" x14ac:dyDescent="0.3">
      <c r="B17" s="259">
        <v>11</v>
      </c>
      <c r="C17" s="260" t="str">
        <f>'Program Descriptions'!C15</f>
        <v>Empty</v>
      </c>
      <c r="D17" s="107">
        <f>'Evaluated Savings'!E16</f>
        <v>0</v>
      </c>
      <c r="E17" s="251"/>
      <c r="F17" s="108"/>
      <c r="G17" s="250"/>
      <c r="H17" s="460"/>
      <c r="I17" s="67">
        <f t="shared" si="5"/>
        <v>0</v>
      </c>
      <c r="J17" s="112" t="str">
        <f t="shared" si="2"/>
        <v>n/a</v>
      </c>
      <c r="K17" s="244" t="e">
        <f t="shared" si="3"/>
        <v>#DIV/0!</v>
      </c>
      <c r="L17" s="150" t="str">
        <f t="shared" si="4"/>
        <v>n/a</v>
      </c>
      <c r="M17" s="4"/>
      <c r="O17"/>
      <c r="P17"/>
      <c r="Q17"/>
      <c r="R17"/>
      <c r="S17"/>
      <c r="T17"/>
      <c r="U17"/>
      <c r="V17"/>
      <c r="W17"/>
      <c r="X17"/>
    </row>
    <row r="18" spans="2:24" ht="15" customHeight="1" x14ac:dyDescent="0.3">
      <c r="B18" s="259">
        <v>12</v>
      </c>
      <c r="C18" s="260" t="str">
        <f>'Program Descriptions'!C16</f>
        <v>Empty</v>
      </c>
      <c r="D18" s="107">
        <f>'Evaluated Savings'!E17</f>
        <v>0</v>
      </c>
      <c r="E18" s="251"/>
      <c r="F18" s="108"/>
      <c r="G18" s="250"/>
      <c r="H18" s="460"/>
      <c r="I18" s="67">
        <f t="shared" si="5"/>
        <v>0</v>
      </c>
      <c r="J18" s="112" t="str">
        <f t="shared" si="2"/>
        <v>n/a</v>
      </c>
      <c r="K18" s="244" t="e">
        <f t="shared" si="3"/>
        <v>#DIV/0!</v>
      </c>
      <c r="L18" s="150" t="str">
        <f t="shared" si="4"/>
        <v>n/a</v>
      </c>
      <c r="M18" s="4"/>
      <c r="O18"/>
      <c r="P18"/>
      <c r="Q18"/>
      <c r="R18"/>
      <c r="S18"/>
      <c r="T18"/>
      <c r="U18"/>
      <c r="V18"/>
      <c r="W18"/>
      <c r="X18"/>
    </row>
    <row r="19" spans="2:24" ht="15" customHeight="1" x14ac:dyDescent="0.3">
      <c r="B19" s="259">
        <v>13</v>
      </c>
      <c r="C19" s="260" t="str">
        <f>'Program Descriptions'!C17</f>
        <v>Empty</v>
      </c>
      <c r="D19" s="107">
        <f>'Evaluated Savings'!E18</f>
        <v>0</v>
      </c>
      <c r="E19" s="251"/>
      <c r="F19" s="108"/>
      <c r="G19" s="250"/>
      <c r="H19" s="460"/>
      <c r="I19" s="67">
        <f t="shared" si="5"/>
        <v>0</v>
      </c>
      <c r="J19" s="112" t="str">
        <f t="shared" si="2"/>
        <v>n/a</v>
      </c>
      <c r="K19" s="244" t="e">
        <f t="shared" si="3"/>
        <v>#DIV/0!</v>
      </c>
      <c r="L19" s="150" t="str">
        <f t="shared" si="4"/>
        <v>n/a</v>
      </c>
      <c r="M19" s="4"/>
      <c r="O19"/>
      <c r="P19"/>
      <c r="Q19"/>
      <c r="R19"/>
      <c r="S19"/>
      <c r="T19"/>
      <c r="U19"/>
      <c r="V19"/>
      <c r="W19"/>
      <c r="X19"/>
    </row>
    <row r="20" spans="2:24" ht="15" customHeight="1" x14ac:dyDescent="0.3">
      <c r="B20" s="259">
        <v>14</v>
      </c>
      <c r="C20" s="260" t="str">
        <f>'Program Descriptions'!C18</f>
        <v>Empty</v>
      </c>
      <c r="D20" s="107">
        <f>'Evaluated Savings'!E19</f>
        <v>0</v>
      </c>
      <c r="E20" s="251"/>
      <c r="F20" s="108"/>
      <c r="G20" s="250"/>
      <c r="H20" s="460"/>
      <c r="I20" s="67">
        <f t="shared" si="5"/>
        <v>0</v>
      </c>
      <c r="J20" s="112" t="str">
        <f t="shared" si="2"/>
        <v>n/a</v>
      </c>
      <c r="K20" s="244" t="e">
        <f t="shared" si="3"/>
        <v>#DIV/0!</v>
      </c>
      <c r="L20" s="150" t="str">
        <f t="shared" si="4"/>
        <v>n/a</v>
      </c>
      <c r="M20" s="4"/>
      <c r="O20"/>
      <c r="P20"/>
      <c r="Q20"/>
      <c r="R20"/>
      <c r="S20"/>
      <c r="T20"/>
      <c r="U20"/>
      <c r="V20"/>
      <c r="W20"/>
      <c r="X20"/>
    </row>
    <row r="21" spans="2:24" ht="15" customHeight="1" x14ac:dyDescent="0.3">
      <c r="B21" s="259">
        <v>15</v>
      </c>
      <c r="C21" s="260" t="str">
        <f>'Program Descriptions'!C19</f>
        <v>Empty</v>
      </c>
      <c r="D21" s="107">
        <f>'Evaluated Savings'!E20</f>
        <v>0</v>
      </c>
      <c r="E21" s="251"/>
      <c r="F21" s="108"/>
      <c r="G21" s="250"/>
      <c r="H21" s="460"/>
      <c r="I21" s="67">
        <f t="shared" ref="I21:I26" si="6">H21-G21</f>
        <v>0</v>
      </c>
      <c r="J21" s="112" t="str">
        <f t="shared" si="2"/>
        <v>n/a</v>
      </c>
      <c r="K21" s="244" t="e">
        <f t="shared" si="3"/>
        <v>#DIV/0!</v>
      </c>
      <c r="L21" s="150" t="str">
        <f t="shared" si="4"/>
        <v>n/a</v>
      </c>
      <c r="M21" s="4"/>
      <c r="O21"/>
      <c r="P21"/>
      <c r="Q21"/>
      <c r="R21"/>
      <c r="S21"/>
      <c r="T21"/>
      <c r="U21"/>
      <c r="V21"/>
      <c r="W21"/>
      <c r="X21"/>
    </row>
    <row r="22" spans="2:24" ht="15" customHeight="1" x14ac:dyDescent="0.3">
      <c r="B22" s="259">
        <v>16</v>
      </c>
      <c r="C22" s="260" t="str">
        <f>'Program Descriptions'!C20</f>
        <v>Empty</v>
      </c>
      <c r="D22" s="107">
        <f>'Evaluated Savings'!E21</f>
        <v>0</v>
      </c>
      <c r="E22" s="251"/>
      <c r="F22" s="108"/>
      <c r="G22" s="250"/>
      <c r="H22" s="460"/>
      <c r="I22" s="67">
        <f t="shared" si="6"/>
        <v>0</v>
      </c>
      <c r="J22" s="112" t="str">
        <f t="shared" si="2"/>
        <v>n/a</v>
      </c>
      <c r="K22" s="244" t="e">
        <f t="shared" si="3"/>
        <v>#DIV/0!</v>
      </c>
      <c r="L22" s="150" t="str">
        <f t="shared" si="4"/>
        <v>n/a</v>
      </c>
      <c r="M22" s="4"/>
      <c r="O22"/>
      <c r="P22"/>
      <c r="Q22"/>
      <c r="R22"/>
      <c r="S22"/>
      <c r="T22"/>
      <c r="U22"/>
      <c r="V22"/>
      <c r="W22"/>
      <c r="X22"/>
    </row>
    <row r="23" spans="2:24" ht="15" customHeight="1" x14ac:dyDescent="0.3">
      <c r="B23" s="259">
        <v>17</v>
      </c>
      <c r="C23" s="260" t="str">
        <f>'Program Descriptions'!C21</f>
        <v>Empty</v>
      </c>
      <c r="D23" s="107">
        <f>'Evaluated Savings'!E22</f>
        <v>0</v>
      </c>
      <c r="E23" s="251"/>
      <c r="F23" s="108"/>
      <c r="G23" s="55"/>
      <c r="H23" s="425"/>
      <c r="I23" s="67">
        <f t="shared" si="6"/>
        <v>0</v>
      </c>
      <c r="J23" s="112" t="str">
        <f t="shared" si="2"/>
        <v>n/a</v>
      </c>
      <c r="K23" s="244" t="e">
        <f t="shared" si="3"/>
        <v>#DIV/0!</v>
      </c>
      <c r="L23" s="150" t="str">
        <f t="shared" si="4"/>
        <v>n/a</v>
      </c>
      <c r="M23" s="4"/>
      <c r="O23"/>
      <c r="P23"/>
      <c r="Q23"/>
      <c r="R23"/>
      <c r="S23"/>
      <c r="T23"/>
      <c r="U23"/>
      <c r="V23"/>
      <c r="W23"/>
      <c r="X23"/>
    </row>
    <row r="24" spans="2:24" ht="15" customHeight="1" x14ac:dyDescent="0.3">
      <c r="B24" s="259">
        <v>18</v>
      </c>
      <c r="C24" s="260" t="str">
        <f>'Program Descriptions'!C22</f>
        <v>Empty</v>
      </c>
      <c r="D24" s="107">
        <f>'Evaluated Savings'!E23</f>
        <v>0</v>
      </c>
      <c r="E24" s="251"/>
      <c r="F24" s="108"/>
      <c r="G24" s="55"/>
      <c r="H24" s="425"/>
      <c r="I24" s="67">
        <f t="shared" si="6"/>
        <v>0</v>
      </c>
      <c r="J24" s="112" t="str">
        <f t="shared" si="2"/>
        <v>n/a</v>
      </c>
      <c r="K24" s="244" t="e">
        <f t="shared" si="3"/>
        <v>#DIV/0!</v>
      </c>
      <c r="L24" s="150" t="str">
        <f t="shared" si="4"/>
        <v>n/a</v>
      </c>
      <c r="M24" s="4"/>
      <c r="O24"/>
      <c r="P24"/>
      <c r="Q24"/>
      <c r="R24"/>
      <c r="S24"/>
      <c r="T24"/>
      <c r="U24"/>
      <c r="V24"/>
      <c r="W24"/>
      <c r="X24"/>
    </row>
    <row r="25" spans="2:24" ht="15" customHeight="1" x14ac:dyDescent="0.3">
      <c r="B25" s="259">
        <v>19</v>
      </c>
      <c r="C25" s="260" t="str">
        <f>'Program Descriptions'!C23</f>
        <v>Empty</v>
      </c>
      <c r="D25" s="107">
        <f>'Evaluated Savings'!E24</f>
        <v>0</v>
      </c>
      <c r="E25" s="251"/>
      <c r="F25" s="108"/>
      <c r="G25" s="55"/>
      <c r="H25" s="425"/>
      <c r="I25" s="67">
        <f t="shared" si="6"/>
        <v>0</v>
      </c>
      <c r="J25" s="112" t="str">
        <f t="shared" si="2"/>
        <v>n/a</v>
      </c>
      <c r="K25" s="244" t="e">
        <f t="shared" si="3"/>
        <v>#DIV/0!</v>
      </c>
      <c r="L25" s="150" t="str">
        <f t="shared" si="4"/>
        <v>n/a</v>
      </c>
      <c r="M25" s="4"/>
      <c r="P25" s="321">
        <f t="shared" ref="P25:P26" si="7">IF(C25="Empty",0,IF(OR(ISBLANK(E25),ISBLANK(F25),ISBLANK(G25),ISBLANK(H25)),1,0))</f>
        <v>0</v>
      </c>
    </row>
    <row r="26" spans="2:24" ht="15" customHeight="1" thickBot="1" x14ac:dyDescent="0.35">
      <c r="B26" s="259">
        <v>20</v>
      </c>
      <c r="C26" s="260" t="str">
        <f>'Program Descriptions'!C24</f>
        <v>Empty</v>
      </c>
      <c r="D26" s="109">
        <f>'Evaluated Savings'!E25</f>
        <v>0</v>
      </c>
      <c r="E26" s="110"/>
      <c r="F26" s="111"/>
      <c r="G26" s="56"/>
      <c r="H26" s="113"/>
      <c r="I26" s="114">
        <f t="shared" si="6"/>
        <v>0</v>
      </c>
      <c r="J26" s="112" t="str">
        <f t="shared" si="2"/>
        <v>n/a</v>
      </c>
      <c r="K26" s="244" t="e">
        <f t="shared" si="3"/>
        <v>#DIV/0!</v>
      </c>
      <c r="L26" s="150" t="str">
        <f t="shared" si="4"/>
        <v>n/a</v>
      </c>
      <c r="M26" s="4"/>
      <c r="P26" s="321">
        <f t="shared" si="7"/>
        <v>0</v>
      </c>
    </row>
    <row r="27" spans="2:24" ht="15" customHeight="1" thickBot="1" x14ac:dyDescent="0.35">
      <c r="B27" s="3"/>
      <c r="C27" s="263" t="s">
        <v>225</v>
      </c>
      <c r="D27" s="68">
        <f>SUM(D7:D26)</f>
        <v>60720</v>
      </c>
      <c r="E27" s="69"/>
      <c r="F27" s="68">
        <f>SUM(F7:F26)</f>
        <v>608</v>
      </c>
      <c r="G27" s="14">
        <f>SUM(G7:G26)</f>
        <v>5.7374999999999998</v>
      </c>
      <c r="H27" s="14">
        <f>SUM(H7:H26)</f>
        <v>94.100000000000009</v>
      </c>
      <c r="I27" s="14">
        <f>SUM(I7:I26)</f>
        <v>88.362500000000011</v>
      </c>
      <c r="J27" s="112">
        <f t="shared" si="1"/>
        <v>16.40087145969499</v>
      </c>
      <c r="K27" s="245">
        <f t="shared" ref="K27" si="8">IF($F$6="(MWh)",F27*1000/D27,F27/D27)</f>
        <v>10.013175230566535</v>
      </c>
      <c r="L27" s="246">
        <f t="shared" si="0"/>
        <v>1.2947804175348797E-2</v>
      </c>
      <c r="M27" s="4"/>
      <c r="P27" s="2">
        <f>SUM(P7:P26)</f>
        <v>0</v>
      </c>
    </row>
    <row r="28" spans="2:24" ht="15" customHeight="1" x14ac:dyDescent="0.3">
      <c r="B28" s="5"/>
      <c r="C28" s="248" t="str">
        <f>'Actual Expenses'!I87&amp;" Cost:"</f>
        <v>Regulatory Cost:</v>
      </c>
      <c r="D28" s="6"/>
      <c r="E28" s="6"/>
      <c r="F28" s="6"/>
      <c r="G28" s="249">
        <f>'Actual Expenses'!I88</f>
        <v>923.35</v>
      </c>
      <c r="H28" s="6"/>
      <c r="I28" s="6"/>
      <c r="J28" s="6"/>
      <c r="K28" s="6"/>
      <c r="L28" s="6"/>
      <c r="M28" s="7"/>
    </row>
    <row r="29" spans="2:24" ht="15" customHeight="1" x14ac:dyDescent="0.3">
      <c r="C29" s="2" t="s">
        <v>197</v>
      </c>
    </row>
    <row r="30" spans="2:24" ht="15" customHeight="1" x14ac:dyDescent="0.3">
      <c r="C30" s="2" t="s">
        <v>226</v>
      </c>
    </row>
    <row r="31" spans="2:24" ht="15" customHeight="1" x14ac:dyDescent="0.3">
      <c r="C31" s="247" t="s">
        <v>227</v>
      </c>
    </row>
    <row r="32" spans="2:2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Columns="0"/>
  <mergeCells count="3">
    <mergeCell ref="D4:F4"/>
    <mergeCell ref="K5:K6"/>
    <mergeCell ref="G4:L4"/>
  </mergeCells>
  <conditionalFormatting sqref="D8:D13 E10:I13 J10:L26 D14:I26 J27">
    <cfRule type="expression" dxfId="2" priority="4">
      <formula>$B8&gt;Programs</formula>
    </cfRule>
  </conditionalFormatting>
  <conditionalFormatting sqref="D7 F7:L7">
    <cfRule type="expression" dxfId="1" priority="2">
      <formula>$B7&gt;Programs</formula>
    </cfRule>
  </conditionalFormatting>
  <conditionalFormatting sqref="E9:L9 F8:L8 E7:E8">
    <cfRule type="expression" dxfId="0"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1:T47"/>
  <sheetViews>
    <sheetView showGridLines="0" showRowColHeaders="0" topLeftCell="B1" zoomScaleNormal="100" workbookViewId="0">
      <pane ySplit="3" topLeftCell="A4" activePane="bottomLeft" state="frozen"/>
      <selection activeCell="P31" sqref="P31"/>
      <selection pane="bottomLeft" activeCell="D15" sqref="D15:H15"/>
    </sheetView>
  </sheetViews>
  <sheetFormatPr defaultColWidth="9.109375" defaultRowHeight="13.8" x14ac:dyDescent="0.3"/>
  <cols>
    <col min="1" max="1" width="1" style="2" customWidth="1"/>
    <col min="2" max="2" width="4" style="2" customWidth="1"/>
    <col min="3" max="3" width="30.109375" style="2" bestFit="1" customWidth="1"/>
    <col min="4" max="8" width="13.77734375" style="2" customWidth="1"/>
    <col min="9" max="9" width="12" style="2" customWidth="1"/>
    <col min="10" max="10" width="17.109375" style="2" customWidth="1"/>
    <col min="11" max="11" width="41.44140625" style="2" customWidth="1"/>
    <col min="12" max="12" width="1" style="2" customWidth="1"/>
    <col min="13" max="16384" width="9.109375" style="2"/>
  </cols>
  <sheetData>
    <row r="1" spans="2:20" ht="5.0999999999999996" customHeight="1" thickBot="1" x14ac:dyDescent="0.35"/>
    <row r="2" spans="2:20" ht="38.25" customHeight="1" thickBot="1" x14ac:dyDescent="0.35">
      <c r="B2" s="608" t="s">
        <v>228</v>
      </c>
      <c r="C2" s="609"/>
      <c r="D2" s="609"/>
      <c r="E2" s="609"/>
      <c r="F2" s="609"/>
      <c r="G2" s="609"/>
      <c r="H2" s="609"/>
      <c r="I2" s="609"/>
      <c r="J2" s="609"/>
      <c r="K2" s="609"/>
      <c r="L2" s="610"/>
    </row>
    <row r="3" spans="2:20" ht="41.25" customHeight="1" x14ac:dyDescent="0.3">
      <c r="B3" s="3"/>
      <c r="L3" s="4"/>
    </row>
    <row r="4" spans="2:20" ht="15.6" x14ac:dyDescent="0.3">
      <c r="B4" s="19"/>
      <c r="C4" s="339" t="str">
        <f>IF(N6&gt;0,"Incomplete - The utility discount rate must be completed.","")</f>
        <v/>
      </c>
      <c r="D4" s="9"/>
      <c r="E4" s="9"/>
      <c r="F4" s="9"/>
      <c r="G4" s="9"/>
      <c r="H4" s="9"/>
      <c r="I4" s="9"/>
      <c r="J4" s="9"/>
      <c r="L4" s="4"/>
      <c r="M4"/>
      <c r="N4"/>
      <c r="O4"/>
      <c r="P4"/>
      <c r="Q4"/>
      <c r="R4"/>
      <c r="S4"/>
      <c r="T4"/>
    </row>
    <row r="5" spans="2:20" x14ac:dyDescent="0.3">
      <c r="B5" s="8"/>
      <c r="C5" s="340" t="s">
        <v>229</v>
      </c>
      <c r="D5" s="617" t="s">
        <v>6</v>
      </c>
      <c r="E5" s="617"/>
      <c r="F5" s="617"/>
      <c r="G5" s="617"/>
      <c r="H5" s="617"/>
      <c r="I5" s="618" t="s">
        <v>230</v>
      </c>
      <c r="J5" s="618"/>
      <c r="K5" s="618"/>
      <c r="L5" s="4"/>
      <c r="M5"/>
      <c r="N5"/>
      <c r="O5"/>
      <c r="P5"/>
      <c r="Q5"/>
      <c r="R5"/>
      <c r="S5"/>
      <c r="T5"/>
    </row>
    <row r="6" spans="2:20" x14ac:dyDescent="0.3">
      <c r="B6" s="259">
        <v>1</v>
      </c>
      <c r="C6" s="341" t="s">
        <v>231</v>
      </c>
      <c r="D6" s="619">
        <v>6.2E-2</v>
      </c>
      <c r="E6" s="620"/>
      <c r="F6" s="620"/>
      <c r="G6" s="620"/>
      <c r="H6" s="621"/>
      <c r="I6" s="614" t="s">
        <v>683</v>
      </c>
      <c r="J6" s="615"/>
      <c r="K6" s="616"/>
      <c r="L6" s="4"/>
      <c r="M6"/>
      <c r="N6"/>
      <c r="O6"/>
      <c r="P6"/>
      <c r="Q6"/>
      <c r="R6"/>
      <c r="S6"/>
      <c r="T6"/>
    </row>
    <row r="7" spans="2:20" ht="12.75" customHeight="1" x14ac:dyDescent="0.3">
      <c r="B7" s="259">
        <f>B6+1</f>
        <v>2</v>
      </c>
      <c r="C7" s="342" t="s">
        <v>232</v>
      </c>
      <c r="D7" s="619">
        <v>2.1000000000000001E-2</v>
      </c>
      <c r="E7" s="620"/>
      <c r="F7" s="620"/>
      <c r="G7" s="620"/>
      <c r="H7" s="621"/>
      <c r="I7" s="614" t="s">
        <v>683</v>
      </c>
      <c r="J7" s="615"/>
      <c r="K7" s="616"/>
      <c r="L7" s="4"/>
      <c r="M7"/>
      <c r="N7"/>
      <c r="O7"/>
      <c r="P7"/>
      <c r="Q7"/>
      <c r="R7"/>
      <c r="S7"/>
      <c r="T7"/>
    </row>
    <row r="8" spans="2:20" x14ac:dyDescent="0.3">
      <c r="B8" s="259">
        <f>B7+1</f>
        <v>3</v>
      </c>
      <c r="C8" s="343" t="s">
        <v>233</v>
      </c>
      <c r="D8" s="611">
        <v>3.3700000000000001E-2</v>
      </c>
      <c r="E8" s="612"/>
      <c r="F8" s="612"/>
      <c r="G8" s="612"/>
      <c r="H8" s="613"/>
      <c r="I8" s="614"/>
      <c r="J8" s="615"/>
      <c r="K8" s="616"/>
      <c r="L8" s="4"/>
      <c r="M8"/>
      <c r="N8"/>
      <c r="O8"/>
      <c r="P8"/>
      <c r="Q8"/>
      <c r="R8"/>
      <c r="S8"/>
      <c r="T8"/>
    </row>
    <row r="9" spans="2:20" x14ac:dyDescent="0.3">
      <c r="B9" s="3"/>
      <c r="C9" s="260"/>
      <c r="L9" s="4"/>
      <c r="M9"/>
      <c r="N9"/>
      <c r="O9"/>
      <c r="P9"/>
      <c r="Q9"/>
      <c r="R9"/>
      <c r="S9"/>
      <c r="T9"/>
    </row>
    <row r="10" spans="2:20" ht="15.6" x14ac:dyDescent="0.3">
      <c r="B10" s="363" t="s">
        <v>234</v>
      </c>
      <c r="C10" s="260"/>
      <c r="L10" s="4"/>
      <c r="M10"/>
      <c r="N10"/>
      <c r="O10"/>
      <c r="P10"/>
      <c r="Q10"/>
      <c r="R10"/>
      <c r="S10"/>
      <c r="T10"/>
    </row>
    <row r="11" spans="2:20" x14ac:dyDescent="0.3">
      <c r="B11" s="3"/>
      <c r="C11" s="340" t="s">
        <v>235</v>
      </c>
      <c r="D11" s="415" t="s">
        <v>236</v>
      </c>
      <c r="E11" s="415" t="s">
        <v>237</v>
      </c>
      <c r="F11" s="415" t="s">
        <v>238</v>
      </c>
      <c r="G11" s="415" t="s">
        <v>239</v>
      </c>
      <c r="H11" s="415" t="s">
        <v>240</v>
      </c>
      <c r="I11" s="618" t="s">
        <v>230</v>
      </c>
      <c r="J11" s="618"/>
      <c r="K11" s="618"/>
      <c r="L11" s="4"/>
      <c r="M11"/>
      <c r="N11"/>
      <c r="O11"/>
      <c r="P11"/>
      <c r="Q11"/>
      <c r="R11"/>
      <c r="S11"/>
      <c r="T11"/>
    </row>
    <row r="12" spans="2:20" x14ac:dyDescent="0.3">
      <c r="B12" s="259">
        <f>B8+1</f>
        <v>4</v>
      </c>
      <c r="C12" s="341" t="s">
        <v>241</v>
      </c>
      <c r="D12" s="346"/>
      <c r="E12" s="346"/>
      <c r="F12" s="346"/>
      <c r="G12" s="346"/>
      <c r="H12" s="346"/>
      <c r="I12" s="614"/>
      <c r="J12" s="615"/>
      <c r="K12" s="616"/>
      <c r="L12" s="4"/>
    </row>
    <row r="13" spans="2:20" x14ac:dyDescent="0.3">
      <c r="B13" s="259">
        <f>B12+1</f>
        <v>5</v>
      </c>
      <c r="C13" s="342" t="s">
        <v>242</v>
      </c>
      <c r="D13" s="344">
        <v>33.369999999999997</v>
      </c>
      <c r="E13" s="344"/>
      <c r="F13" s="344"/>
      <c r="G13" s="344"/>
      <c r="H13" s="344"/>
      <c r="I13" s="614" t="s">
        <v>683</v>
      </c>
      <c r="J13" s="615"/>
      <c r="K13" s="616"/>
      <c r="L13" s="4"/>
    </row>
    <row r="14" spans="2:20" x14ac:dyDescent="0.3">
      <c r="B14" s="259">
        <f t="shared" ref="B14:B21" si="0">B13+1</f>
        <v>6</v>
      </c>
      <c r="C14" s="342" t="s">
        <v>243</v>
      </c>
      <c r="D14" s="345">
        <v>33.369999999999997</v>
      </c>
      <c r="E14" s="345"/>
      <c r="F14" s="345"/>
      <c r="G14" s="345"/>
      <c r="H14" s="345"/>
      <c r="I14" s="614" t="s">
        <v>683</v>
      </c>
      <c r="J14" s="615"/>
      <c r="K14" s="616"/>
      <c r="L14" s="4"/>
    </row>
    <row r="15" spans="2:20" x14ac:dyDescent="0.3">
      <c r="B15" s="259">
        <f t="shared" si="0"/>
        <v>7</v>
      </c>
      <c r="C15" s="342" t="s">
        <v>244</v>
      </c>
      <c r="D15" s="622"/>
      <c r="E15" s="623"/>
      <c r="F15" s="623"/>
      <c r="G15" s="623"/>
      <c r="H15" s="624"/>
      <c r="I15" s="614"/>
      <c r="J15" s="615"/>
      <c r="K15" s="616"/>
      <c r="L15" s="4"/>
    </row>
    <row r="16" spans="2:20" x14ac:dyDescent="0.3">
      <c r="B16" s="259">
        <f t="shared" si="0"/>
        <v>8</v>
      </c>
      <c r="C16" s="342" t="s">
        <v>245</v>
      </c>
      <c r="D16" s="622"/>
      <c r="E16" s="623"/>
      <c r="F16" s="623"/>
      <c r="G16" s="623"/>
      <c r="H16" s="624"/>
      <c r="I16" s="614"/>
      <c r="J16" s="615"/>
      <c r="K16" s="616"/>
      <c r="L16" s="4"/>
    </row>
    <row r="17" spans="2:12" x14ac:dyDescent="0.3">
      <c r="B17" s="259">
        <f t="shared" si="0"/>
        <v>9</v>
      </c>
      <c r="C17" s="342" t="s">
        <v>246</v>
      </c>
      <c r="D17" s="622"/>
      <c r="E17" s="623"/>
      <c r="F17" s="623"/>
      <c r="G17" s="623"/>
      <c r="H17" s="624"/>
      <c r="I17" s="614"/>
      <c r="J17" s="615"/>
      <c r="K17" s="616"/>
      <c r="L17" s="4"/>
    </row>
    <row r="18" spans="2:12" x14ac:dyDescent="0.3">
      <c r="B18" s="259">
        <f t="shared" si="0"/>
        <v>10</v>
      </c>
      <c r="C18" s="413" t="s">
        <v>681</v>
      </c>
      <c r="D18" s="344">
        <v>6.4000000000000001E-2</v>
      </c>
      <c r="E18" s="345"/>
      <c r="F18" s="345"/>
      <c r="G18" s="345"/>
      <c r="H18" s="345"/>
      <c r="I18" s="625" t="s">
        <v>683</v>
      </c>
      <c r="J18" s="626"/>
      <c r="K18" s="627"/>
      <c r="L18" s="4"/>
    </row>
    <row r="19" spans="2:12" ht="13.05" customHeight="1" x14ac:dyDescent="0.3">
      <c r="B19" s="259">
        <f t="shared" si="0"/>
        <v>11</v>
      </c>
      <c r="C19" s="413" t="s">
        <v>682</v>
      </c>
      <c r="D19" s="344">
        <v>6.4000000000000001E-2</v>
      </c>
      <c r="E19" s="345"/>
      <c r="F19" s="345"/>
      <c r="G19" s="345"/>
      <c r="H19" s="345"/>
      <c r="I19" s="625" t="s">
        <v>683</v>
      </c>
      <c r="J19" s="626"/>
      <c r="K19" s="627"/>
      <c r="L19" s="4"/>
    </row>
    <row r="20" spans="2:12" x14ac:dyDescent="0.3">
      <c r="B20" s="259">
        <f t="shared" si="0"/>
        <v>12</v>
      </c>
      <c r="C20" s="413" t="s">
        <v>247</v>
      </c>
      <c r="D20" s="344"/>
      <c r="E20" s="345"/>
      <c r="F20" s="345"/>
      <c r="G20" s="345"/>
      <c r="H20" s="345"/>
      <c r="I20" s="625"/>
      <c r="J20" s="626"/>
      <c r="K20" s="627"/>
      <c r="L20" s="4"/>
    </row>
    <row r="21" spans="2:12" x14ac:dyDescent="0.3">
      <c r="B21" s="259">
        <f t="shared" si="0"/>
        <v>13</v>
      </c>
      <c r="C21" s="414" t="s">
        <v>247</v>
      </c>
      <c r="D21" s="344"/>
      <c r="E21" s="345"/>
      <c r="F21" s="345"/>
      <c r="G21" s="345"/>
      <c r="H21" s="345"/>
      <c r="I21" s="625"/>
      <c r="J21" s="626"/>
      <c r="K21" s="627"/>
      <c r="L21" s="4"/>
    </row>
    <row r="22" spans="2:12" x14ac:dyDescent="0.3">
      <c r="B22" s="259"/>
      <c r="C22" s="414" t="s">
        <v>247</v>
      </c>
      <c r="D22" s="344"/>
      <c r="E22" s="345"/>
      <c r="F22" s="345"/>
      <c r="G22" s="345"/>
      <c r="H22" s="345"/>
      <c r="I22" s="625"/>
      <c r="J22" s="626"/>
      <c r="K22" s="627"/>
      <c r="L22" s="4"/>
    </row>
    <row r="23" spans="2:12" x14ac:dyDescent="0.3">
      <c r="B23" s="3"/>
      <c r="C23" s="340" t="s">
        <v>248</v>
      </c>
      <c r="D23" s="350" t="s">
        <v>236</v>
      </c>
      <c r="E23" s="350" t="s">
        <v>237</v>
      </c>
      <c r="F23" s="350" t="s">
        <v>238</v>
      </c>
      <c r="G23" s="350" t="s">
        <v>239</v>
      </c>
      <c r="H23" s="350" t="s">
        <v>240</v>
      </c>
      <c r="I23" s="618" t="s">
        <v>230</v>
      </c>
      <c r="J23" s="618"/>
      <c r="K23" s="618"/>
      <c r="L23" s="4"/>
    </row>
    <row r="24" spans="2:12" x14ac:dyDescent="0.3">
      <c r="B24" s="259">
        <f>B21+1</f>
        <v>14</v>
      </c>
      <c r="C24" s="341" t="s">
        <v>249</v>
      </c>
      <c r="D24" s="344"/>
      <c r="E24" s="345"/>
      <c r="F24" s="345"/>
      <c r="G24" s="345"/>
      <c r="H24" s="345"/>
      <c r="I24" s="614"/>
      <c r="J24" s="615"/>
      <c r="K24" s="616"/>
      <c r="L24" s="4"/>
    </row>
    <row r="25" spans="2:12" x14ac:dyDescent="0.3">
      <c r="B25" s="259">
        <f>B24+1</f>
        <v>15</v>
      </c>
      <c r="C25" s="342" t="s">
        <v>250</v>
      </c>
      <c r="D25" s="622"/>
      <c r="E25" s="623"/>
      <c r="F25" s="623"/>
      <c r="G25" s="623"/>
      <c r="H25" s="624"/>
      <c r="I25" s="614"/>
      <c r="J25" s="615"/>
      <c r="K25" s="616"/>
      <c r="L25" s="4"/>
    </row>
    <row r="26" spans="2:12" ht="13.05" customHeight="1" x14ac:dyDescent="0.3">
      <c r="B26" s="259">
        <f t="shared" ref="B26:B34" si="1">B25+1</f>
        <v>16</v>
      </c>
      <c r="C26" s="342" t="s">
        <v>251</v>
      </c>
      <c r="D26" s="622">
        <v>37.479999999999997</v>
      </c>
      <c r="E26" s="623"/>
      <c r="F26" s="623"/>
      <c r="G26" s="623"/>
      <c r="H26" s="624"/>
      <c r="I26" s="625" t="s">
        <v>683</v>
      </c>
      <c r="J26" s="626"/>
      <c r="K26" s="627"/>
      <c r="L26" s="4"/>
    </row>
    <row r="27" spans="2:12" x14ac:dyDescent="0.3">
      <c r="B27" s="259">
        <f t="shared" si="1"/>
        <v>17</v>
      </c>
      <c r="C27" s="342" t="s">
        <v>252</v>
      </c>
      <c r="D27" s="622"/>
      <c r="E27" s="623"/>
      <c r="F27" s="623"/>
      <c r="G27" s="623"/>
      <c r="H27" s="624"/>
      <c r="I27" s="614"/>
      <c r="J27" s="615"/>
      <c r="K27" s="616"/>
      <c r="L27" s="4"/>
    </row>
    <row r="28" spans="2:12" x14ac:dyDescent="0.3">
      <c r="B28" s="259">
        <f t="shared" si="1"/>
        <v>18</v>
      </c>
      <c r="C28" s="342" t="s">
        <v>253</v>
      </c>
      <c r="D28" s="622"/>
      <c r="E28" s="623"/>
      <c r="F28" s="623"/>
      <c r="G28" s="623"/>
      <c r="H28" s="624"/>
      <c r="I28" s="614"/>
      <c r="J28" s="615"/>
      <c r="K28" s="616"/>
      <c r="L28" s="4"/>
    </row>
    <row r="29" spans="2:12" x14ac:dyDescent="0.3">
      <c r="B29" s="259">
        <f t="shared" si="1"/>
        <v>19</v>
      </c>
      <c r="C29" s="342" t="s">
        <v>254</v>
      </c>
      <c r="D29" s="622"/>
      <c r="E29" s="623"/>
      <c r="F29" s="623"/>
      <c r="G29" s="623"/>
      <c r="H29" s="624"/>
      <c r="I29" s="614"/>
      <c r="J29" s="615"/>
      <c r="K29" s="616"/>
      <c r="L29" s="4"/>
    </row>
    <row r="30" spans="2:12" x14ac:dyDescent="0.3">
      <c r="B30" s="259">
        <f t="shared" si="1"/>
        <v>20</v>
      </c>
      <c r="C30" s="342" t="s">
        <v>255</v>
      </c>
      <c r="D30" s="622"/>
      <c r="E30" s="623"/>
      <c r="F30" s="623"/>
      <c r="G30" s="623"/>
      <c r="H30" s="624"/>
      <c r="I30" s="614"/>
      <c r="J30" s="615"/>
      <c r="K30" s="616"/>
      <c r="L30" s="4"/>
    </row>
    <row r="31" spans="2:12" x14ac:dyDescent="0.3">
      <c r="B31" s="259">
        <f t="shared" si="1"/>
        <v>21</v>
      </c>
      <c r="C31" s="342" t="s">
        <v>256</v>
      </c>
      <c r="D31" s="622"/>
      <c r="E31" s="623"/>
      <c r="F31" s="623"/>
      <c r="G31" s="623"/>
      <c r="H31" s="624"/>
      <c r="I31" s="614"/>
      <c r="J31" s="615"/>
      <c r="K31" s="616"/>
      <c r="L31" s="4"/>
    </row>
    <row r="32" spans="2:12" x14ac:dyDescent="0.3">
      <c r="B32" s="259">
        <f t="shared" si="1"/>
        <v>22</v>
      </c>
      <c r="C32" s="342" t="s">
        <v>257</v>
      </c>
      <c r="D32" s="622"/>
      <c r="E32" s="623"/>
      <c r="F32" s="623"/>
      <c r="G32" s="623"/>
      <c r="H32" s="624"/>
      <c r="I32" s="347"/>
      <c r="J32" s="348"/>
      <c r="K32" s="349"/>
      <c r="L32" s="4"/>
    </row>
    <row r="33" spans="2:12" x14ac:dyDescent="0.3">
      <c r="B33" s="259">
        <f t="shared" si="1"/>
        <v>23</v>
      </c>
      <c r="C33" s="342" t="s">
        <v>258</v>
      </c>
      <c r="D33" s="344"/>
      <c r="E33" s="345"/>
      <c r="F33" s="345"/>
      <c r="G33" s="345"/>
      <c r="H33" s="345"/>
      <c r="I33" s="614"/>
      <c r="J33" s="615"/>
      <c r="K33" s="616"/>
      <c r="L33" s="4"/>
    </row>
    <row r="34" spans="2:12" x14ac:dyDescent="0.3">
      <c r="B34" s="259">
        <f t="shared" si="1"/>
        <v>24</v>
      </c>
      <c r="C34" s="343" t="s">
        <v>259</v>
      </c>
      <c r="D34" s="344"/>
      <c r="E34" s="345"/>
      <c r="F34" s="345"/>
      <c r="G34" s="345"/>
      <c r="H34" s="345"/>
      <c r="I34" s="614"/>
      <c r="J34" s="615"/>
      <c r="K34" s="616"/>
      <c r="L34" s="4"/>
    </row>
    <row r="35" spans="2:12" x14ac:dyDescent="0.3">
      <c r="B35" s="3"/>
      <c r="C35" s="340" t="s">
        <v>260</v>
      </c>
      <c r="D35" s="350" t="s">
        <v>236</v>
      </c>
      <c r="E35" s="350" t="s">
        <v>237</v>
      </c>
      <c r="F35" s="350" t="s">
        <v>238</v>
      </c>
      <c r="G35" s="350" t="s">
        <v>239</v>
      </c>
      <c r="H35" s="350" t="s">
        <v>240</v>
      </c>
      <c r="I35" s="618" t="s">
        <v>230</v>
      </c>
      <c r="J35" s="618"/>
      <c r="K35" s="618"/>
      <c r="L35" s="4"/>
    </row>
    <row r="36" spans="2:12" x14ac:dyDescent="0.3">
      <c r="B36" s="259">
        <f>B34+1</f>
        <v>25</v>
      </c>
      <c r="C36" s="341" t="s">
        <v>261</v>
      </c>
      <c r="D36" s="622"/>
      <c r="E36" s="623"/>
      <c r="F36" s="623"/>
      <c r="G36" s="623"/>
      <c r="H36" s="624"/>
      <c r="I36" s="625" t="s">
        <v>112</v>
      </c>
      <c r="J36" s="626"/>
      <c r="K36" s="627"/>
      <c r="L36" s="4"/>
    </row>
    <row r="37" spans="2:12" x14ac:dyDescent="0.3">
      <c r="B37" s="259">
        <f>B36+1</f>
        <v>26</v>
      </c>
      <c r="C37" s="342" t="s">
        <v>262</v>
      </c>
      <c r="D37" s="622">
        <v>0.35</v>
      </c>
      <c r="E37" s="623"/>
      <c r="F37" s="623"/>
      <c r="G37" s="623"/>
      <c r="H37" s="624"/>
      <c r="I37" s="625" t="s">
        <v>683</v>
      </c>
      <c r="J37" s="626"/>
      <c r="K37" s="627"/>
      <c r="L37" s="4"/>
    </row>
    <row r="38" spans="2:12" x14ac:dyDescent="0.3">
      <c r="B38" s="259">
        <f t="shared" ref="B38:B42" si="2">B37+1</f>
        <v>27</v>
      </c>
      <c r="C38" s="342" t="s">
        <v>263</v>
      </c>
      <c r="D38" s="622"/>
      <c r="E38" s="623"/>
      <c r="F38" s="623"/>
      <c r="G38" s="623"/>
      <c r="H38" s="624"/>
      <c r="I38" s="625"/>
      <c r="J38" s="626"/>
      <c r="K38" s="627"/>
      <c r="L38" s="4"/>
    </row>
    <row r="39" spans="2:12" x14ac:dyDescent="0.3">
      <c r="B39" s="259">
        <f t="shared" si="2"/>
        <v>28</v>
      </c>
      <c r="C39" s="342" t="s">
        <v>264</v>
      </c>
      <c r="D39" s="622">
        <v>0.01</v>
      </c>
      <c r="E39" s="623"/>
      <c r="F39" s="623"/>
      <c r="G39" s="623"/>
      <c r="H39" s="624"/>
      <c r="I39" s="625" t="s">
        <v>683</v>
      </c>
      <c r="J39" s="626"/>
      <c r="K39" s="627"/>
      <c r="L39" s="4"/>
    </row>
    <row r="40" spans="2:12" x14ac:dyDescent="0.3">
      <c r="B40" s="259">
        <f t="shared" si="2"/>
        <v>29</v>
      </c>
      <c r="C40" s="342" t="s">
        <v>265</v>
      </c>
      <c r="D40" s="622"/>
      <c r="E40" s="623"/>
      <c r="F40" s="623"/>
      <c r="G40" s="623"/>
      <c r="H40" s="624"/>
      <c r="I40" s="625"/>
      <c r="J40" s="626"/>
      <c r="K40" s="627"/>
      <c r="L40" s="4"/>
    </row>
    <row r="41" spans="2:12" x14ac:dyDescent="0.3">
      <c r="B41" s="259">
        <f t="shared" si="2"/>
        <v>30</v>
      </c>
      <c r="C41" s="342" t="s">
        <v>266</v>
      </c>
      <c r="D41" s="622"/>
      <c r="E41" s="623"/>
      <c r="F41" s="623"/>
      <c r="G41" s="623"/>
      <c r="H41" s="624"/>
      <c r="I41" s="625"/>
      <c r="J41" s="626"/>
      <c r="K41" s="627"/>
      <c r="L41" s="4"/>
    </row>
    <row r="42" spans="2:12" x14ac:dyDescent="0.3">
      <c r="B42" s="259">
        <f t="shared" si="2"/>
        <v>31</v>
      </c>
      <c r="C42" s="343" t="s">
        <v>267</v>
      </c>
      <c r="D42" s="622"/>
      <c r="E42" s="623"/>
      <c r="F42" s="623"/>
      <c r="G42" s="623"/>
      <c r="H42" s="624"/>
      <c r="I42" s="625" t="s">
        <v>112</v>
      </c>
      <c r="J42" s="626"/>
      <c r="K42" s="627"/>
      <c r="L42" s="4"/>
    </row>
    <row r="43" spans="2:12" x14ac:dyDescent="0.3">
      <c r="B43" s="5"/>
      <c r="C43" s="6"/>
      <c r="D43" s="6"/>
      <c r="E43" s="6"/>
      <c r="F43" s="6"/>
      <c r="G43" s="6"/>
      <c r="H43" s="6"/>
      <c r="I43" s="6"/>
      <c r="J43" s="6"/>
      <c r="K43" s="6"/>
      <c r="L43" s="7"/>
    </row>
    <row r="44" spans="2:12" ht="15.6" x14ac:dyDescent="0.3">
      <c r="C44" s="271" t="s">
        <v>268</v>
      </c>
    </row>
    <row r="45" spans="2:12" x14ac:dyDescent="0.3">
      <c r="C45" s="267">
        <v>1</v>
      </c>
      <c r="D45" s="2" t="s">
        <v>269</v>
      </c>
    </row>
    <row r="46" spans="2:12" x14ac:dyDescent="0.3">
      <c r="C46" s="267">
        <v>2</v>
      </c>
      <c r="D46" s="2" t="s">
        <v>270</v>
      </c>
    </row>
    <row r="47" spans="2:12" x14ac:dyDescent="0.3">
      <c r="C47" s="267">
        <v>3</v>
      </c>
      <c r="D47" s="2" t="s">
        <v>271</v>
      </c>
    </row>
  </sheetData>
  <mergeCells count="58">
    <mergeCell ref="I41:K41"/>
    <mergeCell ref="I42:K42"/>
    <mergeCell ref="D36:H36"/>
    <mergeCell ref="D37:H37"/>
    <mergeCell ref="D38:H38"/>
    <mergeCell ref="D39:H39"/>
    <mergeCell ref="D40:H40"/>
    <mergeCell ref="D41:H41"/>
    <mergeCell ref="D42:H42"/>
    <mergeCell ref="I36:K36"/>
    <mergeCell ref="I37:K37"/>
    <mergeCell ref="I38:K38"/>
    <mergeCell ref="I39:K39"/>
    <mergeCell ref="I40:K40"/>
    <mergeCell ref="D31:H31"/>
    <mergeCell ref="I23:K23"/>
    <mergeCell ref="I35:K35"/>
    <mergeCell ref="I24:K24"/>
    <mergeCell ref="I25:K25"/>
    <mergeCell ref="I26:K26"/>
    <mergeCell ref="I27:K27"/>
    <mergeCell ref="I28:K28"/>
    <mergeCell ref="I29:K29"/>
    <mergeCell ref="I30:K30"/>
    <mergeCell ref="I31:K31"/>
    <mergeCell ref="I33:K33"/>
    <mergeCell ref="I34:K34"/>
    <mergeCell ref="D32:H32"/>
    <mergeCell ref="D26:H26"/>
    <mergeCell ref="D27:H27"/>
    <mergeCell ref="D28:H28"/>
    <mergeCell ref="D29:H29"/>
    <mergeCell ref="D30:H30"/>
    <mergeCell ref="I18:K18"/>
    <mergeCell ref="I19:K19"/>
    <mergeCell ref="I20:K20"/>
    <mergeCell ref="I21:K21"/>
    <mergeCell ref="D25:H25"/>
    <mergeCell ref="I22:K22"/>
    <mergeCell ref="D15:H15"/>
    <mergeCell ref="D16:H16"/>
    <mergeCell ref="D17:H17"/>
    <mergeCell ref="I11:K11"/>
    <mergeCell ref="I12:K12"/>
    <mergeCell ref="I14:K14"/>
    <mergeCell ref="I15:K15"/>
    <mergeCell ref="I16:K16"/>
    <mergeCell ref="I17:K17"/>
    <mergeCell ref="I13:K13"/>
    <mergeCell ref="B2:L2"/>
    <mergeCell ref="D8:H8"/>
    <mergeCell ref="I6:K6"/>
    <mergeCell ref="I7:K7"/>
    <mergeCell ref="I8:K8"/>
    <mergeCell ref="D5:H5"/>
    <mergeCell ref="I5:K5"/>
    <mergeCell ref="D6:H6"/>
    <mergeCell ref="D7:H7"/>
  </mergeCells>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2" xr:uid="{00000000-0002-0000-1100-000008000000}"/>
    <dataValidation allowBlank="1" showInputMessage="1" showErrorMessage="1" prompt="Total installed cost of proxy unit. " sqref="D24" xr:uid="{00000000-0002-0000-1100-000009000000}"/>
    <dataValidation allowBlank="1" showInputMessage="1" showErrorMessage="1" prompt="In-service date of proxy unit." sqref="D25:H25" xr:uid="{00000000-0002-0000-1100-00000A000000}"/>
    <dataValidation allowBlank="1" showInputMessage="1" showErrorMessage="1" prompt="Real Economic Carrying Charge (RECC) of proxy unit. " sqref="D26:H26" xr:uid="{00000000-0002-0000-1100-00000B000000}"/>
    <dataValidation allowBlank="1" showInputMessage="1" showErrorMessage="1" prompt="Beginning year for period in which RECC &gt; 0." sqref="D27:H27" xr:uid="{00000000-0002-0000-1100-00000C000000}"/>
    <dataValidation allowBlank="1" showInputMessage="1" showErrorMessage="1" prompt="Ending year for RECC." sqref="D28:H28" xr:uid="{00000000-0002-0000-1100-00000D000000}"/>
    <dataValidation allowBlank="1" showInputMessage="1" showErrorMessage="1" prompt="Wholesale market price of capacity used to calculate avoided capacity cost. " sqref="D29:H29" xr:uid="{00000000-0002-0000-1100-00000E000000}"/>
    <dataValidation allowBlank="1" showInputMessage="1" showErrorMessage="1" prompt="Beginning year for period in which market price &gt; 0." sqref="D30:H30" xr:uid="{00000000-0002-0000-1100-00000F000000}"/>
    <dataValidation allowBlank="1" showInputMessage="1" showErrorMessage="1" prompt="Ending year for market price." sqref="D31:H31" xr:uid="{00000000-0002-0000-1100-000010000000}"/>
    <dataValidation allowBlank="1" showInputMessage="1" showErrorMessage="1" prompt="Capacity reserve margin" sqref="D32:H32" xr:uid="{00000000-0002-0000-1100-000011000000}"/>
    <dataValidation allowBlank="1" showInputMessage="1" showErrorMessage="1" prompt="Avoided cost of distribution capacity." sqref="D33" xr:uid="{00000000-0002-0000-1100-000012000000}"/>
    <dataValidation allowBlank="1" showInputMessage="1" showErrorMessage="1" prompt="Avoided cost of transmission cpacity." sqref="D34" xr:uid="{00000000-0002-0000-1100-000013000000}"/>
    <dataValidation allowBlank="1" showInputMessage="1" showErrorMessage="1" prompt="Other fuel (electric) avoided cost." sqref="D36:H36" xr:uid="{00000000-0002-0000-1100-000014000000}"/>
    <dataValidation allowBlank="1" showInputMessage="1" showErrorMessage="1" prompt="Other fuel (natural gas) avoided cost." sqref="D37:H37" xr:uid="{00000000-0002-0000-1100-000015000000}"/>
    <dataValidation allowBlank="1" showInputMessage="1" showErrorMessage="1" prompt="Other fuel (liquid propane) avoided cost." sqref="D38:H38" xr:uid="{00000000-0002-0000-1100-000016000000}"/>
    <dataValidation allowBlank="1" showInputMessage="1" showErrorMessage="1" prompt="Avoided water cost." sqref="D39:H39" xr:uid="{00000000-0002-0000-1100-000017000000}"/>
    <dataValidation allowBlank="1" showInputMessage="1" showErrorMessage="1" prompt="Avoided waste water (sewerage) cost." sqref="D40:H40" xr:uid="{00000000-0002-0000-1100-000018000000}"/>
    <dataValidation allowBlank="1" showInputMessage="1" showErrorMessage="1" prompt="Present value avoided  replacement cost. [Reference NEBs tab.]" sqref="D41:H41" xr:uid="{00000000-0002-0000-1100-000019000000}"/>
    <dataValidation allowBlank="1" showInputMessage="1" showErrorMessage="1" prompt="Present value deferred replacement cost. [Reference NEBs tab.]" sqref="D42:H42" xr:uid="{00000000-0002-0000-1100-00001A000000}"/>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S37"/>
  <sheetViews>
    <sheetView showGridLines="0" zoomScale="110" zoomScaleNormal="110" workbookViewId="0">
      <pane ySplit="3" topLeftCell="A4" activePane="bottomLeft" state="frozen"/>
      <selection activeCell="P31" sqref="P31"/>
      <selection pane="bottomLeft" activeCell="P3" sqref="P3:S6"/>
    </sheetView>
  </sheetViews>
  <sheetFormatPr defaultRowHeight="13.2" x14ac:dyDescent="0.25"/>
  <cols>
    <col min="1" max="1" width="1" customWidth="1"/>
    <col min="2" max="2" width="4.109375" customWidth="1"/>
    <col min="3" max="3" width="36.21875" bestFit="1" customWidth="1"/>
    <col min="4" max="11" width="10.77734375" customWidth="1"/>
    <col min="14" max="14" width="12" bestFit="1" customWidth="1"/>
    <col min="15" max="15" width="1.88671875" customWidth="1"/>
  </cols>
  <sheetData>
    <row r="1" spans="2:19" ht="4.6500000000000004" customHeight="1" thickBot="1" x14ac:dyDescent="0.3"/>
    <row r="2" spans="2:19" ht="38.25" customHeight="1" x14ac:dyDescent="0.25">
      <c r="B2" s="631" t="s">
        <v>260</v>
      </c>
      <c r="C2" s="631"/>
      <c r="D2" s="631"/>
      <c r="E2" s="631"/>
      <c r="F2" s="631"/>
      <c r="G2" s="631"/>
      <c r="H2" s="631"/>
      <c r="I2" s="631"/>
      <c r="J2" s="631"/>
      <c r="K2" s="631"/>
      <c r="L2" s="631"/>
      <c r="M2" s="631"/>
      <c r="N2" s="631"/>
      <c r="O2" s="631"/>
    </row>
    <row r="3" spans="2:19" ht="33.75" customHeight="1" x14ac:dyDescent="0.25">
      <c r="B3" s="351"/>
      <c r="C3" s="352"/>
      <c r="D3" s="352"/>
      <c r="E3" s="352"/>
      <c r="F3" s="352"/>
      <c r="G3" s="352"/>
      <c r="H3" s="352"/>
      <c r="I3" s="352"/>
      <c r="J3" s="352"/>
      <c r="K3" s="352"/>
      <c r="L3" s="352"/>
      <c r="M3" s="352"/>
      <c r="N3" s="352"/>
      <c r="O3" s="353"/>
      <c r="P3" s="709"/>
      <c r="Q3" s="709"/>
      <c r="R3" s="709"/>
      <c r="S3" s="709"/>
    </row>
    <row r="4" spans="2:19" ht="13.8" thickBot="1" x14ac:dyDescent="0.3">
      <c r="B4" s="351"/>
      <c r="C4" s="352"/>
      <c r="D4" s="352"/>
      <c r="E4" s="352"/>
      <c r="F4" s="352"/>
      <c r="G4" s="352"/>
      <c r="H4" s="352"/>
      <c r="I4" s="352"/>
      <c r="J4" s="352"/>
      <c r="K4" s="352"/>
      <c r="L4" s="352"/>
      <c r="M4" s="352"/>
      <c r="N4" s="352"/>
      <c r="O4" s="353"/>
      <c r="P4" s="709"/>
      <c r="Q4" s="709"/>
      <c r="R4" s="709"/>
      <c r="S4" s="709"/>
    </row>
    <row r="5" spans="2:19" ht="12.75" customHeight="1" x14ac:dyDescent="0.3">
      <c r="B5" s="8"/>
      <c r="D5" s="632" t="s">
        <v>272</v>
      </c>
      <c r="E5" s="633"/>
      <c r="F5" s="632" t="s">
        <v>273</v>
      </c>
      <c r="G5" s="633"/>
      <c r="H5" s="632" t="s">
        <v>274</v>
      </c>
      <c r="I5" s="633"/>
      <c r="J5" s="632" t="s">
        <v>275</v>
      </c>
      <c r="K5" s="633"/>
      <c r="L5" s="632" t="s">
        <v>276</v>
      </c>
      <c r="M5" s="633"/>
      <c r="N5" s="634" t="s">
        <v>277</v>
      </c>
      <c r="O5" s="18"/>
      <c r="P5" s="709"/>
      <c r="Q5" s="709"/>
      <c r="R5" s="709"/>
      <c r="S5" s="709"/>
    </row>
    <row r="6" spans="2:19" ht="27.6" x14ac:dyDescent="0.3">
      <c r="B6" s="8"/>
      <c r="C6" s="9" t="s">
        <v>82</v>
      </c>
      <c r="D6" s="354" t="s">
        <v>278</v>
      </c>
      <c r="E6" s="355" t="s">
        <v>279</v>
      </c>
      <c r="F6" s="354" t="s">
        <v>280</v>
      </c>
      <c r="G6" s="355" t="s">
        <v>279</v>
      </c>
      <c r="H6" s="354" t="s">
        <v>281</v>
      </c>
      <c r="I6" s="355" t="s">
        <v>279</v>
      </c>
      <c r="J6" s="354" t="s">
        <v>281</v>
      </c>
      <c r="K6" s="355" t="s">
        <v>279</v>
      </c>
      <c r="L6" s="354" t="s">
        <v>282</v>
      </c>
      <c r="M6" s="355" t="s">
        <v>283</v>
      </c>
      <c r="N6" s="634"/>
      <c r="O6" s="18"/>
      <c r="P6" s="709"/>
      <c r="Q6" s="709"/>
      <c r="R6" s="709"/>
      <c r="S6" s="709"/>
    </row>
    <row r="7" spans="2:19" ht="13.8" x14ac:dyDescent="0.3">
      <c r="B7" s="259">
        <v>1</v>
      </c>
      <c r="C7" s="260" t="str">
        <f>'Program Descriptions'!D5</f>
        <v>Residential Products</v>
      </c>
      <c r="D7" s="416">
        <f>'Evaluated Savings'!E6</f>
        <v>13464</v>
      </c>
      <c r="E7" s="547">
        <v>0</v>
      </c>
      <c r="F7" s="416">
        <v>289</v>
      </c>
      <c r="G7" s="547">
        <v>0</v>
      </c>
      <c r="H7" s="416">
        <v>0</v>
      </c>
      <c r="I7" s="547">
        <v>0</v>
      </c>
      <c r="J7" s="416">
        <v>0</v>
      </c>
      <c r="K7" s="547">
        <v>0</v>
      </c>
      <c r="L7" s="548">
        <v>0</v>
      </c>
      <c r="M7" s="547"/>
      <c r="N7" s="358">
        <f>E7+G7+I7+K7+L7</f>
        <v>0</v>
      </c>
      <c r="O7" s="18"/>
    </row>
    <row r="8" spans="2:19" ht="13.8" x14ac:dyDescent="0.3">
      <c r="B8" s="259">
        <f>B7+1</f>
        <v>2</v>
      </c>
      <c r="C8" s="260" t="str">
        <f>'Program Descriptions'!D6</f>
        <v>School-Based Energy Education</v>
      </c>
      <c r="D8" s="416">
        <f>'Evaluated Savings'!E7</f>
        <v>47256</v>
      </c>
      <c r="E8" s="547">
        <v>0</v>
      </c>
      <c r="F8" s="416">
        <v>-75</v>
      </c>
      <c r="G8" s="547">
        <v>0</v>
      </c>
      <c r="H8" s="416">
        <v>-6</v>
      </c>
      <c r="I8" s="547">
        <v>0</v>
      </c>
      <c r="J8" s="416">
        <v>63706</v>
      </c>
      <c r="K8" s="547">
        <v>0</v>
      </c>
      <c r="L8" s="548">
        <v>0</v>
      </c>
      <c r="M8" s="547"/>
      <c r="N8" s="358">
        <f>E8+G8+I8+K8+L8</f>
        <v>0</v>
      </c>
      <c r="O8" s="18"/>
    </row>
    <row r="9" spans="2:19" ht="13.8" x14ac:dyDescent="0.3">
      <c r="B9" s="259">
        <f t="shared" ref="B9:B26" si="0">B8+1</f>
        <v>3</v>
      </c>
      <c r="C9" s="260" t="str">
        <f>'Program Descriptions'!D7</f>
        <v>Weatherization</v>
      </c>
      <c r="D9" s="416">
        <f>'Evaluated Savings'!E8</f>
        <v>0</v>
      </c>
      <c r="E9" s="547"/>
      <c r="F9" s="416"/>
      <c r="G9" s="547"/>
      <c r="H9" s="416"/>
      <c r="I9" s="547"/>
      <c r="J9" s="416">
        <v>0</v>
      </c>
      <c r="K9" s="547"/>
      <c r="L9" s="548"/>
      <c r="M9" s="547"/>
      <c r="N9" s="358">
        <f>E9+G9+I9+K9+L9</f>
        <v>0</v>
      </c>
      <c r="O9" s="18"/>
    </row>
    <row r="10" spans="2:19" ht="13.8" x14ac:dyDescent="0.3">
      <c r="B10" s="259">
        <f t="shared" si="0"/>
        <v>4</v>
      </c>
      <c r="C10" s="260" t="str">
        <f>'Program Descriptions'!D8</f>
        <v>Commercial and Industrial (Custom)</v>
      </c>
      <c r="D10" s="416">
        <f>'Evaluated Savings'!E9</f>
        <v>0</v>
      </c>
      <c r="E10" s="547"/>
      <c r="F10" s="416"/>
      <c r="G10" s="547"/>
      <c r="H10" s="416"/>
      <c r="I10" s="547"/>
      <c r="J10" s="416"/>
      <c r="K10" s="547"/>
      <c r="L10" s="548"/>
      <c r="M10" s="547"/>
      <c r="N10" s="358">
        <f>E10+G10+I10+K10+L10</f>
        <v>0</v>
      </c>
      <c r="O10" s="18"/>
    </row>
    <row r="11" spans="2:19" ht="13.8" x14ac:dyDescent="0.3">
      <c r="B11" s="259">
        <f t="shared" si="0"/>
        <v>5</v>
      </c>
      <c r="C11" s="260" t="str">
        <f>'Program Descriptions'!D9</f>
        <v>Commercial and Industrial (Prescriptive)</v>
      </c>
      <c r="D11" s="416">
        <f>'Evaluated Savings'!E10</f>
        <v>0</v>
      </c>
      <c r="E11" s="547"/>
      <c r="F11" s="416"/>
      <c r="G11" s="547"/>
      <c r="H11" s="416"/>
      <c r="I11" s="547"/>
      <c r="J11" s="416"/>
      <c r="K11" s="547"/>
      <c r="L11" s="548"/>
      <c r="M11" s="547"/>
      <c r="N11" s="358">
        <f t="shared" ref="N11" si="1">E11+G11+I11+K11</f>
        <v>0</v>
      </c>
      <c r="O11" s="18"/>
    </row>
    <row r="12" spans="2:19" ht="13.8" x14ac:dyDescent="0.3">
      <c r="B12" s="259">
        <f t="shared" si="0"/>
        <v>6</v>
      </c>
      <c r="C12" s="260" t="str">
        <f>'Program Descriptions'!D10</f>
        <v>Online Energy Calculator</v>
      </c>
      <c r="D12" s="416">
        <f>'Evaluated Savings'!E11</f>
        <v>0</v>
      </c>
      <c r="E12" s="547"/>
      <c r="F12" s="416"/>
      <c r="G12" s="547"/>
      <c r="H12" s="416"/>
      <c r="I12" s="547"/>
      <c r="J12" s="416"/>
      <c r="K12" s="547"/>
      <c r="L12" s="548"/>
      <c r="M12" s="547"/>
      <c r="N12" s="359">
        <f t="shared" ref="N12:N26" si="2">D12+F12+H12+J12+K12+L12</f>
        <v>0</v>
      </c>
      <c r="O12" s="18"/>
    </row>
    <row r="13" spans="2:19" ht="14.4" thickBot="1" x14ac:dyDescent="0.35">
      <c r="B13" s="259">
        <f t="shared" si="0"/>
        <v>7</v>
      </c>
      <c r="C13" s="260" t="str">
        <f>'Program Descriptions'!D11</f>
        <v>Administration</v>
      </c>
      <c r="D13" s="416">
        <f>'Evaluated Savings'!E12</f>
        <v>0</v>
      </c>
      <c r="E13" s="547">
        <v>0</v>
      </c>
      <c r="F13" s="416">
        <v>0</v>
      </c>
      <c r="G13" s="547">
        <v>0</v>
      </c>
      <c r="H13" s="416">
        <v>0</v>
      </c>
      <c r="I13" s="547">
        <v>0</v>
      </c>
      <c r="J13" s="416">
        <v>0</v>
      </c>
      <c r="K13" s="547">
        <v>0</v>
      </c>
      <c r="L13" s="548">
        <v>0</v>
      </c>
      <c r="M13" s="547"/>
      <c r="N13" s="359">
        <f t="shared" si="2"/>
        <v>0</v>
      </c>
      <c r="O13" s="18"/>
    </row>
    <row r="14" spans="2:19" ht="13.8" hidden="1" x14ac:dyDescent="0.3">
      <c r="B14" s="259">
        <f t="shared" si="0"/>
        <v>8</v>
      </c>
      <c r="C14" s="260" t="str">
        <f>'Program Descriptions'!D12</f>
        <v>Marketing</v>
      </c>
      <c r="D14" s="416"/>
      <c r="E14" s="356"/>
      <c r="F14" s="416"/>
      <c r="G14" s="356"/>
      <c r="H14" s="416"/>
      <c r="I14" s="356"/>
      <c r="J14" s="416"/>
      <c r="K14" s="356"/>
      <c r="L14" s="361"/>
      <c r="M14" s="356"/>
      <c r="N14" s="359">
        <f t="shared" si="2"/>
        <v>0</v>
      </c>
      <c r="O14" s="18"/>
    </row>
    <row r="15" spans="2:19" ht="13.8" hidden="1" x14ac:dyDescent="0.3">
      <c r="B15" s="259">
        <f t="shared" si="0"/>
        <v>9</v>
      </c>
      <c r="C15" s="260" t="str">
        <f>'Program Descriptions'!D13</f>
        <v>EM&amp;V</v>
      </c>
      <c r="D15" s="416"/>
      <c r="E15" s="356"/>
      <c r="F15" s="416"/>
      <c r="G15" s="356"/>
      <c r="H15" s="416"/>
      <c r="I15" s="356"/>
      <c r="J15" s="416"/>
      <c r="K15" s="356"/>
      <c r="L15" s="361"/>
      <c r="M15" s="356"/>
      <c r="N15" s="359">
        <f t="shared" si="2"/>
        <v>0</v>
      </c>
      <c r="O15" s="18"/>
    </row>
    <row r="16" spans="2:19" ht="13.8" hidden="1" x14ac:dyDescent="0.3">
      <c r="B16" s="259">
        <f t="shared" si="0"/>
        <v>10</v>
      </c>
      <c r="C16" s="260">
        <f>'Program Descriptions'!D14</f>
        <v>0</v>
      </c>
      <c r="D16" s="416"/>
      <c r="E16" s="356"/>
      <c r="F16" s="416"/>
      <c r="G16" s="356"/>
      <c r="H16" s="416"/>
      <c r="I16" s="356"/>
      <c r="J16" s="416"/>
      <c r="K16" s="356"/>
      <c r="L16" s="361"/>
      <c r="M16" s="356"/>
      <c r="N16" s="359">
        <f t="shared" si="2"/>
        <v>0</v>
      </c>
      <c r="O16" s="18"/>
    </row>
    <row r="17" spans="2:15" ht="13.8" hidden="1" x14ac:dyDescent="0.3">
      <c r="B17" s="259">
        <f t="shared" si="0"/>
        <v>11</v>
      </c>
      <c r="C17" s="260">
        <f>'Program Descriptions'!D15</f>
        <v>0</v>
      </c>
      <c r="D17" s="416"/>
      <c r="E17" s="356"/>
      <c r="F17" s="416"/>
      <c r="G17" s="356"/>
      <c r="H17" s="416"/>
      <c r="I17" s="356"/>
      <c r="J17" s="416"/>
      <c r="K17" s="356"/>
      <c r="L17" s="361"/>
      <c r="M17" s="356"/>
      <c r="N17" s="359">
        <f t="shared" si="2"/>
        <v>0</v>
      </c>
      <c r="O17" s="18"/>
    </row>
    <row r="18" spans="2:15" ht="13.8" hidden="1" x14ac:dyDescent="0.3">
      <c r="B18" s="259">
        <f t="shared" si="0"/>
        <v>12</v>
      </c>
      <c r="C18" s="260">
        <f>'Program Descriptions'!D16</f>
        <v>0</v>
      </c>
      <c r="D18" s="416"/>
      <c r="E18" s="356"/>
      <c r="F18" s="416"/>
      <c r="G18" s="356"/>
      <c r="H18" s="416"/>
      <c r="I18" s="356"/>
      <c r="J18" s="416"/>
      <c r="K18" s="356"/>
      <c r="L18" s="361"/>
      <c r="M18" s="356"/>
      <c r="N18" s="359">
        <f t="shared" si="2"/>
        <v>0</v>
      </c>
      <c r="O18" s="18"/>
    </row>
    <row r="19" spans="2:15" ht="13.8" hidden="1" x14ac:dyDescent="0.3">
      <c r="B19" s="259">
        <f t="shared" si="0"/>
        <v>13</v>
      </c>
      <c r="C19" s="260">
        <f>'Program Descriptions'!D17</f>
        <v>0</v>
      </c>
      <c r="D19" s="416"/>
      <c r="E19" s="356"/>
      <c r="F19" s="416"/>
      <c r="G19" s="356"/>
      <c r="H19" s="416"/>
      <c r="I19" s="356"/>
      <c r="J19" s="416"/>
      <c r="K19" s="356"/>
      <c r="L19" s="361"/>
      <c r="M19" s="356"/>
      <c r="N19" s="359">
        <f t="shared" si="2"/>
        <v>0</v>
      </c>
      <c r="O19" s="18"/>
    </row>
    <row r="20" spans="2:15" ht="13.8" hidden="1" x14ac:dyDescent="0.3">
      <c r="B20" s="259">
        <f t="shared" si="0"/>
        <v>14</v>
      </c>
      <c r="C20" s="260">
        <f>'Program Descriptions'!D18</f>
        <v>0</v>
      </c>
      <c r="D20" s="416"/>
      <c r="E20" s="356"/>
      <c r="F20" s="416"/>
      <c r="G20" s="356"/>
      <c r="H20" s="416"/>
      <c r="I20" s="356"/>
      <c r="J20" s="416"/>
      <c r="K20" s="356"/>
      <c r="L20" s="361"/>
      <c r="M20" s="356"/>
      <c r="N20" s="359">
        <f t="shared" si="2"/>
        <v>0</v>
      </c>
      <c r="O20" s="18"/>
    </row>
    <row r="21" spans="2:15" ht="13.8" hidden="1" x14ac:dyDescent="0.3">
      <c r="B21" s="259">
        <f t="shared" si="0"/>
        <v>15</v>
      </c>
      <c r="C21" s="260">
        <f>'Program Descriptions'!D19</f>
        <v>0</v>
      </c>
      <c r="D21" s="416"/>
      <c r="E21" s="356"/>
      <c r="F21" s="416"/>
      <c r="G21" s="356"/>
      <c r="H21" s="416"/>
      <c r="I21" s="356"/>
      <c r="J21" s="416"/>
      <c r="K21" s="356"/>
      <c r="L21" s="361"/>
      <c r="M21" s="356"/>
      <c r="N21" s="359">
        <f t="shared" si="2"/>
        <v>0</v>
      </c>
      <c r="O21" s="18"/>
    </row>
    <row r="22" spans="2:15" ht="13.8" hidden="1" x14ac:dyDescent="0.3">
      <c r="B22" s="259">
        <f t="shared" si="0"/>
        <v>16</v>
      </c>
      <c r="C22" s="260">
        <f>'Program Descriptions'!D20</f>
        <v>0</v>
      </c>
      <c r="D22" s="416"/>
      <c r="E22" s="356"/>
      <c r="F22" s="416"/>
      <c r="G22" s="356"/>
      <c r="H22" s="416"/>
      <c r="I22" s="356"/>
      <c r="J22" s="416"/>
      <c r="K22" s="356"/>
      <c r="L22" s="361"/>
      <c r="M22" s="356"/>
      <c r="N22" s="359">
        <f t="shared" si="2"/>
        <v>0</v>
      </c>
      <c r="O22" s="18"/>
    </row>
    <row r="23" spans="2:15" ht="13.8" hidden="1" x14ac:dyDescent="0.3">
      <c r="B23" s="259">
        <f t="shared" si="0"/>
        <v>17</v>
      </c>
      <c r="C23" s="260">
        <f>'Program Descriptions'!D21</f>
        <v>0</v>
      </c>
      <c r="D23" s="416"/>
      <c r="E23" s="356"/>
      <c r="F23" s="416"/>
      <c r="G23" s="356"/>
      <c r="H23" s="416"/>
      <c r="I23" s="356"/>
      <c r="J23" s="416"/>
      <c r="K23" s="356"/>
      <c r="L23" s="361"/>
      <c r="M23" s="356"/>
      <c r="N23" s="359">
        <f t="shared" si="2"/>
        <v>0</v>
      </c>
      <c r="O23" s="18"/>
    </row>
    <row r="24" spans="2:15" ht="13.8" hidden="1" x14ac:dyDescent="0.3">
      <c r="B24" s="259">
        <f t="shared" si="0"/>
        <v>18</v>
      </c>
      <c r="C24" s="260">
        <f>'Program Descriptions'!D22</f>
        <v>0</v>
      </c>
      <c r="D24" s="416"/>
      <c r="E24" s="356"/>
      <c r="F24" s="416"/>
      <c r="G24" s="356"/>
      <c r="H24" s="416"/>
      <c r="I24" s="356"/>
      <c r="J24" s="416"/>
      <c r="K24" s="356"/>
      <c r="L24" s="361"/>
      <c r="M24" s="356"/>
      <c r="N24" s="359">
        <f t="shared" si="2"/>
        <v>0</v>
      </c>
      <c r="O24" s="18"/>
    </row>
    <row r="25" spans="2:15" ht="13.8" hidden="1" x14ac:dyDescent="0.3">
      <c r="B25" s="259">
        <f t="shared" si="0"/>
        <v>19</v>
      </c>
      <c r="C25" s="260">
        <f>'Program Descriptions'!D23</f>
        <v>0</v>
      </c>
      <c r="D25" s="416"/>
      <c r="E25" s="356"/>
      <c r="F25" s="416"/>
      <c r="G25" s="356"/>
      <c r="H25" s="416"/>
      <c r="I25" s="356"/>
      <c r="J25" s="416"/>
      <c r="K25" s="356"/>
      <c r="L25" s="361"/>
      <c r="M25" s="356"/>
      <c r="N25" s="359">
        <f t="shared" si="2"/>
        <v>0</v>
      </c>
      <c r="O25" s="18"/>
    </row>
    <row r="26" spans="2:15" ht="14.4" hidden="1" thickBot="1" x14ac:dyDescent="0.35">
      <c r="B26" s="259">
        <f t="shared" si="0"/>
        <v>20</v>
      </c>
      <c r="C26" s="260">
        <f>'Program Descriptions'!D24</f>
        <v>0</v>
      </c>
      <c r="D26" s="417"/>
      <c r="E26" s="357"/>
      <c r="F26" s="417"/>
      <c r="G26" s="357"/>
      <c r="H26" s="417"/>
      <c r="I26" s="357"/>
      <c r="J26" s="417"/>
      <c r="K26" s="357"/>
      <c r="L26" s="362"/>
      <c r="M26" s="357"/>
      <c r="N26" s="360">
        <f t="shared" si="2"/>
        <v>0</v>
      </c>
      <c r="O26" s="18"/>
    </row>
    <row r="27" spans="2:15" ht="13.8" x14ac:dyDescent="0.3">
      <c r="B27" s="8"/>
      <c r="C27" s="264" t="s">
        <v>155</v>
      </c>
      <c r="D27" s="68">
        <f t="shared" ref="D27:K27" si="3">SUM(D7:D26)</f>
        <v>60720</v>
      </c>
      <c r="E27" s="14">
        <f t="shared" si="3"/>
        <v>0</v>
      </c>
      <c r="F27" s="68">
        <f t="shared" si="3"/>
        <v>214</v>
      </c>
      <c r="G27" s="14">
        <f t="shared" si="3"/>
        <v>0</v>
      </c>
      <c r="H27" s="68">
        <f t="shared" si="3"/>
        <v>-6</v>
      </c>
      <c r="I27" s="14">
        <f t="shared" si="3"/>
        <v>0</v>
      </c>
      <c r="J27" s="68">
        <f t="shared" si="3"/>
        <v>63706</v>
      </c>
      <c r="K27" s="14">
        <f t="shared" si="3"/>
        <v>0</v>
      </c>
      <c r="L27" s="14">
        <f t="shared" ref="L27:N27" si="4">SUM(L7:L26)</f>
        <v>0</v>
      </c>
      <c r="M27" s="14">
        <f t="shared" si="4"/>
        <v>0</v>
      </c>
      <c r="N27" s="14">
        <f t="shared" si="4"/>
        <v>0</v>
      </c>
      <c r="O27" s="18"/>
    </row>
    <row r="28" spans="2:15" ht="13.8" x14ac:dyDescent="0.3">
      <c r="B28" s="8"/>
      <c r="C28" s="260"/>
      <c r="O28" s="18"/>
    </row>
    <row r="29" spans="2:15" x14ac:dyDescent="0.25">
      <c r="B29" s="8"/>
      <c r="O29" s="18"/>
    </row>
    <row r="30" spans="2:15" ht="15.6" x14ac:dyDescent="0.3">
      <c r="B30" s="8"/>
      <c r="C30" s="9" t="s">
        <v>268</v>
      </c>
      <c r="O30" s="18"/>
    </row>
    <row r="31" spans="2:15" ht="13.8" x14ac:dyDescent="0.3">
      <c r="B31" s="259">
        <v>1</v>
      </c>
      <c r="C31" s="628"/>
      <c r="D31" s="629"/>
      <c r="E31" s="629"/>
      <c r="F31" s="629"/>
      <c r="G31" s="629"/>
      <c r="H31" s="629"/>
      <c r="I31" s="629"/>
      <c r="J31" s="629"/>
      <c r="K31" s="629"/>
      <c r="L31" s="629"/>
      <c r="M31" s="629"/>
      <c r="N31" s="630"/>
      <c r="O31" s="18"/>
    </row>
    <row r="32" spans="2:15" ht="13.8" x14ac:dyDescent="0.3">
      <c r="B32" s="259">
        <f>B31+1</f>
        <v>2</v>
      </c>
      <c r="C32" s="628"/>
      <c r="D32" s="629"/>
      <c r="E32" s="629"/>
      <c r="F32" s="629"/>
      <c r="G32" s="629"/>
      <c r="H32" s="629"/>
      <c r="I32" s="629"/>
      <c r="J32" s="629"/>
      <c r="K32" s="629"/>
      <c r="L32" s="629"/>
      <c r="M32" s="629"/>
      <c r="N32" s="630"/>
      <c r="O32" s="18"/>
    </row>
    <row r="33" spans="2:15" ht="13.8" x14ac:dyDescent="0.3">
      <c r="B33" s="259">
        <f t="shared" ref="B33:B35" si="5">B32+1</f>
        <v>3</v>
      </c>
      <c r="C33" s="628"/>
      <c r="D33" s="629"/>
      <c r="E33" s="629"/>
      <c r="F33" s="629"/>
      <c r="G33" s="629"/>
      <c r="H33" s="629"/>
      <c r="I33" s="629"/>
      <c r="J33" s="629"/>
      <c r="K33" s="629"/>
      <c r="L33" s="629"/>
      <c r="M33" s="629"/>
      <c r="N33" s="630"/>
      <c r="O33" s="18"/>
    </row>
    <row r="34" spans="2:15" ht="13.8" x14ac:dyDescent="0.3">
      <c r="B34" s="259">
        <f t="shared" si="5"/>
        <v>4</v>
      </c>
      <c r="C34" s="628"/>
      <c r="D34" s="629"/>
      <c r="E34" s="629"/>
      <c r="F34" s="629"/>
      <c r="G34" s="629"/>
      <c r="H34" s="629"/>
      <c r="I34" s="629"/>
      <c r="J34" s="629"/>
      <c r="K34" s="629"/>
      <c r="L34" s="629"/>
      <c r="M34" s="629"/>
      <c r="N34" s="630"/>
      <c r="O34" s="18"/>
    </row>
    <row r="35" spans="2:15" ht="13.8" x14ac:dyDescent="0.3">
      <c r="B35" s="259">
        <f t="shared" si="5"/>
        <v>5</v>
      </c>
      <c r="C35" s="628"/>
      <c r="D35" s="629"/>
      <c r="E35" s="629"/>
      <c r="F35" s="629"/>
      <c r="G35" s="629"/>
      <c r="H35" s="629"/>
      <c r="I35" s="629"/>
      <c r="J35" s="629"/>
      <c r="K35" s="629"/>
      <c r="L35" s="629"/>
      <c r="M35" s="629"/>
      <c r="N35" s="630"/>
      <c r="O35" s="18"/>
    </row>
    <row r="36" spans="2:15" x14ac:dyDescent="0.25">
      <c r="B36" s="8"/>
      <c r="O36" s="18"/>
    </row>
    <row r="37" spans="2:15" x14ac:dyDescent="0.25">
      <c r="B37" s="300"/>
      <c r="C37" s="301"/>
      <c r="D37" s="301"/>
      <c r="E37" s="301"/>
      <c r="F37" s="301"/>
      <c r="G37" s="301"/>
      <c r="H37" s="301"/>
      <c r="I37" s="301"/>
      <c r="J37" s="301"/>
      <c r="K37" s="301"/>
      <c r="L37" s="301"/>
      <c r="M37" s="301"/>
      <c r="N37" s="301"/>
      <c r="O37" s="302"/>
    </row>
  </sheetData>
  <mergeCells count="12">
    <mergeCell ref="B2:O2"/>
    <mergeCell ref="D5:E5"/>
    <mergeCell ref="F5:G5"/>
    <mergeCell ref="H5:I5"/>
    <mergeCell ref="J5:K5"/>
    <mergeCell ref="L5:M5"/>
    <mergeCell ref="N5:N6"/>
    <mergeCell ref="C31:N31"/>
    <mergeCell ref="C32:N32"/>
    <mergeCell ref="C33:N33"/>
    <mergeCell ref="C34:N34"/>
    <mergeCell ref="C35:N35"/>
  </mergeCells>
  <conditionalFormatting sqref="D7:N26">
    <cfRule type="expression" dxfId="27"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65"/>
  <sheetViews>
    <sheetView showGridLines="0" showRowColHeaders="0" zoomScale="110" zoomScaleNormal="110" workbookViewId="0">
      <pane ySplit="2" topLeftCell="A23" activePane="bottomLeft" state="frozen"/>
      <selection activeCell="P31" sqref="P31"/>
      <selection pane="bottomLeft" activeCell="P31" sqref="P31"/>
    </sheetView>
  </sheetViews>
  <sheetFormatPr defaultColWidth="9.109375" defaultRowHeight="13.8" x14ac:dyDescent="0.3"/>
  <cols>
    <col min="1" max="1" width="1" style="2" customWidth="1"/>
    <col min="2" max="2" width="1.77734375" style="2" customWidth="1"/>
    <col min="3" max="3" width="8" style="2" customWidth="1"/>
    <col min="4" max="4" width="9.109375" style="2" customWidth="1"/>
    <col min="5" max="5" width="116.44140625" style="2" customWidth="1"/>
    <col min="6" max="6" width="1.77734375" style="2" customWidth="1"/>
    <col min="7" max="16384" width="9.109375" style="2"/>
  </cols>
  <sheetData>
    <row r="1" spans="2:6" ht="5.0999999999999996" customHeight="1" x14ac:dyDescent="0.3"/>
    <row r="2" spans="2:6" ht="38.25" customHeight="1" x14ac:dyDescent="0.3">
      <c r="B2" s="574" t="s">
        <v>17</v>
      </c>
      <c r="C2" s="575"/>
      <c r="D2" s="575"/>
      <c r="E2" s="575"/>
      <c r="F2" s="575"/>
    </row>
    <row r="3" spans="2:6" s="1" customFormat="1" ht="13.2" x14ac:dyDescent="0.25">
      <c r="B3" s="442"/>
      <c r="C3" s="443"/>
      <c r="D3" s="443"/>
      <c r="E3" s="443"/>
      <c r="F3" s="444"/>
    </row>
    <row r="4" spans="2:6" s="1" customFormat="1" ht="25.5" customHeight="1" x14ac:dyDescent="0.25">
      <c r="B4" s="445"/>
      <c r="C4" s="576" t="s">
        <v>18</v>
      </c>
      <c r="D4" s="576"/>
      <c r="E4" s="576"/>
      <c r="F4" s="446"/>
    </row>
    <row r="5" spans="2:6" s="1" customFormat="1" ht="13.2" x14ac:dyDescent="0.25">
      <c r="B5" s="445"/>
      <c r="C5" s="447"/>
      <c r="D5" s="447"/>
      <c r="E5" s="448"/>
      <c r="F5" s="446"/>
    </row>
    <row r="6" spans="2:6" s="1" customFormat="1" ht="14.4" x14ac:dyDescent="0.25">
      <c r="B6" s="445"/>
      <c r="C6" s="573" t="s">
        <v>19</v>
      </c>
      <c r="D6" s="573"/>
      <c r="E6" s="573"/>
      <c r="F6" s="446"/>
    </row>
    <row r="7" spans="2:6" s="1" customFormat="1" ht="64.05" customHeight="1" x14ac:dyDescent="0.25">
      <c r="B7" s="445"/>
      <c r="C7" s="577" t="s">
        <v>20</v>
      </c>
      <c r="D7" s="577"/>
      <c r="E7" s="577"/>
      <c r="F7" s="446"/>
    </row>
    <row r="8" spans="2:6" s="1" customFormat="1" x14ac:dyDescent="0.3">
      <c r="B8" s="445"/>
      <c r="C8" s="331">
        <v>1</v>
      </c>
      <c r="D8" s="23" t="s">
        <v>21</v>
      </c>
      <c r="E8" s="23"/>
      <c r="F8" s="446"/>
    </row>
    <row r="9" spans="2:6" s="1" customFormat="1" x14ac:dyDescent="0.3">
      <c r="B9" s="445"/>
      <c r="C9" s="331">
        <v>2</v>
      </c>
      <c r="D9" s="23" t="s">
        <v>22</v>
      </c>
      <c r="E9" s="23"/>
      <c r="F9" s="446"/>
    </row>
    <row r="10" spans="2:6" s="1" customFormat="1" x14ac:dyDescent="0.3">
      <c r="B10" s="445"/>
      <c r="C10" s="331">
        <v>3</v>
      </c>
      <c r="D10" s="23" t="s">
        <v>23</v>
      </c>
      <c r="E10" s="23"/>
      <c r="F10" s="446"/>
    </row>
    <row r="11" spans="2:6" s="1" customFormat="1" ht="13.2" x14ac:dyDescent="0.25">
      <c r="B11" s="445"/>
      <c r="C11" s="448"/>
      <c r="D11" s="448"/>
      <c r="E11" s="448"/>
      <c r="F11" s="446"/>
    </row>
    <row r="12" spans="2:6" s="1" customFormat="1" ht="44.25" customHeight="1" x14ac:dyDescent="0.25">
      <c r="B12" s="445"/>
      <c r="C12" s="571" t="s">
        <v>24</v>
      </c>
      <c r="D12" s="571"/>
      <c r="E12" s="571"/>
      <c r="F12" s="446"/>
    </row>
    <row r="13" spans="2:6" s="1" customFormat="1" ht="13.2" x14ac:dyDescent="0.25">
      <c r="B13" s="445"/>
      <c r="C13" s="448"/>
      <c r="D13" s="448"/>
      <c r="E13" s="448"/>
      <c r="F13" s="446"/>
    </row>
    <row r="14" spans="2:6" s="1" customFormat="1" x14ac:dyDescent="0.3">
      <c r="B14" s="445"/>
      <c r="C14" s="449"/>
      <c r="D14" s="344"/>
      <c r="E14" s="323" t="s">
        <v>25</v>
      </c>
      <c r="F14" s="446"/>
    </row>
    <row r="15" spans="2:6" s="1" customFormat="1" x14ac:dyDescent="0.3">
      <c r="B15" s="445"/>
      <c r="C15" s="449"/>
      <c r="D15" s="450"/>
      <c r="E15" s="323" t="s">
        <v>26</v>
      </c>
      <c r="F15" s="446"/>
    </row>
    <row r="16" spans="2:6" s="1" customFormat="1" x14ac:dyDescent="0.3">
      <c r="B16" s="445"/>
      <c r="C16" s="449"/>
      <c r="D16" s="332"/>
      <c r="E16" s="323" t="s">
        <v>27</v>
      </c>
      <c r="F16" s="446"/>
    </row>
    <row r="17" spans="2:6" s="1" customFormat="1" ht="13.2" x14ac:dyDescent="0.25">
      <c r="B17" s="445"/>
      <c r="C17" s="448"/>
      <c r="D17" s="448"/>
      <c r="E17" s="448"/>
      <c r="F17" s="446"/>
    </row>
    <row r="18" spans="2:6" s="1" customFormat="1" ht="13.2" x14ac:dyDescent="0.25">
      <c r="B18" s="445"/>
      <c r="C18" s="572" t="s">
        <v>28</v>
      </c>
      <c r="D18" s="572"/>
      <c r="E18" s="572"/>
      <c r="F18" s="446"/>
    </row>
    <row r="19" spans="2:6" s="1" customFormat="1" ht="13.2" x14ac:dyDescent="0.25">
      <c r="B19" s="445"/>
      <c r="C19" s="324"/>
      <c r="D19" s="324"/>
      <c r="E19" s="324"/>
      <c r="F19" s="446"/>
    </row>
    <row r="20" spans="2:6" s="1" customFormat="1" ht="30" customHeight="1" x14ac:dyDescent="0.25">
      <c r="B20" s="445"/>
      <c r="C20" s="578" t="s">
        <v>29</v>
      </c>
      <c r="D20" s="578"/>
      <c r="E20" s="578"/>
      <c r="F20" s="446"/>
    </row>
    <row r="21" spans="2:6" s="1" customFormat="1" ht="13.2" x14ac:dyDescent="0.25">
      <c r="B21" s="445"/>
      <c r="C21" s="324"/>
      <c r="D21" s="324"/>
      <c r="E21" s="324"/>
      <c r="F21" s="446"/>
    </row>
    <row r="22" spans="2:6" s="1" customFormat="1" ht="14.4" x14ac:dyDescent="0.25">
      <c r="B22" s="445"/>
      <c r="C22" s="573" t="s">
        <v>30</v>
      </c>
      <c r="D22" s="573"/>
      <c r="E22" s="573"/>
      <c r="F22" s="446"/>
    </row>
    <row r="23" spans="2:6" s="1" customFormat="1" ht="19.05" customHeight="1" x14ac:dyDescent="0.25">
      <c r="B23" s="21"/>
      <c r="C23" s="325" t="s">
        <v>31</v>
      </c>
      <c r="D23" s="24"/>
      <c r="E23" s="25"/>
      <c r="F23" s="446"/>
    </row>
    <row r="24" spans="2:6" s="1" customFormat="1" x14ac:dyDescent="0.3">
      <c r="B24" s="22"/>
      <c r="C24" s="331">
        <v>1</v>
      </c>
      <c r="D24" s="23" t="s">
        <v>32</v>
      </c>
      <c r="E24" s="23"/>
      <c r="F24" s="446"/>
    </row>
    <row r="25" spans="2:6" s="1" customFormat="1" x14ac:dyDescent="0.3">
      <c r="B25" s="22"/>
      <c r="C25" s="333"/>
      <c r="D25" s="328" t="s">
        <v>33</v>
      </c>
      <c r="E25" s="394" t="s">
        <v>34</v>
      </c>
      <c r="F25" s="446"/>
    </row>
    <row r="26" spans="2:6" s="1" customFormat="1" x14ac:dyDescent="0.3">
      <c r="B26" s="22"/>
      <c r="C26" s="333"/>
      <c r="D26" s="328" t="s">
        <v>35</v>
      </c>
      <c r="E26" s="326" t="s">
        <v>36</v>
      </c>
      <c r="F26" s="446"/>
    </row>
    <row r="27" spans="2:6" s="1" customFormat="1" x14ac:dyDescent="0.3">
      <c r="B27" s="22"/>
      <c r="C27" s="333"/>
      <c r="D27" s="328"/>
      <c r="E27" s="329" t="s">
        <v>37</v>
      </c>
      <c r="F27" s="446"/>
    </row>
    <row r="28" spans="2:6" s="1" customFormat="1" x14ac:dyDescent="0.3">
      <c r="B28" s="22"/>
      <c r="C28" s="333"/>
      <c r="D28" s="328" t="s">
        <v>38</v>
      </c>
      <c r="E28" s="326" t="s">
        <v>39</v>
      </c>
      <c r="F28" s="446"/>
    </row>
    <row r="29" spans="2:6" s="1" customFormat="1" x14ac:dyDescent="0.3">
      <c r="B29" s="22"/>
      <c r="C29" s="333"/>
      <c r="D29" s="328"/>
      <c r="E29" s="329" t="s">
        <v>40</v>
      </c>
      <c r="F29" s="446"/>
    </row>
    <row r="30" spans="2:6" s="1" customFormat="1" x14ac:dyDescent="0.3">
      <c r="B30" s="22"/>
      <c r="C30" s="333"/>
      <c r="D30" s="328" t="s">
        <v>41</v>
      </c>
      <c r="E30" s="326" t="s">
        <v>42</v>
      </c>
      <c r="F30" s="446"/>
    </row>
    <row r="31" spans="2:6" s="1" customFormat="1" x14ac:dyDescent="0.3">
      <c r="B31" s="22"/>
      <c r="C31" s="333"/>
      <c r="D31" s="328" t="s">
        <v>43</v>
      </c>
      <c r="E31" s="326" t="s">
        <v>44</v>
      </c>
      <c r="F31" s="446"/>
    </row>
    <row r="32" spans="2:6" s="1" customFormat="1" x14ac:dyDescent="0.3">
      <c r="B32" s="22"/>
      <c r="C32" s="333"/>
      <c r="D32" s="328"/>
      <c r="E32" s="329" t="s">
        <v>45</v>
      </c>
      <c r="F32" s="446"/>
    </row>
    <row r="33" spans="2:6" s="1" customFormat="1" x14ac:dyDescent="0.3">
      <c r="B33" s="22"/>
      <c r="C33" s="333"/>
      <c r="D33" s="328"/>
      <c r="E33" s="329" t="s">
        <v>46</v>
      </c>
      <c r="F33" s="446"/>
    </row>
    <row r="34" spans="2:6" s="1" customFormat="1" x14ac:dyDescent="0.3">
      <c r="B34" s="22"/>
      <c r="C34" s="331">
        <v>2</v>
      </c>
      <c r="D34" s="23" t="s">
        <v>47</v>
      </c>
      <c r="E34" s="24"/>
      <c r="F34" s="446"/>
    </row>
    <row r="35" spans="2:6" s="1" customFormat="1" x14ac:dyDescent="0.3">
      <c r="B35" s="22"/>
      <c r="C35" s="333"/>
      <c r="D35" s="328" t="s">
        <v>33</v>
      </c>
      <c r="E35" s="327" t="s">
        <v>48</v>
      </c>
      <c r="F35" s="446"/>
    </row>
    <row r="36" spans="2:6" s="1" customFormat="1" x14ac:dyDescent="0.3">
      <c r="B36" s="22"/>
      <c r="C36" s="333"/>
      <c r="D36" s="328"/>
      <c r="E36" s="329" t="s">
        <v>49</v>
      </c>
      <c r="F36" s="446"/>
    </row>
    <row r="37" spans="2:6" s="1" customFormat="1" x14ac:dyDescent="0.3">
      <c r="B37" s="22"/>
      <c r="C37" s="333"/>
      <c r="D37" s="328" t="s">
        <v>35</v>
      </c>
      <c r="E37" s="326" t="s">
        <v>50</v>
      </c>
      <c r="F37" s="446"/>
    </row>
    <row r="38" spans="2:6" s="1" customFormat="1" x14ac:dyDescent="0.3">
      <c r="B38" s="22"/>
      <c r="C38" s="333"/>
      <c r="D38" s="328"/>
      <c r="E38" s="329" t="s">
        <v>51</v>
      </c>
      <c r="F38" s="446"/>
    </row>
    <row r="39" spans="2:6" s="1" customFormat="1" x14ac:dyDescent="0.3">
      <c r="B39" s="22"/>
      <c r="C39" s="333"/>
      <c r="D39" s="328" t="s">
        <v>38</v>
      </c>
      <c r="E39" s="326" t="s">
        <v>52</v>
      </c>
      <c r="F39" s="446"/>
    </row>
    <row r="40" spans="2:6" s="1" customFormat="1" x14ac:dyDescent="0.3">
      <c r="B40" s="22"/>
      <c r="C40" s="333"/>
      <c r="D40" s="328"/>
      <c r="E40" s="329" t="s">
        <v>53</v>
      </c>
      <c r="F40" s="446"/>
    </row>
    <row r="41" spans="2:6" s="1" customFormat="1" x14ac:dyDescent="0.3">
      <c r="B41" s="22"/>
      <c r="C41" s="333"/>
      <c r="D41" s="328"/>
      <c r="E41" s="329" t="s">
        <v>54</v>
      </c>
      <c r="F41" s="446"/>
    </row>
    <row r="42" spans="2:6" s="1" customFormat="1" x14ac:dyDescent="0.3">
      <c r="B42" s="22"/>
      <c r="C42" s="333"/>
      <c r="D42" s="328"/>
      <c r="E42" s="329" t="s">
        <v>55</v>
      </c>
      <c r="F42" s="446"/>
    </row>
    <row r="43" spans="2:6" s="1" customFormat="1" x14ac:dyDescent="0.3">
      <c r="B43" s="22"/>
      <c r="C43" s="333"/>
      <c r="D43" s="328" t="s">
        <v>41</v>
      </c>
      <c r="E43" s="326" t="s">
        <v>56</v>
      </c>
      <c r="F43" s="446"/>
    </row>
    <row r="44" spans="2:6" s="1" customFormat="1" x14ac:dyDescent="0.3">
      <c r="B44" s="22"/>
      <c r="C44" s="333"/>
      <c r="D44" s="328" t="s">
        <v>43</v>
      </c>
      <c r="E44" s="326" t="s">
        <v>57</v>
      </c>
      <c r="F44" s="446"/>
    </row>
    <row r="45" spans="2:6" s="1" customFormat="1" x14ac:dyDescent="0.3">
      <c r="B45" s="22"/>
      <c r="C45" s="331">
        <v>3</v>
      </c>
      <c r="D45" s="579" t="s">
        <v>58</v>
      </c>
      <c r="E45" s="579"/>
      <c r="F45" s="580"/>
    </row>
    <row r="46" spans="2:6" s="1" customFormat="1" x14ac:dyDescent="0.3">
      <c r="B46" s="22"/>
      <c r="C46" s="333"/>
      <c r="D46" s="328" t="s">
        <v>33</v>
      </c>
      <c r="E46" s="327" t="s">
        <v>59</v>
      </c>
      <c r="F46" s="446"/>
    </row>
    <row r="47" spans="2:6" s="1" customFormat="1" ht="13.2" x14ac:dyDescent="0.25">
      <c r="B47" s="22"/>
      <c r="C47" s="24"/>
      <c r="D47" s="24"/>
      <c r="E47" s="329" t="s">
        <v>60</v>
      </c>
      <c r="F47" s="446"/>
    </row>
    <row r="48" spans="2:6" s="1" customFormat="1" ht="13.2" x14ac:dyDescent="0.25">
      <c r="B48" s="22"/>
      <c r="C48" s="24"/>
      <c r="D48" s="24"/>
      <c r="E48" s="24"/>
      <c r="F48" s="446"/>
    </row>
    <row r="49" spans="2:6" s="1" customFormat="1" ht="14.4" x14ac:dyDescent="0.25">
      <c r="B49" s="22"/>
      <c r="C49" s="573" t="s">
        <v>61</v>
      </c>
      <c r="D49" s="573"/>
      <c r="E49" s="573"/>
      <c r="F49" s="446"/>
    </row>
    <row r="50" spans="2:6" s="1" customFormat="1" ht="13.2" x14ac:dyDescent="0.25">
      <c r="B50" s="22"/>
      <c r="C50" s="26" t="s">
        <v>62</v>
      </c>
      <c r="D50" s="26"/>
      <c r="E50" s="24"/>
      <c r="F50" s="446"/>
    </row>
    <row r="51" spans="2:6" s="1" customFormat="1" ht="25.5" customHeight="1" x14ac:dyDescent="0.25">
      <c r="B51" s="22"/>
      <c r="C51" s="578" t="s">
        <v>63</v>
      </c>
      <c r="D51" s="578"/>
      <c r="E51" s="578"/>
      <c r="F51" s="446"/>
    </row>
    <row r="52" spans="2:6" s="1" customFormat="1" ht="13.2" x14ac:dyDescent="0.25">
      <c r="B52" s="22"/>
      <c r="C52" s="24"/>
      <c r="D52" s="24"/>
      <c r="E52" s="24"/>
      <c r="F52" s="446"/>
    </row>
    <row r="53" spans="2:6" s="1" customFormat="1" ht="13.2" x14ac:dyDescent="0.25">
      <c r="B53" s="22"/>
      <c r="C53" s="26" t="s">
        <v>64</v>
      </c>
      <c r="D53" s="26"/>
      <c r="E53" s="24"/>
      <c r="F53" s="446"/>
    </row>
    <row r="54" spans="2:6" s="1" customFormat="1" ht="18" customHeight="1" x14ac:dyDescent="0.25">
      <c r="B54" s="22"/>
      <c r="C54" s="330" t="s">
        <v>65</v>
      </c>
      <c r="D54" s="24"/>
      <c r="E54" s="24"/>
      <c r="F54" s="446"/>
    </row>
    <row r="55" spans="2:6" s="1" customFormat="1" ht="10.050000000000001" customHeight="1" x14ac:dyDescent="0.25">
      <c r="B55" s="22"/>
      <c r="C55" s="24"/>
      <c r="D55" s="24"/>
      <c r="E55" s="24"/>
      <c r="F55" s="446"/>
    </row>
    <row r="56" spans="2:6" s="1" customFormat="1" ht="13.2" x14ac:dyDescent="0.25">
      <c r="B56" s="22"/>
      <c r="C56" s="26" t="s">
        <v>66</v>
      </c>
      <c r="D56" s="26"/>
      <c r="E56" s="448"/>
      <c r="F56" s="446"/>
    </row>
    <row r="57" spans="2:6" s="1" customFormat="1" ht="18" customHeight="1" x14ac:dyDescent="0.25">
      <c r="B57" s="445"/>
      <c r="C57" s="325" t="s">
        <v>67</v>
      </c>
      <c r="D57" s="24"/>
      <c r="E57" s="448"/>
      <c r="F57" s="446"/>
    </row>
    <row r="58" spans="2:6" s="1" customFormat="1" x14ac:dyDescent="0.3">
      <c r="B58" s="21"/>
      <c r="C58" s="331">
        <v>1</v>
      </c>
      <c r="D58" s="451" t="str">
        <f>Cost!B4</f>
        <v>Planning / Design</v>
      </c>
      <c r="E58" s="25"/>
      <c r="F58" s="446"/>
    </row>
    <row r="59" spans="2:6" s="1" customFormat="1" x14ac:dyDescent="0.3">
      <c r="B59" s="22"/>
      <c r="C59" s="331">
        <v>2</v>
      </c>
      <c r="D59" s="451" t="str">
        <f>Cost!C4</f>
        <v>Marketing &amp; Delivery</v>
      </c>
      <c r="E59" s="24"/>
      <c r="F59" s="446"/>
    </row>
    <row r="60" spans="2:6" s="1" customFormat="1" x14ac:dyDescent="0.3">
      <c r="B60" s="22"/>
      <c r="C60" s="331">
        <v>3</v>
      </c>
      <c r="D60" s="451" t="str">
        <f>Cost!B14</f>
        <v>Incentives / Direct Install Costs</v>
      </c>
      <c r="E60" s="24"/>
      <c r="F60" s="446"/>
    </row>
    <row r="61" spans="2:6" s="1" customFormat="1" x14ac:dyDescent="0.3">
      <c r="B61" s="22"/>
      <c r="C61" s="331">
        <v>4</v>
      </c>
      <c r="D61" s="451" t="str">
        <f>Cost!C19</f>
        <v>EM&amp;V</v>
      </c>
      <c r="E61" s="24"/>
      <c r="F61" s="446"/>
    </row>
    <row r="62" spans="2:6" s="1" customFormat="1" x14ac:dyDescent="0.3">
      <c r="B62" s="445"/>
      <c r="C62" s="331">
        <v>5</v>
      </c>
      <c r="D62" s="451" t="str">
        <f>Cost!B25</f>
        <v>Administration</v>
      </c>
      <c r="E62" s="448"/>
      <c r="F62" s="446"/>
    </row>
    <row r="63" spans="2:6" s="1" customFormat="1" x14ac:dyDescent="0.3">
      <c r="B63" s="21"/>
      <c r="C63" s="331">
        <v>6</v>
      </c>
      <c r="D63" s="451" t="str">
        <f>Cost!C25</f>
        <v>Regulatory</v>
      </c>
      <c r="E63" s="25"/>
      <c r="F63" s="446"/>
    </row>
    <row r="64" spans="2:6" s="1" customFormat="1" ht="13.2" x14ac:dyDescent="0.25">
      <c r="B64" s="334"/>
      <c r="C64" s="335"/>
      <c r="D64" s="335"/>
      <c r="E64" s="335"/>
      <c r="F64" s="452"/>
    </row>
    <row r="65" spans="2:5" s="1" customFormat="1" ht="13.2" x14ac:dyDescent="0.25">
      <c r="B65" s="448"/>
      <c r="C65" s="448"/>
      <c r="D65" s="448"/>
      <c r="E65" s="448"/>
    </row>
  </sheetData>
  <sheetProtection password="C925" sheet="1" objects="1" scenarios="1"/>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7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1:R27"/>
  <sheetViews>
    <sheetView showGridLines="0" topLeftCell="A2" zoomScaleNormal="100" workbookViewId="0">
      <selection activeCell="N5" sqref="N5"/>
    </sheetView>
  </sheetViews>
  <sheetFormatPr defaultColWidth="9.109375" defaultRowHeight="13.8" x14ac:dyDescent="0.3"/>
  <cols>
    <col min="1" max="1" width="1" style="2" customWidth="1"/>
    <col min="2" max="2" width="4" style="2" customWidth="1"/>
    <col min="3" max="3" width="35.77734375" style="2" customWidth="1"/>
    <col min="4" max="4" width="11.21875" style="2" customWidth="1"/>
    <col min="5" max="5" width="9.77734375" style="2" customWidth="1"/>
    <col min="6" max="6" width="11.21875" style="2" customWidth="1"/>
    <col min="7" max="7" width="9.77734375" style="2" customWidth="1"/>
    <col min="8" max="8" width="11.21875" style="2" customWidth="1"/>
    <col min="9" max="9" width="9.77734375" style="2" customWidth="1"/>
    <col min="10" max="10" width="11.21875" style="2" customWidth="1"/>
    <col min="11" max="11" width="9.77734375" style="2" customWidth="1"/>
    <col min="12" max="12" width="9.21875" style="2" customWidth="1"/>
    <col min="13" max="13" width="1" style="2" customWidth="1"/>
    <col min="14" max="14" width="9.109375" style="2"/>
    <col min="15" max="15" width="0" style="2" hidden="1" customWidth="1"/>
    <col min="16" max="16384" width="9.109375" style="2"/>
  </cols>
  <sheetData>
    <row r="1" spans="2:18" ht="5.0999999999999996" customHeight="1" thickBot="1" x14ac:dyDescent="0.35"/>
    <row r="2" spans="2:18" ht="38.25" customHeight="1" thickBot="1" x14ac:dyDescent="0.35">
      <c r="B2" s="561" t="s">
        <v>284</v>
      </c>
      <c r="C2" s="561"/>
      <c r="D2" s="561"/>
      <c r="E2" s="561"/>
      <c r="F2" s="561"/>
      <c r="G2" s="561"/>
      <c r="H2" s="561"/>
      <c r="I2" s="561"/>
      <c r="J2" s="561"/>
      <c r="K2" s="561"/>
      <c r="L2" s="561"/>
    </row>
    <row r="3" spans="2:18" ht="21" customHeight="1" thickBot="1" x14ac:dyDescent="0.35">
      <c r="B3" s="456"/>
      <c r="C3" s="339" t="str">
        <f>IF(O27&gt;0,"Incomplete - All 'yellow' shaded cells must be completed.","")</f>
        <v/>
      </c>
      <c r="D3" s="336"/>
      <c r="E3" s="336"/>
      <c r="F3" s="336"/>
      <c r="G3" s="336"/>
      <c r="H3" s="336"/>
      <c r="I3" s="336"/>
      <c r="J3" s="336"/>
      <c r="K3" s="336"/>
      <c r="L3" s="457"/>
      <c r="N3"/>
      <c r="O3"/>
      <c r="P3"/>
      <c r="Q3"/>
      <c r="R3"/>
    </row>
    <row r="4" spans="2:18" ht="24.75" customHeight="1" x14ac:dyDescent="0.3">
      <c r="B4" s="19"/>
      <c r="C4" s="9"/>
      <c r="D4" s="558" t="s">
        <v>285</v>
      </c>
      <c r="E4" s="560"/>
      <c r="F4" s="558" t="s">
        <v>286</v>
      </c>
      <c r="G4" s="560"/>
      <c r="H4" s="558" t="s">
        <v>287</v>
      </c>
      <c r="I4" s="560"/>
      <c r="J4" s="558" t="s">
        <v>288</v>
      </c>
      <c r="K4" s="559"/>
      <c r="L4" s="4"/>
      <c r="N4"/>
      <c r="O4"/>
      <c r="P4"/>
      <c r="Q4"/>
      <c r="R4"/>
    </row>
    <row r="5" spans="2:18" ht="27.6" x14ac:dyDescent="0.3">
      <c r="B5" s="8"/>
      <c r="C5" s="9" t="s">
        <v>82</v>
      </c>
      <c r="D5" s="97" t="s">
        <v>289</v>
      </c>
      <c r="E5" s="98" t="s">
        <v>223</v>
      </c>
      <c r="F5" s="97" t="s">
        <v>289</v>
      </c>
      <c r="G5" s="98" t="s">
        <v>223</v>
      </c>
      <c r="H5" s="97" t="s">
        <v>289</v>
      </c>
      <c r="I5" s="98" t="s">
        <v>223</v>
      </c>
      <c r="J5" s="97" t="s">
        <v>289</v>
      </c>
      <c r="K5" s="98" t="s">
        <v>223</v>
      </c>
      <c r="L5" s="4"/>
      <c r="N5" s="710"/>
      <c r="O5"/>
      <c r="P5"/>
      <c r="Q5"/>
      <c r="R5"/>
    </row>
    <row r="6" spans="2:18" ht="12.75" customHeight="1" x14ac:dyDescent="0.3">
      <c r="B6" s="259">
        <v>1</v>
      </c>
      <c r="C6" s="260" t="str">
        <f>'Program Descriptions'!D5</f>
        <v>Residential Products</v>
      </c>
      <c r="D6" s="55">
        <v>1.8</v>
      </c>
      <c r="E6" s="99">
        <v>2.4300000000000002</v>
      </c>
      <c r="F6" s="55">
        <v>1.3</v>
      </c>
      <c r="G6" s="99">
        <v>0.51</v>
      </c>
      <c r="H6" s="55">
        <v>1.3089999999999999</v>
      </c>
      <c r="I6" s="99">
        <v>4.3600000000000003</v>
      </c>
      <c r="J6" s="55" t="s">
        <v>112</v>
      </c>
      <c r="K6" s="99" t="s">
        <v>112</v>
      </c>
      <c r="L6" s="4"/>
      <c r="N6"/>
      <c r="O6"/>
      <c r="P6"/>
      <c r="Q6"/>
      <c r="R6"/>
    </row>
    <row r="7" spans="2:18" ht="12.75" customHeight="1" x14ac:dyDescent="0.3">
      <c r="B7" s="259">
        <v>2</v>
      </c>
      <c r="C7" s="260" t="str">
        <f>'Program Descriptions'!D6</f>
        <v>School-Based Energy Education</v>
      </c>
      <c r="D7" s="55">
        <v>115</v>
      </c>
      <c r="E7" s="99">
        <v>49.15</v>
      </c>
      <c r="F7" s="55">
        <v>93</v>
      </c>
      <c r="G7" s="99">
        <v>1.35</v>
      </c>
      <c r="H7" s="55">
        <v>44</v>
      </c>
      <c r="I7" s="99">
        <v>0</v>
      </c>
      <c r="J7" s="55" t="s">
        <v>112</v>
      </c>
      <c r="K7" s="99" t="s">
        <v>112</v>
      </c>
      <c r="L7" s="4"/>
      <c r="O7" s="321"/>
    </row>
    <row r="8" spans="2:18" ht="12.6" customHeight="1" x14ac:dyDescent="0.3">
      <c r="B8" s="259">
        <v>3</v>
      </c>
      <c r="C8" s="260" t="str">
        <f>'Program Descriptions'!D7</f>
        <v>Weatherization</v>
      </c>
      <c r="D8" s="55">
        <v>0</v>
      </c>
      <c r="E8" s="99">
        <v>0</v>
      </c>
      <c r="F8" s="55">
        <v>0</v>
      </c>
      <c r="G8" s="99">
        <v>0</v>
      </c>
      <c r="H8" s="55">
        <v>0</v>
      </c>
      <c r="I8" s="99">
        <v>0</v>
      </c>
      <c r="J8" s="55" t="s">
        <v>112</v>
      </c>
      <c r="K8" s="99" t="s">
        <v>112</v>
      </c>
      <c r="L8" s="4"/>
      <c r="O8" s="321"/>
    </row>
    <row r="9" spans="2:18" ht="12.75" customHeight="1" x14ac:dyDescent="0.3">
      <c r="B9" s="259">
        <v>4</v>
      </c>
      <c r="C9" s="260" t="str">
        <f>'Program Descriptions'!D8</f>
        <v>Commercial and Industrial (Custom)</v>
      </c>
      <c r="D9" s="55">
        <v>0</v>
      </c>
      <c r="E9" s="99">
        <v>0</v>
      </c>
      <c r="F9" s="55">
        <v>0</v>
      </c>
      <c r="G9" s="99">
        <v>0</v>
      </c>
      <c r="H9" s="55">
        <v>0</v>
      </c>
      <c r="I9" s="99">
        <v>0</v>
      </c>
      <c r="J9" s="55">
        <v>0</v>
      </c>
      <c r="K9" s="99">
        <v>0</v>
      </c>
      <c r="L9" s="4"/>
      <c r="O9" s="321">
        <f>IF(C9="Empty",0,IF(OR(ISBLANK(#REF!),ISBLANK(#REF!),ISBLANK(#REF!),ISBLANK(#REF!),ISBLANK(#REF!),ISBLANK(#REF!),ISBLANK(J9),ISBLANK(K9)),1,0))</f>
        <v>0</v>
      </c>
    </row>
    <row r="10" spans="2:18" ht="12.75" customHeight="1" x14ac:dyDescent="0.3">
      <c r="B10" s="259">
        <v>5</v>
      </c>
      <c r="C10" s="260" t="str">
        <f>'Program Descriptions'!D9</f>
        <v>Commercial and Industrial (Prescriptive)</v>
      </c>
      <c r="D10" s="55">
        <v>0</v>
      </c>
      <c r="E10" s="99">
        <v>0</v>
      </c>
      <c r="F10" s="55">
        <v>0</v>
      </c>
      <c r="G10" s="99">
        <v>0</v>
      </c>
      <c r="H10" s="55">
        <v>0</v>
      </c>
      <c r="I10" s="99">
        <v>0</v>
      </c>
      <c r="J10" s="55">
        <v>0</v>
      </c>
      <c r="K10" s="99">
        <v>0</v>
      </c>
      <c r="L10" s="4"/>
      <c r="O10" s="321">
        <f t="shared" ref="O10:O26" si="0">IF(C10="Empty",0,IF(OR(ISBLANK(D10),ISBLANK(E10),ISBLANK(F10),ISBLANK(G10),ISBLANK(H10),ISBLANK(I10),ISBLANK(J10),ISBLANK(K10)),1,0))</f>
        <v>0</v>
      </c>
    </row>
    <row r="11" spans="2:18" ht="12.75" customHeight="1" x14ac:dyDescent="0.3">
      <c r="B11" s="259">
        <v>6</v>
      </c>
      <c r="C11" s="260" t="str">
        <f>'Program Descriptions'!D10</f>
        <v>Online Energy Calculator</v>
      </c>
      <c r="D11" s="55">
        <v>0</v>
      </c>
      <c r="E11" s="99">
        <v>0</v>
      </c>
      <c r="F11" s="55">
        <v>0</v>
      </c>
      <c r="G11" s="99">
        <v>0</v>
      </c>
      <c r="H11" s="546">
        <v>0</v>
      </c>
      <c r="I11" s="99">
        <v>0</v>
      </c>
      <c r="J11" s="55">
        <v>0</v>
      </c>
      <c r="K11" s="99">
        <v>0</v>
      </c>
      <c r="L11" s="4"/>
      <c r="O11" s="321">
        <f t="shared" si="0"/>
        <v>0</v>
      </c>
    </row>
    <row r="12" spans="2:18" ht="12.75" customHeight="1" x14ac:dyDescent="0.3">
      <c r="B12" s="259">
        <v>7</v>
      </c>
      <c r="C12" s="260" t="str">
        <f>'Program Descriptions'!D11</f>
        <v>Administration</v>
      </c>
      <c r="D12" s="55">
        <v>0</v>
      </c>
      <c r="E12" s="99">
        <v>0</v>
      </c>
      <c r="F12" s="55">
        <v>0</v>
      </c>
      <c r="G12" s="99">
        <v>0</v>
      </c>
      <c r="H12" s="55">
        <v>0</v>
      </c>
      <c r="I12" s="99">
        <v>1.864375849541303</v>
      </c>
      <c r="J12" s="55">
        <v>0</v>
      </c>
      <c r="K12" s="99">
        <v>0</v>
      </c>
      <c r="L12" s="4"/>
      <c r="O12" s="321">
        <f t="shared" si="0"/>
        <v>0</v>
      </c>
    </row>
    <row r="13" spans="2:18" ht="12.6" customHeight="1" x14ac:dyDescent="0.3">
      <c r="B13" s="259">
        <v>8</v>
      </c>
      <c r="C13" s="260" t="str">
        <f>'Program Descriptions'!D12</f>
        <v>Marketing</v>
      </c>
      <c r="D13" s="55">
        <v>0</v>
      </c>
      <c r="E13" s="99">
        <v>0</v>
      </c>
      <c r="F13" s="55">
        <v>0</v>
      </c>
      <c r="G13" s="99">
        <v>0</v>
      </c>
      <c r="H13" s="55">
        <v>0</v>
      </c>
      <c r="I13" s="99">
        <v>0</v>
      </c>
      <c r="J13" s="55">
        <v>0</v>
      </c>
      <c r="K13" s="99">
        <v>0</v>
      </c>
      <c r="L13" s="4"/>
      <c r="O13" s="321">
        <f t="shared" si="0"/>
        <v>0</v>
      </c>
    </row>
    <row r="14" spans="2:18" ht="12.75" customHeight="1" x14ac:dyDescent="0.3">
      <c r="B14" s="259">
        <v>9</v>
      </c>
      <c r="C14" s="260" t="str">
        <f>'Program Descriptions'!D13</f>
        <v>EM&amp;V</v>
      </c>
      <c r="D14" s="55">
        <v>0</v>
      </c>
      <c r="E14" s="99">
        <v>0</v>
      </c>
      <c r="F14" s="55">
        <v>0</v>
      </c>
      <c r="G14" s="99">
        <v>0</v>
      </c>
      <c r="H14" s="55">
        <v>0</v>
      </c>
      <c r="I14" s="99">
        <v>0</v>
      </c>
      <c r="J14" s="55">
        <v>0</v>
      </c>
      <c r="K14" s="99">
        <v>0</v>
      </c>
      <c r="L14" s="4"/>
      <c r="O14" s="321">
        <f t="shared" si="0"/>
        <v>0</v>
      </c>
    </row>
    <row r="15" spans="2:18" ht="12.75" customHeight="1" x14ac:dyDescent="0.3">
      <c r="B15" s="259">
        <v>10</v>
      </c>
      <c r="C15" s="260">
        <f>'Program Descriptions'!D14</f>
        <v>0</v>
      </c>
      <c r="D15" s="55">
        <v>0</v>
      </c>
      <c r="E15" s="99">
        <v>0</v>
      </c>
      <c r="F15" s="55">
        <v>0</v>
      </c>
      <c r="G15" s="99">
        <v>0</v>
      </c>
      <c r="H15" s="55">
        <v>0</v>
      </c>
      <c r="I15" s="99">
        <v>0</v>
      </c>
      <c r="J15" s="55">
        <v>0</v>
      </c>
      <c r="K15" s="99">
        <v>0</v>
      </c>
      <c r="L15" s="4"/>
      <c r="O15" s="321">
        <f t="shared" si="0"/>
        <v>0</v>
      </c>
    </row>
    <row r="16" spans="2:18" ht="12.75" customHeight="1" x14ac:dyDescent="0.3">
      <c r="B16" s="259">
        <v>11</v>
      </c>
      <c r="C16" s="260">
        <f>'Program Descriptions'!D15</f>
        <v>0</v>
      </c>
      <c r="D16" s="55">
        <v>0</v>
      </c>
      <c r="E16" s="99">
        <v>0</v>
      </c>
      <c r="F16" s="55">
        <v>0</v>
      </c>
      <c r="G16" s="99">
        <v>0</v>
      </c>
      <c r="H16" s="55">
        <v>0</v>
      </c>
      <c r="I16" s="99">
        <v>0</v>
      </c>
      <c r="J16" s="55">
        <v>0</v>
      </c>
      <c r="K16" s="99">
        <v>0</v>
      </c>
      <c r="L16" s="4"/>
      <c r="O16" s="321">
        <f t="shared" si="0"/>
        <v>0</v>
      </c>
    </row>
    <row r="17" spans="2:15" ht="12.75" customHeight="1" x14ac:dyDescent="0.3">
      <c r="B17" s="259">
        <v>12</v>
      </c>
      <c r="C17" s="260">
        <f>'Program Descriptions'!D16</f>
        <v>0</v>
      </c>
      <c r="D17" s="55">
        <v>0</v>
      </c>
      <c r="E17" s="99">
        <v>0</v>
      </c>
      <c r="F17" s="55">
        <v>0</v>
      </c>
      <c r="G17" s="99">
        <v>0</v>
      </c>
      <c r="H17" s="55">
        <v>0</v>
      </c>
      <c r="I17" s="99">
        <v>0</v>
      </c>
      <c r="J17" s="55">
        <v>0</v>
      </c>
      <c r="K17" s="99">
        <v>0</v>
      </c>
      <c r="L17" s="4"/>
      <c r="O17" s="321">
        <f t="shared" si="0"/>
        <v>0</v>
      </c>
    </row>
    <row r="18" spans="2:15" ht="12.75" customHeight="1" x14ac:dyDescent="0.3">
      <c r="B18" s="259">
        <v>13</v>
      </c>
      <c r="C18" s="260">
        <f>'Program Descriptions'!D17</f>
        <v>0</v>
      </c>
      <c r="D18" s="55">
        <v>0</v>
      </c>
      <c r="E18" s="99">
        <v>0</v>
      </c>
      <c r="F18" s="55">
        <v>0</v>
      </c>
      <c r="G18" s="99">
        <v>0</v>
      </c>
      <c r="H18" s="55">
        <v>0</v>
      </c>
      <c r="I18" s="99">
        <v>0</v>
      </c>
      <c r="J18" s="55">
        <v>0</v>
      </c>
      <c r="K18" s="99">
        <v>0</v>
      </c>
      <c r="L18" s="4"/>
      <c r="O18" s="321">
        <f t="shared" si="0"/>
        <v>0</v>
      </c>
    </row>
    <row r="19" spans="2:15" ht="12.75" customHeight="1" x14ac:dyDescent="0.3">
      <c r="B19" s="259">
        <v>14</v>
      </c>
      <c r="C19" s="260">
        <f>'Program Descriptions'!D18</f>
        <v>0</v>
      </c>
      <c r="D19" s="55">
        <v>0</v>
      </c>
      <c r="E19" s="99">
        <v>0</v>
      </c>
      <c r="F19" s="55">
        <v>0</v>
      </c>
      <c r="G19" s="99">
        <v>0</v>
      </c>
      <c r="H19" s="55">
        <v>0</v>
      </c>
      <c r="I19" s="99">
        <v>0</v>
      </c>
      <c r="J19" s="55">
        <v>0</v>
      </c>
      <c r="K19" s="99">
        <v>0</v>
      </c>
      <c r="L19" s="4"/>
      <c r="O19" s="321">
        <f t="shared" si="0"/>
        <v>0</v>
      </c>
    </row>
    <row r="20" spans="2:15" ht="12.75" customHeight="1" x14ac:dyDescent="0.3">
      <c r="B20" s="259">
        <v>15</v>
      </c>
      <c r="C20" s="260">
        <f>'Program Descriptions'!D19</f>
        <v>0</v>
      </c>
      <c r="D20" s="55">
        <v>0</v>
      </c>
      <c r="E20" s="99">
        <v>0</v>
      </c>
      <c r="F20" s="55">
        <v>0</v>
      </c>
      <c r="G20" s="99">
        <v>0</v>
      </c>
      <c r="H20" s="55">
        <v>0</v>
      </c>
      <c r="I20" s="99">
        <v>0</v>
      </c>
      <c r="J20" s="55">
        <v>0</v>
      </c>
      <c r="K20" s="99">
        <v>0</v>
      </c>
      <c r="L20" s="4"/>
      <c r="O20" s="321">
        <f t="shared" si="0"/>
        <v>0</v>
      </c>
    </row>
    <row r="21" spans="2:15" ht="12.75" customHeight="1" x14ac:dyDescent="0.3">
      <c r="B21" s="259">
        <v>16</v>
      </c>
      <c r="C21" s="260">
        <f>'Program Descriptions'!D20</f>
        <v>0</v>
      </c>
      <c r="D21" s="55">
        <v>0</v>
      </c>
      <c r="E21" s="99">
        <v>0</v>
      </c>
      <c r="F21" s="55">
        <v>0</v>
      </c>
      <c r="G21" s="99">
        <v>0</v>
      </c>
      <c r="H21" s="55">
        <v>0</v>
      </c>
      <c r="I21" s="99">
        <v>0</v>
      </c>
      <c r="J21" s="55">
        <v>0</v>
      </c>
      <c r="K21" s="99">
        <v>0</v>
      </c>
      <c r="L21" s="4"/>
      <c r="O21" s="321">
        <f t="shared" si="0"/>
        <v>0</v>
      </c>
    </row>
    <row r="22" spans="2:15" ht="12.75" customHeight="1" x14ac:dyDescent="0.3">
      <c r="B22" s="259">
        <v>17</v>
      </c>
      <c r="C22" s="260">
        <f>'Program Descriptions'!D21</f>
        <v>0</v>
      </c>
      <c r="D22" s="55">
        <v>0</v>
      </c>
      <c r="E22" s="99">
        <v>0</v>
      </c>
      <c r="F22" s="55">
        <v>0</v>
      </c>
      <c r="G22" s="99">
        <v>0</v>
      </c>
      <c r="H22" s="55">
        <v>0</v>
      </c>
      <c r="I22" s="99">
        <v>0</v>
      </c>
      <c r="J22" s="55">
        <v>0</v>
      </c>
      <c r="K22" s="99">
        <v>0</v>
      </c>
      <c r="L22" s="4"/>
      <c r="O22" s="321">
        <f t="shared" si="0"/>
        <v>0</v>
      </c>
    </row>
    <row r="23" spans="2:15" ht="12.75" customHeight="1" x14ac:dyDescent="0.3">
      <c r="B23" s="259">
        <v>18</v>
      </c>
      <c r="C23" s="260">
        <f>'Program Descriptions'!D22</f>
        <v>0</v>
      </c>
      <c r="D23" s="55">
        <v>0</v>
      </c>
      <c r="E23" s="99">
        <v>0</v>
      </c>
      <c r="F23" s="55">
        <v>0</v>
      </c>
      <c r="G23" s="99">
        <v>0</v>
      </c>
      <c r="H23" s="55">
        <v>0</v>
      </c>
      <c r="I23" s="99">
        <v>0</v>
      </c>
      <c r="J23" s="55">
        <v>0</v>
      </c>
      <c r="K23" s="99">
        <v>0</v>
      </c>
      <c r="L23" s="4"/>
      <c r="O23" s="321">
        <f t="shared" si="0"/>
        <v>0</v>
      </c>
    </row>
    <row r="24" spans="2:15" ht="12.75" customHeight="1" x14ac:dyDescent="0.3">
      <c r="B24" s="259">
        <v>19</v>
      </c>
      <c r="C24" s="260">
        <f>'Program Descriptions'!D23</f>
        <v>0</v>
      </c>
      <c r="D24" s="55">
        <v>0</v>
      </c>
      <c r="E24" s="99">
        <v>0</v>
      </c>
      <c r="F24" s="55">
        <v>0</v>
      </c>
      <c r="G24" s="99">
        <v>0</v>
      </c>
      <c r="H24" s="55">
        <v>0</v>
      </c>
      <c r="I24" s="99">
        <v>0</v>
      </c>
      <c r="J24" s="55">
        <v>0</v>
      </c>
      <c r="K24" s="99">
        <v>0</v>
      </c>
      <c r="L24" s="4"/>
      <c r="O24" s="321">
        <f t="shared" si="0"/>
        <v>0</v>
      </c>
    </row>
    <row r="25" spans="2:15" ht="15.75" customHeight="1" thickBot="1" x14ac:dyDescent="0.35">
      <c r="B25" s="259">
        <v>20</v>
      </c>
      <c r="C25" s="260">
        <f>'Program Descriptions'!D24</f>
        <v>0</v>
      </c>
      <c r="D25" s="100">
        <v>0</v>
      </c>
      <c r="E25" s="99">
        <v>0</v>
      </c>
      <c r="F25" s="100">
        <v>0</v>
      </c>
      <c r="G25" s="99">
        <v>0</v>
      </c>
      <c r="H25" s="100">
        <v>0</v>
      </c>
      <c r="I25" s="99">
        <v>0</v>
      </c>
      <c r="J25" s="100">
        <v>0</v>
      </c>
      <c r="K25" s="101">
        <v>0</v>
      </c>
      <c r="L25" s="4"/>
      <c r="O25" s="321">
        <f t="shared" si="0"/>
        <v>0</v>
      </c>
    </row>
    <row r="26" spans="2:15" ht="12.75" customHeight="1" thickBot="1" x14ac:dyDescent="0.35">
      <c r="B26" s="8"/>
      <c r="C26" s="263" t="s">
        <v>163</v>
      </c>
      <c r="D26" s="102">
        <f>SUM(D6:D25)</f>
        <v>116.8</v>
      </c>
      <c r="E26" s="99">
        <v>5.5569272280509212</v>
      </c>
      <c r="F26" s="102">
        <f>SUM(F6:F25)</f>
        <v>94.3</v>
      </c>
      <c r="G26" s="99">
        <v>0.35360874926006503</v>
      </c>
      <c r="H26" s="102">
        <f>SUM(H6:H12)</f>
        <v>45.308999999999997</v>
      </c>
      <c r="I26" s="99">
        <v>1.2845054550284216</v>
      </c>
      <c r="J26" s="102">
        <f>SUM(J6:J25)</f>
        <v>0</v>
      </c>
      <c r="K26" s="424">
        <v>0</v>
      </c>
      <c r="L26" s="4"/>
      <c r="O26" s="321">
        <f t="shared" si="0"/>
        <v>0</v>
      </c>
    </row>
    <row r="27" spans="2:15" ht="12.75" customHeight="1" x14ac:dyDescent="0.3">
      <c r="B27" s="5"/>
      <c r="C27" s="6"/>
      <c r="D27" s="6"/>
      <c r="E27" s="6"/>
      <c r="F27" s="6"/>
      <c r="G27" s="6"/>
      <c r="H27" s="6"/>
      <c r="I27" s="6"/>
      <c r="J27" s="6"/>
      <c r="K27" s="6"/>
      <c r="L27" s="7"/>
      <c r="O27" s="2">
        <f>SUM(O6:O26)</f>
        <v>0</v>
      </c>
    </row>
  </sheetData>
  <sheetProtection formatRows="0"/>
  <mergeCells count="5">
    <mergeCell ref="J4:K4"/>
    <mergeCell ref="H4:I4"/>
    <mergeCell ref="F4:G4"/>
    <mergeCell ref="D4:E4"/>
    <mergeCell ref="B2:L2"/>
  </mergeCells>
  <conditionalFormatting sqref="D9:I9">
    <cfRule type="expression" dxfId="26" priority="2">
      <formula>$B8&gt;Programs</formula>
    </cfRule>
  </conditionalFormatting>
  <conditionalFormatting sqref="D6:K8">
    <cfRule type="expression" dxfId="25" priority="1">
      <formula>$B6&gt;Programs</formula>
    </cfRule>
  </conditionalFormatting>
  <conditionalFormatting sqref="J9:K9 D10:K12 D13:D25 F13:F25 H13:H25 J13:K25 E13:E26 G13:G26 I13:I26">
    <cfRule type="expression" dxfId="24" priority="4">
      <formula>$B9&gt;Programs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1:Y124"/>
  <sheetViews>
    <sheetView showGridLines="0" zoomScale="110" zoomScaleNormal="100" workbookViewId="0">
      <pane ySplit="2" topLeftCell="A3" activePane="bottomLeft" state="frozen"/>
      <selection activeCell="P31" sqref="P31"/>
      <selection pane="bottomLeft" activeCell="N2" sqref="N2:Q7"/>
    </sheetView>
  </sheetViews>
  <sheetFormatPr defaultColWidth="9.109375" defaultRowHeight="13.8" x14ac:dyDescent="0.3"/>
  <cols>
    <col min="1" max="1" width="1" style="2" customWidth="1"/>
    <col min="2" max="2" width="3.77734375" style="2" customWidth="1"/>
    <col min="3" max="3" width="35.88671875" style="2" customWidth="1"/>
    <col min="4" max="6" width="12.109375" style="2" customWidth="1"/>
    <col min="7" max="7" width="10" style="2" customWidth="1"/>
    <col min="8" max="10" width="12.109375" style="2" customWidth="1"/>
    <col min="11" max="11" width="1.77734375" style="2" customWidth="1"/>
    <col min="12" max="12" width="8.88671875" style="2" customWidth="1"/>
    <col min="13" max="13" width="1" style="2" customWidth="1"/>
    <col min="14" max="14" width="5.109375" style="2" customWidth="1"/>
    <col min="15" max="16384" width="9.109375" style="2"/>
  </cols>
  <sheetData>
    <row r="1" spans="2:25" ht="28.5" customHeight="1" x14ac:dyDescent="0.3"/>
    <row r="2" spans="2:25" ht="90" customHeight="1" x14ac:dyDescent="0.3">
      <c r="B2" s="453"/>
      <c r="C2" s="454"/>
      <c r="D2" s="454"/>
      <c r="E2" s="454"/>
      <c r="F2" s="454"/>
      <c r="G2" s="454"/>
      <c r="H2" s="454"/>
      <c r="I2" s="454"/>
      <c r="J2" s="454"/>
      <c r="K2" s="454"/>
      <c r="L2" s="455"/>
      <c r="N2" s="708"/>
      <c r="O2" s="708"/>
      <c r="P2" s="708"/>
      <c r="Q2" s="708"/>
    </row>
    <row r="3" spans="2:25" ht="7.5" customHeight="1" x14ac:dyDescent="0.3">
      <c r="B3" s="456"/>
      <c r="C3" s="336"/>
      <c r="D3" s="336"/>
      <c r="E3" s="336"/>
      <c r="F3" s="336"/>
      <c r="G3" s="336"/>
      <c r="H3" s="336"/>
      <c r="I3" s="336"/>
      <c r="J3" s="336"/>
      <c r="K3" s="336"/>
      <c r="L3" s="457"/>
      <c r="N3" s="708"/>
      <c r="O3" s="708"/>
      <c r="P3" s="708"/>
      <c r="Q3" s="708"/>
    </row>
    <row r="4" spans="2:25" ht="21" x14ac:dyDescent="0.3">
      <c r="B4" s="3"/>
      <c r="C4" s="636" t="s">
        <v>290</v>
      </c>
      <c r="D4" s="636"/>
      <c r="E4" s="636"/>
      <c r="F4" s="636"/>
      <c r="G4" s="636"/>
      <c r="H4" s="636"/>
      <c r="I4" s="636"/>
      <c r="J4" s="636"/>
      <c r="L4" s="4"/>
      <c r="N4" s="708"/>
      <c r="O4" s="708"/>
      <c r="P4" s="708"/>
      <c r="Q4" s="708"/>
    </row>
    <row r="5" spans="2:25" ht="15.6" x14ac:dyDescent="0.3">
      <c r="B5" s="3"/>
      <c r="D5" s="635" t="str">
        <f>Prg_Year&amp;" LCFC Energy Savings "&amp;"("&amp;Energy_1&amp;")"</f>
        <v>2025 LCFC Energy Savings (kWh)</v>
      </c>
      <c r="E5" s="635"/>
      <c r="F5" s="635"/>
      <c r="H5" s="635" t="str">
        <f>Prg_Year&amp;" LCFC Cost Recovery ($)"</f>
        <v>2025 LCFC Cost Recovery ($)</v>
      </c>
      <c r="I5" s="635"/>
      <c r="J5" s="635"/>
      <c r="K5" s="268"/>
      <c r="L5" s="4"/>
      <c r="N5" s="709"/>
      <c r="O5" s="709"/>
      <c r="P5" s="709"/>
      <c r="Q5" s="709"/>
      <c r="R5"/>
      <c r="S5"/>
      <c r="T5"/>
      <c r="U5"/>
      <c r="V5"/>
      <c r="W5"/>
      <c r="X5"/>
      <c r="Y5"/>
    </row>
    <row r="6" spans="2:25" ht="15" customHeight="1" x14ac:dyDescent="0.3">
      <c r="B6" s="3"/>
      <c r="C6" s="9" t="s">
        <v>82</v>
      </c>
      <c r="D6" s="28">
        <f>Prg_Year</f>
        <v>2025</v>
      </c>
      <c r="E6" s="28">
        <f>D6-1</f>
        <v>2024</v>
      </c>
      <c r="F6" s="28" t="str">
        <f>"Prior to "&amp;E6</f>
        <v>Prior to 2024</v>
      </c>
      <c r="H6" s="28">
        <f>D6</f>
        <v>2025</v>
      </c>
      <c r="I6" s="28">
        <f>E6</f>
        <v>2024</v>
      </c>
      <c r="J6" s="28" t="str">
        <f>F6</f>
        <v>Prior to 2024</v>
      </c>
      <c r="K6" s="28"/>
      <c r="L6" s="4"/>
      <c r="N6" s="709"/>
      <c r="O6" s="709"/>
      <c r="P6" s="709"/>
      <c r="Q6" s="709"/>
      <c r="R6"/>
      <c r="S6"/>
      <c r="T6"/>
      <c r="U6"/>
      <c r="V6"/>
      <c r="W6"/>
      <c r="X6"/>
      <c r="Y6"/>
    </row>
    <row r="7" spans="2:25" ht="15" customHeight="1" x14ac:dyDescent="0.3">
      <c r="B7" s="259">
        <v>1</v>
      </c>
      <c r="C7" s="260" t="str">
        <f>'Program Descriptions'!D5</f>
        <v>Residential Products</v>
      </c>
      <c r="D7" s="426">
        <f>'Evaluated Savings'!E6</f>
        <v>13464</v>
      </c>
      <c r="E7" s="426">
        <v>0</v>
      </c>
      <c r="F7" s="426">
        <v>0</v>
      </c>
      <c r="H7" s="460">
        <f>D7*0.107742</f>
        <v>1450.6382880000001</v>
      </c>
      <c r="I7" s="460">
        <f t="shared" ref="I7:I8" si="0">E7*0.070713</f>
        <v>0</v>
      </c>
      <c r="J7" s="460"/>
      <c r="K7" s="28"/>
      <c r="L7" s="4"/>
      <c r="N7" s="709"/>
      <c r="O7" s="709"/>
      <c r="P7" s="709"/>
      <c r="Q7" s="709"/>
      <c r="R7"/>
      <c r="S7"/>
      <c r="T7"/>
      <c r="U7"/>
      <c r="V7"/>
      <c r="W7"/>
      <c r="X7"/>
      <c r="Y7"/>
    </row>
    <row r="8" spans="2:25" ht="15" customHeight="1" x14ac:dyDescent="0.3">
      <c r="B8" s="259">
        <v>2</v>
      </c>
      <c r="C8" s="260" t="str">
        <f>'Program Descriptions'!D6</f>
        <v>School-Based Energy Education</v>
      </c>
      <c r="D8" s="426">
        <f>'Evaluated Savings'!E7</f>
        <v>47256</v>
      </c>
      <c r="E8" s="426">
        <v>0</v>
      </c>
      <c r="F8" s="426">
        <v>0</v>
      </c>
      <c r="H8" s="460">
        <f>D8*0.107742</f>
        <v>5091.4559520000003</v>
      </c>
      <c r="I8" s="460">
        <f t="shared" si="0"/>
        <v>0</v>
      </c>
      <c r="J8" s="460">
        <v>0</v>
      </c>
      <c r="K8" s="28"/>
      <c r="L8" s="4"/>
      <c r="N8"/>
      <c r="O8"/>
      <c r="P8"/>
      <c r="Q8"/>
      <c r="R8"/>
      <c r="S8"/>
      <c r="T8"/>
      <c r="U8"/>
      <c r="V8"/>
      <c r="W8"/>
      <c r="X8"/>
      <c r="Y8"/>
    </row>
    <row r="9" spans="2:25" ht="15" customHeight="1" x14ac:dyDescent="0.3">
      <c r="B9" s="259">
        <v>3</v>
      </c>
      <c r="C9" s="260" t="str">
        <f>'Program Descriptions'!D7</f>
        <v>Weatherization</v>
      </c>
      <c r="D9" s="426">
        <f>'Evaluated Savings'!E8</f>
        <v>0</v>
      </c>
      <c r="E9" s="426">
        <f>'Prior Year Program'!N11</f>
        <v>13957</v>
      </c>
      <c r="F9" s="426">
        <f>'Prior Year Program'!O11</f>
        <v>0</v>
      </c>
      <c r="H9" s="460">
        <f>D9*0.090812</f>
        <v>0</v>
      </c>
      <c r="I9" s="460">
        <f>E9*0.090812</f>
        <v>1267.463084</v>
      </c>
      <c r="J9" s="460">
        <v>0</v>
      </c>
      <c r="K9" s="28"/>
      <c r="L9" s="4"/>
      <c r="N9"/>
      <c r="O9"/>
      <c r="P9"/>
      <c r="Q9"/>
      <c r="R9"/>
      <c r="S9"/>
      <c r="T9"/>
      <c r="U9"/>
      <c r="V9"/>
      <c r="W9"/>
      <c r="X9"/>
      <c r="Y9"/>
    </row>
    <row r="10" spans="2:25" ht="15" customHeight="1" x14ac:dyDescent="0.3">
      <c r="B10" s="259">
        <v>4</v>
      </c>
      <c r="C10" s="260" t="str">
        <f>'Program Descriptions'!D8</f>
        <v>Commercial and Industrial (Custom)</v>
      </c>
      <c r="D10" s="426">
        <f>'Evaluated Savings'!E9</f>
        <v>0</v>
      </c>
      <c r="E10" s="426">
        <f>'Prior Year Program'!N12</f>
        <v>0</v>
      </c>
      <c r="F10" s="426">
        <v>0</v>
      </c>
      <c r="H10" s="460">
        <f t="shared" ref="H10:I12" si="1">D10*0.068103</f>
        <v>0</v>
      </c>
      <c r="I10" s="460">
        <f t="shared" si="1"/>
        <v>0</v>
      </c>
      <c r="J10" s="460">
        <v>0</v>
      </c>
      <c r="L10" s="4"/>
      <c r="N10"/>
      <c r="O10"/>
      <c r="P10"/>
      <c r="Q10"/>
      <c r="R10"/>
      <c r="S10"/>
      <c r="T10"/>
      <c r="U10"/>
      <c r="V10"/>
      <c r="W10"/>
      <c r="X10"/>
      <c r="Y10"/>
    </row>
    <row r="11" spans="2:25" ht="15" customHeight="1" x14ac:dyDescent="0.3">
      <c r="B11" s="259">
        <v>5</v>
      </c>
      <c r="C11" s="260" t="str">
        <f>'Program Descriptions'!D9</f>
        <v>Commercial and Industrial (Prescriptive)</v>
      </c>
      <c r="D11" s="426">
        <f>'Evaluated Savings'!E10</f>
        <v>0</v>
      </c>
      <c r="E11" s="426">
        <v>0</v>
      </c>
      <c r="F11" s="426">
        <v>0</v>
      </c>
      <c r="H11" s="460">
        <f t="shared" si="1"/>
        <v>0</v>
      </c>
      <c r="I11" s="460">
        <f t="shared" si="1"/>
        <v>0</v>
      </c>
      <c r="J11" s="460">
        <v>0</v>
      </c>
      <c r="L11" s="4"/>
      <c r="N11"/>
      <c r="O11"/>
      <c r="P11"/>
      <c r="Q11"/>
      <c r="R11"/>
      <c r="S11"/>
      <c r="T11"/>
      <c r="U11"/>
      <c r="V11"/>
      <c r="W11"/>
      <c r="X11"/>
      <c r="Y11"/>
    </row>
    <row r="12" spans="2:25" ht="15" customHeight="1" x14ac:dyDescent="0.3">
      <c r="B12" s="259">
        <v>6</v>
      </c>
      <c r="C12" s="260" t="str">
        <f>'Program Descriptions'!D10</f>
        <v>Online Energy Calculator</v>
      </c>
      <c r="D12" s="426">
        <f>'Evaluated Savings'!E11</f>
        <v>0</v>
      </c>
      <c r="E12" s="426">
        <v>0</v>
      </c>
      <c r="F12" s="426">
        <v>0</v>
      </c>
      <c r="H12" s="460">
        <f t="shared" si="1"/>
        <v>0</v>
      </c>
      <c r="I12" s="460">
        <f t="shared" si="1"/>
        <v>0</v>
      </c>
      <c r="J12" s="460">
        <v>0</v>
      </c>
      <c r="L12" s="4"/>
      <c r="N12"/>
      <c r="O12"/>
      <c r="P12"/>
      <c r="Q12"/>
      <c r="R12"/>
      <c r="S12"/>
      <c r="T12"/>
      <c r="U12"/>
      <c r="V12"/>
      <c r="W12"/>
      <c r="X12"/>
      <c r="Y12"/>
    </row>
    <row r="13" spans="2:25" ht="15" customHeight="1" thickBot="1" x14ac:dyDescent="0.35">
      <c r="B13" s="259">
        <v>7</v>
      </c>
      <c r="C13" s="260" t="str">
        <f>'Program Descriptions'!C11</f>
        <v>Administration</v>
      </c>
      <c r="D13" s="426">
        <f>'Evaluated Savings'!E12</f>
        <v>0</v>
      </c>
      <c r="E13" s="426">
        <v>0</v>
      </c>
      <c r="F13" s="426">
        <v>0</v>
      </c>
      <c r="H13" s="460">
        <f t="shared" ref="H13:I13" si="2">D13*0.070713</f>
        <v>0</v>
      </c>
      <c r="I13" s="460">
        <f t="shared" si="2"/>
        <v>0</v>
      </c>
      <c r="J13" s="460">
        <v>0</v>
      </c>
      <c r="L13" s="4"/>
      <c r="N13"/>
      <c r="O13"/>
      <c r="P13"/>
      <c r="Q13"/>
      <c r="R13"/>
      <c r="S13"/>
      <c r="T13"/>
      <c r="U13"/>
      <c r="V13"/>
      <c r="W13"/>
      <c r="X13"/>
      <c r="Y13"/>
    </row>
    <row r="14" spans="2:25" ht="15" hidden="1" customHeight="1" x14ac:dyDescent="0.3">
      <c r="B14" s="259">
        <v>8</v>
      </c>
      <c r="C14" s="260" t="str">
        <f>'Program Descriptions'!C12</f>
        <v>Marketing</v>
      </c>
      <c r="D14" s="426"/>
      <c r="E14" s="426"/>
      <c r="F14" s="426"/>
      <c r="H14" s="460"/>
      <c r="I14" s="460"/>
      <c r="J14" s="460"/>
      <c r="L14" s="4"/>
      <c r="N14"/>
      <c r="O14"/>
      <c r="P14"/>
      <c r="Q14"/>
      <c r="R14"/>
      <c r="S14"/>
      <c r="T14"/>
      <c r="U14"/>
      <c r="V14"/>
      <c r="W14"/>
      <c r="X14"/>
      <c r="Y14"/>
    </row>
    <row r="15" spans="2:25" ht="15" hidden="1" customHeight="1" x14ac:dyDescent="0.3">
      <c r="B15" s="259">
        <v>9</v>
      </c>
      <c r="C15" s="260" t="str">
        <f>'Program Descriptions'!C13</f>
        <v>EM&amp;V</v>
      </c>
      <c r="D15" s="426"/>
      <c r="E15" s="426"/>
      <c r="F15" s="426"/>
      <c r="H15" s="460"/>
      <c r="I15" s="460"/>
      <c r="J15" s="460"/>
      <c r="L15" s="4"/>
      <c r="N15"/>
      <c r="O15"/>
      <c r="P15"/>
      <c r="Q15"/>
      <c r="R15"/>
      <c r="S15"/>
      <c r="T15"/>
      <c r="U15"/>
      <c r="V15"/>
      <c r="W15"/>
      <c r="X15"/>
      <c r="Y15"/>
    </row>
    <row r="16" spans="2:25" ht="15" hidden="1" customHeight="1" x14ac:dyDescent="0.3">
      <c r="B16" s="259">
        <v>10</v>
      </c>
      <c r="C16" s="260" t="str">
        <f>'Program Descriptions'!C14</f>
        <v>Empty</v>
      </c>
      <c r="D16" s="426"/>
      <c r="E16" s="426"/>
      <c r="F16" s="426"/>
      <c r="H16" s="460"/>
      <c r="I16" s="460"/>
      <c r="J16" s="460"/>
      <c r="L16" s="4"/>
      <c r="N16"/>
      <c r="O16"/>
      <c r="P16"/>
      <c r="Q16"/>
      <c r="R16"/>
      <c r="S16"/>
      <c r="T16"/>
      <c r="U16"/>
      <c r="V16"/>
      <c r="W16"/>
      <c r="X16"/>
      <c r="Y16"/>
    </row>
    <row r="17" spans="2:25" ht="15" hidden="1" customHeight="1" x14ac:dyDescent="0.3">
      <c r="B17" s="259">
        <v>11</v>
      </c>
      <c r="C17" s="260" t="str">
        <f>'Program Descriptions'!C15</f>
        <v>Empty</v>
      </c>
      <c r="D17" s="426"/>
      <c r="E17" s="426"/>
      <c r="F17" s="426"/>
      <c r="H17" s="460"/>
      <c r="I17" s="460"/>
      <c r="J17" s="460"/>
      <c r="L17" s="4"/>
      <c r="N17"/>
      <c r="O17"/>
      <c r="P17"/>
      <c r="Q17"/>
      <c r="R17"/>
      <c r="S17"/>
      <c r="T17"/>
      <c r="U17"/>
      <c r="V17"/>
      <c r="W17"/>
      <c r="X17"/>
      <c r="Y17"/>
    </row>
    <row r="18" spans="2:25" ht="15" hidden="1" customHeight="1" x14ac:dyDescent="0.3">
      <c r="B18" s="259">
        <v>12</v>
      </c>
      <c r="C18" s="260" t="str">
        <f>'Program Descriptions'!C16</f>
        <v>Empty</v>
      </c>
      <c r="D18" s="426"/>
      <c r="E18" s="426"/>
      <c r="F18" s="426"/>
      <c r="H18" s="460"/>
      <c r="I18" s="460"/>
      <c r="J18" s="460"/>
      <c r="L18" s="4"/>
      <c r="N18"/>
      <c r="O18"/>
      <c r="P18"/>
      <c r="Q18"/>
      <c r="R18"/>
      <c r="S18"/>
      <c r="T18"/>
      <c r="U18"/>
      <c r="V18"/>
      <c r="W18"/>
      <c r="X18"/>
      <c r="Y18"/>
    </row>
    <row r="19" spans="2:25" ht="15" hidden="1" customHeight="1" x14ac:dyDescent="0.3">
      <c r="B19" s="259">
        <v>13</v>
      </c>
      <c r="C19" s="260" t="str">
        <f>'Program Descriptions'!C17</f>
        <v>Empty</v>
      </c>
      <c r="D19" s="426"/>
      <c r="E19" s="426"/>
      <c r="F19" s="426"/>
      <c r="H19" s="460"/>
      <c r="I19" s="460"/>
      <c r="J19" s="460"/>
      <c r="L19" s="4"/>
      <c r="N19"/>
      <c r="O19"/>
      <c r="P19"/>
      <c r="Q19"/>
      <c r="R19"/>
      <c r="S19"/>
      <c r="T19"/>
      <c r="U19"/>
      <c r="V19"/>
      <c r="W19"/>
      <c r="X19"/>
      <c r="Y19"/>
    </row>
    <row r="20" spans="2:25" ht="15" hidden="1" customHeight="1" x14ac:dyDescent="0.3">
      <c r="B20" s="259">
        <v>14</v>
      </c>
      <c r="C20" s="260" t="str">
        <f>'Program Descriptions'!C18</f>
        <v>Empty</v>
      </c>
      <c r="D20" s="426"/>
      <c r="E20" s="426"/>
      <c r="F20" s="426"/>
      <c r="H20" s="460"/>
      <c r="I20" s="460"/>
      <c r="J20" s="460"/>
      <c r="L20" s="4"/>
      <c r="N20"/>
      <c r="O20"/>
      <c r="P20"/>
      <c r="Q20"/>
      <c r="R20"/>
      <c r="S20"/>
      <c r="T20"/>
      <c r="U20"/>
      <c r="V20"/>
      <c r="W20"/>
      <c r="X20"/>
      <c r="Y20"/>
    </row>
    <row r="21" spans="2:25" ht="15" hidden="1" customHeight="1" x14ac:dyDescent="0.3">
      <c r="B21" s="259">
        <v>15</v>
      </c>
      <c r="C21" s="260" t="str">
        <f>'Program Descriptions'!C19</f>
        <v>Empty</v>
      </c>
      <c r="D21" s="426"/>
      <c r="E21" s="426"/>
      <c r="F21" s="426"/>
      <c r="H21" s="460"/>
      <c r="I21" s="460"/>
      <c r="J21" s="460"/>
      <c r="L21" s="4"/>
      <c r="N21"/>
      <c r="O21"/>
      <c r="P21"/>
      <c r="Q21"/>
      <c r="R21"/>
      <c r="S21"/>
      <c r="T21"/>
      <c r="U21"/>
      <c r="V21"/>
      <c r="W21"/>
      <c r="X21"/>
      <c r="Y21"/>
    </row>
    <row r="22" spans="2:25" ht="15" hidden="1" customHeight="1" x14ac:dyDescent="0.3">
      <c r="B22" s="259">
        <v>16</v>
      </c>
      <c r="C22" s="260" t="str">
        <f>'Program Descriptions'!C20</f>
        <v>Empty</v>
      </c>
      <c r="D22" s="426"/>
      <c r="E22" s="426"/>
      <c r="F22" s="426"/>
      <c r="H22" s="460"/>
      <c r="I22" s="460"/>
      <c r="J22" s="460"/>
      <c r="L22" s="4"/>
      <c r="N22"/>
      <c r="O22"/>
      <c r="P22"/>
      <c r="Q22"/>
      <c r="R22"/>
      <c r="S22"/>
      <c r="T22"/>
      <c r="U22"/>
      <c r="V22"/>
      <c r="W22"/>
      <c r="X22"/>
      <c r="Y22"/>
    </row>
    <row r="23" spans="2:25" ht="15" hidden="1" customHeight="1" x14ac:dyDescent="0.3">
      <c r="B23" s="259">
        <v>17</v>
      </c>
      <c r="C23" s="260" t="str">
        <f>'Program Descriptions'!C21</f>
        <v>Empty</v>
      </c>
      <c r="D23" s="426"/>
      <c r="E23" s="426"/>
      <c r="F23" s="426"/>
      <c r="H23" s="425"/>
      <c r="I23" s="425"/>
      <c r="J23" s="425"/>
      <c r="L23" s="4"/>
      <c r="N23"/>
      <c r="O23"/>
      <c r="P23"/>
      <c r="Q23"/>
      <c r="R23"/>
      <c r="S23"/>
      <c r="T23"/>
      <c r="U23"/>
      <c r="V23"/>
      <c r="W23"/>
      <c r="X23"/>
      <c r="Y23"/>
    </row>
    <row r="24" spans="2:25" ht="15" hidden="1" customHeight="1" x14ac:dyDescent="0.3">
      <c r="B24" s="259">
        <v>18</v>
      </c>
      <c r="C24" s="260" t="str">
        <f>'Program Descriptions'!C22</f>
        <v>Empty</v>
      </c>
      <c r="D24" s="426"/>
      <c r="E24" s="426"/>
      <c r="F24" s="426"/>
      <c r="H24" s="425"/>
      <c r="I24" s="425"/>
      <c r="J24" s="425"/>
      <c r="L24" s="4"/>
      <c r="N24"/>
      <c r="O24"/>
      <c r="P24"/>
      <c r="Q24"/>
      <c r="R24"/>
      <c r="S24"/>
      <c r="T24"/>
      <c r="U24"/>
      <c r="V24"/>
      <c r="W24"/>
      <c r="X24"/>
      <c r="Y24"/>
    </row>
    <row r="25" spans="2:25" ht="15" hidden="1" customHeight="1" x14ac:dyDescent="0.3">
      <c r="B25" s="259">
        <v>19</v>
      </c>
      <c r="C25" s="260" t="str">
        <f>'Program Descriptions'!C23</f>
        <v>Empty</v>
      </c>
      <c r="D25" s="426"/>
      <c r="E25" s="426"/>
      <c r="F25" s="426"/>
      <c r="H25" s="425"/>
      <c r="I25" s="425"/>
      <c r="J25" s="425"/>
      <c r="L25" s="4"/>
      <c r="N25"/>
      <c r="O25"/>
      <c r="P25"/>
      <c r="Q25"/>
      <c r="R25"/>
      <c r="S25"/>
      <c r="T25"/>
      <c r="U25"/>
      <c r="V25"/>
      <c r="W25"/>
      <c r="X25"/>
      <c r="Y25"/>
    </row>
    <row r="26" spans="2:25" ht="15" hidden="1" customHeight="1" thickBot="1" x14ac:dyDescent="0.35">
      <c r="B26" s="259">
        <v>20</v>
      </c>
      <c r="C26" s="260" t="str">
        <f>'Program Descriptions'!C24</f>
        <v>Empty</v>
      </c>
      <c r="D26" s="474"/>
      <c r="E26" s="474"/>
      <c r="F26" s="474"/>
      <c r="H26" s="461"/>
      <c r="I26" s="461"/>
      <c r="J26" s="461"/>
      <c r="L26" s="4"/>
      <c r="N26"/>
      <c r="O26"/>
      <c r="P26"/>
      <c r="Q26"/>
      <c r="R26"/>
      <c r="S26"/>
      <c r="T26"/>
      <c r="U26"/>
      <c r="V26"/>
      <c r="W26"/>
      <c r="X26"/>
      <c r="Y26"/>
    </row>
    <row r="27" spans="2:25" ht="15" customHeight="1" x14ac:dyDescent="0.3">
      <c r="B27" s="3"/>
      <c r="C27" s="263" t="s">
        <v>155</v>
      </c>
      <c r="D27" s="68">
        <f>SUM(D7:D26)</f>
        <v>60720</v>
      </c>
      <c r="E27" s="68">
        <f>SUM(E7:E26)</f>
        <v>13957</v>
      </c>
      <c r="F27" s="68">
        <f>SUM(F7:F26)</f>
        <v>0</v>
      </c>
      <c r="H27" s="14">
        <f>SUM(H7:H26)</f>
        <v>6542.0942400000004</v>
      </c>
      <c r="I27" s="14">
        <f>SUM(I7:I26)</f>
        <v>1267.463084</v>
      </c>
      <c r="J27" s="14">
        <f>SUM(J7:J26)</f>
        <v>0</v>
      </c>
      <c r="L27" s="4"/>
      <c r="N27"/>
      <c r="O27"/>
      <c r="P27"/>
      <c r="Q27"/>
      <c r="R27"/>
      <c r="S27"/>
      <c r="T27"/>
      <c r="U27"/>
      <c r="V27"/>
      <c r="W27"/>
      <c r="X27"/>
      <c r="Y27"/>
    </row>
    <row r="28" spans="2:25" ht="15" customHeight="1" x14ac:dyDescent="0.3">
      <c r="B28" s="3"/>
      <c r="L28" s="4"/>
    </row>
    <row r="29" spans="2:25" ht="15" customHeight="1" x14ac:dyDescent="0.3">
      <c r="B29" s="3"/>
      <c r="D29" s="635" t="str">
        <f>D5</f>
        <v>2025 LCFC Energy Savings (kWh)</v>
      </c>
      <c r="E29" s="635"/>
      <c r="F29" s="635"/>
      <c r="H29" s="635" t="str">
        <f>H5</f>
        <v>2025 LCFC Cost Recovery ($)</v>
      </c>
      <c r="I29" s="635"/>
      <c r="J29" s="635"/>
      <c r="L29" s="4"/>
    </row>
    <row r="30" spans="2:25" x14ac:dyDescent="0.3">
      <c r="B30" s="3"/>
      <c r="D30" s="28">
        <f>D6</f>
        <v>2025</v>
      </c>
      <c r="E30" s="28">
        <f>E6</f>
        <v>2024</v>
      </c>
      <c r="F30" s="28" t="str">
        <f>F6</f>
        <v>Prior to 2024</v>
      </c>
      <c r="I30" s="28">
        <f>I6</f>
        <v>2024</v>
      </c>
      <c r="J30" s="28" t="str">
        <f>J6</f>
        <v>Prior to 2024</v>
      </c>
      <c r="L30" s="4"/>
    </row>
    <row r="31" spans="2:25" ht="15" customHeight="1" x14ac:dyDescent="0.3">
      <c r="B31" s="3"/>
      <c r="C31" s="318" t="s">
        <v>291</v>
      </c>
      <c r="D31" s="418" t="s">
        <v>112</v>
      </c>
      <c r="E31" s="426">
        <v>0</v>
      </c>
      <c r="F31" s="426">
        <v>0</v>
      </c>
      <c r="H31" s="418" t="s">
        <v>112</v>
      </c>
      <c r="I31" s="460">
        <v>0</v>
      </c>
      <c r="J31" s="460">
        <v>0</v>
      </c>
      <c r="L31" s="4"/>
    </row>
    <row r="32" spans="2:25" ht="15" customHeight="1" x14ac:dyDescent="0.3">
      <c r="B32" s="3"/>
      <c r="C32" s="260"/>
      <c r="L32" s="4"/>
    </row>
    <row r="33" spans="2:12" ht="15" customHeight="1" x14ac:dyDescent="0.3">
      <c r="B33" s="3"/>
      <c r="I33" s="70" t="str">
        <f>"Total LCFC Recovery for Program Year "&amp;D6&amp;":"</f>
        <v>Total LCFC Recovery for Program Year 2025:</v>
      </c>
      <c r="J33" s="11">
        <f>H27+I27+J27+I31+J31</f>
        <v>7809.5573240000003</v>
      </c>
      <c r="L33" s="4"/>
    </row>
    <row r="34" spans="2:12" ht="15" customHeight="1" x14ac:dyDescent="0.3">
      <c r="B34" s="3"/>
      <c r="I34" s="70"/>
      <c r="J34" s="11"/>
      <c r="L34" s="4"/>
    </row>
    <row r="35" spans="2:12" ht="15" customHeight="1" x14ac:dyDescent="0.3">
      <c r="B35" s="3"/>
      <c r="E35" s="319" t="s">
        <v>292</v>
      </c>
      <c r="F35" s="317" t="s">
        <v>293</v>
      </c>
      <c r="I35" s="70"/>
      <c r="J35" s="11"/>
      <c r="L35" s="4"/>
    </row>
    <row r="36" spans="2:12" ht="15" customHeight="1" x14ac:dyDescent="0.3">
      <c r="B36" s="3"/>
      <c r="E36" s="319" t="s">
        <v>294</v>
      </c>
      <c r="F36" s="320"/>
      <c r="L36" s="4"/>
    </row>
    <row r="37" spans="2:12" ht="15" customHeight="1" x14ac:dyDescent="0.3">
      <c r="B37" s="5"/>
      <c r="C37" s="6"/>
      <c r="D37" s="6"/>
      <c r="E37" s="6"/>
      <c r="F37" s="6"/>
      <c r="G37" s="6"/>
      <c r="H37" s="6"/>
      <c r="I37" s="6"/>
      <c r="J37" s="6"/>
      <c r="K37" s="6"/>
      <c r="L37" s="7"/>
    </row>
    <row r="38" spans="2:12" ht="15" customHeight="1" x14ac:dyDescent="0.3">
      <c r="C38" s="2" t="s">
        <v>295</v>
      </c>
    </row>
    <row r="39" spans="2:12" ht="15" customHeight="1" x14ac:dyDescent="0.3"/>
    <row r="40" spans="2:12" ht="15" customHeight="1" x14ac:dyDescent="0.3"/>
    <row r="41" spans="2:12" ht="15" customHeight="1" x14ac:dyDescent="0.3"/>
    <row r="42" spans="2:12" ht="15" customHeight="1" x14ac:dyDescent="0.3"/>
    <row r="43" spans="2:12" ht="15" customHeight="1" x14ac:dyDescent="0.3"/>
    <row r="44" spans="2:12" ht="15" customHeight="1" x14ac:dyDescent="0.3"/>
    <row r="45" spans="2:12" ht="15" customHeight="1" x14ac:dyDescent="0.3"/>
    <row r="46" spans="2:12" ht="15" customHeight="1" x14ac:dyDescent="0.3"/>
    <row r="47" spans="2:12" ht="15" customHeight="1" x14ac:dyDescent="0.3"/>
    <row r="48" spans="2:12"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sheetData>
  <sheetProtection formatRows="0"/>
  <mergeCells count="5">
    <mergeCell ref="D5:F5"/>
    <mergeCell ref="H5:J5"/>
    <mergeCell ref="C4:J4"/>
    <mergeCell ref="D29:F29"/>
    <mergeCell ref="H29:J29"/>
  </mergeCells>
  <conditionalFormatting sqref="D7:F26 H7:J26">
    <cfRule type="expression" dxfId="23" priority="1">
      <formula>$B7&gt;Programs</formula>
    </cfRule>
  </conditionalFormatting>
  <dataValidations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ignoredErrors>
    <ignoredError sqref="E10"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K108"/>
  <sheetViews>
    <sheetView showGridLines="0" zoomScale="80" zoomScaleNormal="80" workbookViewId="0">
      <pane ySplit="2" topLeftCell="A3" activePane="bottomLeft" state="frozen"/>
      <selection pane="bottomLeft" activeCell="E17" sqref="E17"/>
    </sheetView>
  </sheetViews>
  <sheetFormatPr defaultColWidth="9.109375" defaultRowHeight="13.8" x14ac:dyDescent="0.3"/>
  <cols>
    <col min="1" max="1" width="1" style="2" customWidth="1"/>
    <col min="2" max="2" width="3.77734375" style="2" customWidth="1"/>
    <col min="3" max="3" width="7.88671875" style="2" customWidth="1"/>
    <col min="4" max="4" width="10" style="2" customWidth="1"/>
    <col min="5" max="6" width="18" style="2" customWidth="1"/>
    <col min="7" max="7" width="11.21875" style="2" customWidth="1"/>
    <col min="8" max="8" width="18" style="2" customWidth="1"/>
    <col min="9" max="9" width="11.44140625" style="2" customWidth="1"/>
    <col min="10" max="10" width="9.109375" style="2"/>
    <col min="11" max="11" width="25.44140625" style="2" customWidth="1"/>
    <col min="12" max="12" width="1" style="2" customWidth="1"/>
    <col min="13" max="13" width="16" style="2" customWidth="1"/>
    <col min="14" max="16384" width="9.109375" style="2"/>
  </cols>
  <sheetData>
    <row r="1" spans="2:11" ht="28.5" customHeight="1" x14ac:dyDescent="0.3"/>
    <row r="2" spans="2:11" ht="64.5" customHeight="1" x14ac:dyDescent="0.3">
      <c r="B2" s="453"/>
      <c r="C2" s="454"/>
      <c r="D2" s="454"/>
      <c r="E2" s="454"/>
      <c r="F2" s="454"/>
      <c r="G2" s="454"/>
      <c r="H2" s="454"/>
      <c r="I2" s="454"/>
      <c r="J2" s="454"/>
      <c r="K2" s="455"/>
    </row>
    <row r="3" spans="2:11" ht="7.5" customHeight="1" x14ac:dyDescent="0.3">
      <c r="B3" s="456"/>
      <c r="C3" s="336"/>
      <c r="D3" s="336"/>
      <c r="E3" s="336"/>
      <c r="F3" s="336"/>
      <c r="G3" s="336"/>
      <c r="H3" s="336"/>
      <c r="I3" s="336"/>
      <c r="J3" s="336"/>
      <c r="K3" s="457"/>
    </row>
    <row r="4" spans="2:11" ht="14.25" customHeight="1" x14ac:dyDescent="0.35">
      <c r="B4" s="3"/>
      <c r="E4" s="288"/>
      <c r="F4" s="289"/>
      <c r="G4" s="289"/>
      <c r="H4" s="289"/>
      <c r="I4" s="289"/>
      <c r="K4" s="4"/>
    </row>
    <row r="5" spans="2:11" ht="27" customHeight="1" x14ac:dyDescent="0.3">
      <c r="B5" s="3"/>
      <c r="C5" s="290"/>
      <c r="E5" s="291"/>
      <c r="F5" s="291"/>
      <c r="G5" s="291"/>
      <c r="H5" s="291"/>
      <c r="I5" s="291"/>
      <c r="K5" s="4"/>
    </row>
    <row r="6" spans="2:11" ht="12.75" customHeight="1" x14ac:dyDescent="0.3">
      <c r="B6" s="3"/>
      <c r="E6" s="291"/>
      <c r="F6" s="291"/>
      <c r="G6" s="292"/>
      <c r="H6" s="291"/>
      <c r="I6" s="292"/>
      <c r="K6" s="4"/>
    </row>
    <row r="7" spans="2:11" ht="15" customHeight="1" x14ac:dyDescent="0.3">
      <c r="B7" s="3"/>
      <c r="E7" s="252"/>
      <c r="F7" s="252"/>
      <c r="G7" s="293"/>
      <c r="H7" s="252"/>
      <c r="I7" s="293"/>
      <c r="K7" s="4"/>
    </row>
    <row r="8" spans="2:11" ht="15" customHeight="1" x14ac:dyDescent="0.3">
      <c r="B8" s="3"/>
      <c r="E8" s="252"/>
      <c r="F8" s="252"/>
      <c r="G8" s="293"/>
      <c r="H8" s="252"/>
      <c r="I8" s="293"/>
      <c r="K8" s="4"/>
    </row>
    <row r="9" spans="2:11" ht="15" customHeight="1" x14ac:dyDescent="0.3">
      <c r="B9" s="3"/>
      <c r="E9" s="252"/>
      <c r="F9" s="252"/>
      <c r="G9" s="293"/>
      <c r="H9" s="252"/>
      <c r="I9" s="293"/>
      <c r="K9" s="4"/>
    </row>
    <row r="10" spans="2:11" ht="15" customHeight="1" x14ac:dyDescent="0.3">
      <c r="B10" s="3"/>
      <c r="E10" s="593" t="s">
        <v>198</v>
      </c>
      <c r="F10" s="593"/>
      <c r="G10" s="593"/>
      <c r="H10" s="593"/>
      <c r="I10" s="593"/>
      <c r="J10" s="593"/>
      <c r="K10" s="4"/>
    </row>
    <row r="11" spans="2:11" ht="15" customHeight="1" x14ac:dyDescent="0.3">
      <c r="B11" s="3"/>
      <c r="E11" s="252"/>
      <c r="F11" s="252"/>
      <c r="G11" s="293"/>
      <c r="H11" s="252"/>
      <c r="I11" s="293"/>
      <c r="K11" s="4"/>
    </row>
    <row r="12" spans="2:11" ht="15" customHeight="1" x14ac:dyDescent="0.3">
      <c r="B12" s="3"/>
      <c r="K12" s="4"/>
    </row>
    <row r="13" spans="2:11" ht="14.25" customHeight="1" x14ac:dyDescent="0.35">
      <c r="B13" s="3"/>
      <c r="E13" s="288"/>
      <c r="F13" s="289"/>
      <c r="G13" s="289"/>
      <c r="H13" s="289"/>
      <c r="I13" s="289"/>
      <c r="K13" s="4"/>
    </row>
    <row r="14" spans="2:11" ht="39" customHeight="1" x14ac:dyDescent="0.3">
      <c r="B14" s="3"/>
      <c r="C14" s="290"/>
      <c r="E14" s="291"/>
      <c r="F14" s="291"/>
      <c r="G14" s="291"/>
      <c r="H14" s="291"/>
      <c r="I14" s="291"/>
      <c r="K14" s="4"/>
    </row>
    <row r="15" spans="2:11" ht="10.050000000000001" customHeight="1" x14ac:dyDescent="0.3">
      <c r="B15" s="3"/>
      <c r="E15" s="291"/>
      <c r="F15" s="291"/>
      <c r="G15" s="292"/>
      <c r="H15" s="291"/>
      <c r="I15" s="292"/>
      <c r="K15" s="4"/>
    </row>
    <row r="16" spans="2:11" ht="15" customHeight="1" x14ac:dyDescent="0.3">
      <c r="B16" s="3"/>
      <c r="E16" s="294"/>
      <c r="F16" s="294"/>
      <c r="G16" s="293"/>
      <c r="H16" s="294"/>
      <c r="I16" s="293"/>
      <c r="K16" s="4"/>
    </row>
    <row r="17" spans="2:11" ht="15" customHeight="1" x14ac:dyDescent="0.3">
      <c r="B17" s="3"/>
      <c r="E17" s="294"/>
      <c r="F17" s="294"/>
      <c r="G17" s="293"/>
      <c r="H17" s="294"/>
      <c r="I17" s="293"/>
      <c r="K17" s="4"/>
    </row>
    <row r="18" spans="2:11" ht="15" customHeight="1" x14ac:dyDescent="0.3">
      <c r="B18" s="3"/>
      <c r="E18" s="294"/>
      <c r="F18" s="294"/>
      <c r="G18" s="293"/>
      <c r="H18" s="294"/>
      <c r="I18" s="293"/>
      <c r="K18" s="4"/>
    </row>
    <row r="19" spans="2:11" ht="15" customHeight="1" x14ac:dyDescent="0.3">
      <c r="B19" s="3"/>
      <c r="E19" s="294"/>
      <c r="F19" s="294"/>
      <c r="G19" s="293"/>
      <c r="H19" s="294"/>
      <c r="I19" s="293"/>
      <c r="K19" s="4"/>
    </row>
    <row r="20" spans="2:11" ht="15" customHeight="1" x14ac:dyDescent="0.3">
      <c r="B20" s="3"/>
      <c r="E20" s="294"/>
      <c r="F20" s="294"/>
      <c r="G20" s="293"/>
      <c r="H20" s="294"/>
      <c r="I20" s="293"/>
      <c r="K20" s="4"/>
    </row>
    <row r="21" spans="2:11" ht="15" customHeight="1" x14ac:dyDescent="0.3">
      <c r="B21" s="5"/>
      <c r="C21" s="6"/>
      <c r="D21" s="6"/>
      <c r="E21" s="6"/>
      <c r="F21" s="6"/>
      <c r="G21" s="6"/>
      <c r="H21" s="6"/>
      <c r="I21" s="6"/>
      <c r="J21" s="6"/>
      <c r="K21" s="7"/>
    </row>
    <row r="22" spans="2:11" ht="15" customHeight="1" x14ac:dyDescent="0.3"/>
    <row r="23" spans="2:11" ht="15" customHeight="1" x14ac:dyDescent="0.3"/>
    <row r="24" spans="2:11" ht="15" customHeight="1" x14ac:dyDescent="0.3"/>
    <row r="25" spans="2:11" ht="15" customHeight="1" x14ac:dyDescent="0.3"/>
    <row r="26" spans="2:11" ht="15" customHeight="1" x14ac:dyDescent="0.3"/>
    <row r="27" spans="2:11" ht="15" customHeight="1" x14ac:dyDescent="0.3"/>
    <row r="28" spans="2:11" ht="15" customHeight="1" x14ac:dyDescent="0.3"/>
    <row r="29" spans="2:11" ht="15" customHeight="1" x14ac:dyDescent="0.3"/>
    <row r="30" spans="2:11" ht="15" customHeight="1" x14ac:dyDescent="0.3"/>
    <row r="31" spans="2:11" ht="15" customHeight="1" x14ac:dyDescent="0.3"/>
    <row r="32" spans="2:1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B1:C39"/>
  <sheetViews>
    <sheetView showGridLines="0" showRowColHeaders="0" zoomScale="130" zoomScaleNormal="130" workbookViewId="0">
      <pane ySplit="3" topLeftCell="A4" activePane="bottomLeft" state="frozen"/>
      <selection pane="bottomLeft" activeCell="C9" sqref="C9"/>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561" t="s">
        <v>296</v>
      </c>
      <c r="C2" s="561"/>
    </row>
    <row r="3" spans="2:3" s="1" customFormat="1" ht="15.6" x14ac:dyDescent="0.3">
      <c r="B3" s="475" t="s">
        <v>297</v>
      </c>
      <c r="C3" s="475" t="s">
        <v>298</v>
      </c>
    </row>
    <row r="4" spans="2:3" s="1" customFormat="1" x14ac:dyDescent="0.25">
      <c r="B4" s="476" t="s">
        <v>299</v>
      </c>
      <c r="C4" s="269" t="s">
        <v>300</v>
      </c>
    </row>
    <row r="5" spans="2:3" s="1" customFormat="1" x14ac:dyDescent="0.25">
      <c r="B5" s="476" t="s">
        <v>301</v>
      </c>
      <c r="C5" s="269" t="s">
        <v>302</v>
      </c>
    </row>
    <row r="6" spans="2:3" s="1" customFormat="1" x14ac:dyDescent="0.25">
      <c r="B6" s="476" t="s">
        <v>303</v>
      </c>
      <c r="C6" s="269" t="s">
        <v>304</v>
      </c>
    </row>
    <row r="7" spans="2:3" s="1" customFormat="1" x14ac:dyDescent="0.25">
      <c r="B7" s="476" t="s">
        <v>305</v>
      </c>
      <c r="C7" s="269" t="s">
        <v>306</v>
      </c>
    </row>
    <row r="8" spans="2:3" s="1" customFormat="1" ht="79.5" customHeight="1" x14ac:dyDescent="0.25">
      <c r="B8" s="476" t="s">
        <v>208</v>
      </c>
      <c r="C8" s="269" t="s">
        <v>307</v>
      </c>
    </row>
    <row r="9" spans="2:3" s="1" customFormat="1" ht="41.4" x14ac:dyDescent="0.25">
      <c r="B9" s="476" t="s">
        <v>308</v>
      </c>
      <c r="C9" s="269" t="s">
        <v>309</v>
      </c>
    </row>
    <row r="10" spans="2:3" s="1" customFormat="1" x14ac:dyDescent="0.25">
      <c r="B10" s="476" t="s">
        <v>310</v>
      </c>
      <c r="C10" s="269" t="s">
        <v>311</v>
      </c>
    </row>
    <row r="11" spans="2:3" s="1" customFormat="1" x14ac:dyDescent="0.25">
      <c r="B11" s="476" t="s">
        <v>312</v>
      </c>
      <c r="C11" s="269" t="s">
        <v>313</v>
      </c>
    </row>
    <row r="12" spans="2:3" s="1" customFormat="1" x14ac:dyDescent="0.25">
      <c r="B12" s="476" t="s">
        <v>314</v>
      </c>
      <c r="C12" s="269" t="s">
        <v>315</v>
      </c>
    </row>
    <row r="13" spans="2:3" s="1" customFormat="1" ht="27.6" x14ac:dyDescent="0.25">
      <c r="B13" s="476" t="s">
        <v>316</v>
      </c>
      <c r="C13" s="269" t="s">
        <v>317</v>
      </c>
    </row>
    <row r="14" spans="2:3" s="1" customFormat="1" ht="27.6" x14ac:dyDescent="0.25">
      <c r="B14" s="476" t="s">
        <v>318</v>
      </c>
      <c r="C14" s="269" t="s">
        <v>319</v>
      </c>
    </row>
    <row r="15" spans="2:3" s="1" customFormat="1" x14ac:dyDescent="0.25">
      <c r="B15" s="476" t="s">
        <v>320</v>
      </c>
      <c r="C15" s="269" t="s">
        <v>321</v>
      </c>
    </row>
    <row r="16" spans="2:3" s="1" customFormat="1" ht="27.6" x14ac:dyDescent="0.25">
      <c r="B16" s="476" t="s">
        <v>322</v>
      </c>
      <c r="C16" s="269" t="s">
        <v>323</v>
      </c>
    </row>
    <row r="17" spans="2:3" s="1" customFormat="1" ht="55.2" x14ac:dyDescent="0.25">
      <c r="B17" s="476" t="s">
        <v>324</v>
      </c>
      <c r="C17" s="269" t="s">
        <v>325</v>
      </c>
    </row>
    <row r="18" spans="2:3" s="1" customFormat="1" x14ac:dyDescent="0.25">
      <c r="B18" s="476" t="s">
        <v>326</v>
      </c>
      <c r="C18" s="269" t="s">
        <v>327</v>
      </c>
    </row>
    <row r="19" spans="2:3" s="1" customFormat="1" x14ac:dyDescent="0.25">
      <c r="B19" s="476" t="s">
        <v>216</v>
      </c>
      <c r="C19" s="269" t="s">
        <v>328</v>
      </c>
    </row>
    <row r="20" spans="2:3" s="1" customFormat="1" ht="27.6" x14ac:dyDescent="0.25">
      <c r="B20" s="476" t="s">
        <v>329</v>
      </c>
      <c r="C20" s="269" t="s">
        <v>330</v>
      </c>
    </row>
    <row r="21" spans="2:3" s="1" customFormat="1" x14ac:dyDescent="0.25">
      <c r="B21" s="476" t="s">
        <v>331</v>
      </c>
      <c r="C21" s="269" t="s">
        <v>332</v>
      </c>
    </row>
    <row r="22" spans="2:3" s="1" customFormat="1" ht="41.4" x14ac:dyDescent="0.25">
      <c r="B22" s="476" t="s">
        <v>333</v>
      </c>
      <c r="C22" s="269" t="s">
        <v>334</v>
      </c>
    </row>
    <row r="23" spans="2:3" s="1" customFormat="1" ht="27.6" x14ac:dyDescent="0.25">
      <c r="B23" s="476" t="s">
        <v>335</v>
      </c>
      <c r="C23" s="269" t="s">
        <v>336</v>
      </c>
    </row>
    <row r="24" spans="2:3" s="1" customFormat="1" x14ac:dyDescent="0.25">
      <c r="B24" s="476" t="s">
        <v>210</v>
      </c>
      <c r="C24" s="269" t="s">
        <v>337</v>
      </c>
    </row>
    <row r="25" spans="2:3" s="1" customFormat="1" x14ac:dyDescent="0.25">
      <c r="B25" s="476" t="s">
        <v>338</v>
      </c>
      <c r="C25" s="269" t="s">
        <v>339</v>
      </c>
    </row>
    <row r="26" spans="2:3" s="1" customFormat="1" ht="69" x14ac:dyDescent="0.25">
      <c r="B26" s="476" t="s">
        <v>340</v>
      </c>
      <c r="C26" s="269" t="s">
        <v>341</v>
      </c>
    </row>
    <row r="27" spans="2:3" s="1" customFormat="1" x14ac:dyDescent="0.25">
      <c r="B27" s="476" t="s">
        <v>342</v>
      </c>
      <c r="C27" s="269" t="s">
        <v>343</v>
      </c>
    </row>
    <row r="28" spans="2:3" s="1" customFormat="1" ht="41.4" x14ac:dyDescent="0.25">
      <c r="B28" s="476" t="s">
        <v>344</v>
      </c>
      <c r="C28" s="269" t="s">
        <v>345</v>
      </c>
    </row>
    <row r="29" spans="2:3" s="1" customFormat="1" ht="41.4" x14ac:dyDescent="0.25">
      <c r="B29" s="476" t="s">
        <v>346</v>
      </c>
      <c r="C29" s="269" t="s">
        <v>347</v>
      </c>
    </row>
    <row r="30" spans="2:3" s="1" customFormat="1" ht="27.6" x14ac:dyDescent="0.25">
      <c r="B30" s="476" t="s">
        <v>74</v>
      </c>
      <c r="C30" s="269" t="s">
        <v>348</v>
      </c>
    </row>
    <row r="31" spans="2:3" s="1" customFormat="1" ht="41.4" x14ac:dyDescent="0.25">
      <c r="B31" s="476" t="s">
        <v>349</v>
      </c>
      <c r="C31" s="269" t="s">
        <v>350</v>
      </c>
    </row>
    <row r="32" spans="2:3" s="1" customFormat="1" ht="27.6" x14ac:dyDescent="0.25">
      <c r="B32" s="476" t="s">
        <v>351</v>
      </c>
      <c r="C32" s="269" t="s">
        <v>352</v>
      </c>
    </row>
    <row r="33" spans="2:3" s="1" customFormat="1" ht="27.6" x14ac:dyDescent="0.25">
      <c r="B33" s="476" t="s">
        <v>159</v>
      </c>
      <c r="C33" s="269" t="s">
        <v>353</v>
      </c>
    </row>
    <row r="34" spans="2:3" s="1" customFormat="1" ht="27.6" x14ac:dyDescent="0.25">
      <c r="B34" s="476" t="s">
        <v>354</v>
      </c>
      <c r="C34" s="269" t="s">
        <v>355</v>
      </c>
    </row>
    <row r="35" spans="2:3" s="1" customFormat="1" ht="27.6" x14ac:dyDescent="0.25">
      <c r="B35" s="476" t="s">
        <v>356</v>
      </c>
      <c r="C35" s="269" t="s">
        <v>357</v>
      </c>
    </row>
    <row r="36" spans="2:3" s="1" customFormat="1" ht="27.6" x14ac:dyDescent="0.25">
      <c r="B36" s="476" t="s">
        <v>222</v>
      </c>
      <c r="C36" s="269" t="s">
        <v>358</v>
      </c>
    </row>
    <row r="37" spans="2:3" s="1" customFormat="1" ht="13.2" x14ac:dyDescent="0.25">
      <c r="B37"/>
      <c r="C37"/>
    </row>
    <row r="38" spans="2:3" s="1" customFormat="1" ht="13.2" x14ac:dyDescent="0.25">
      <c r="B38"/>
      <c r="C38"/>
    </row>
    <row r="39" spans="2:3" s="1" customFormat="1" ht="13.2" x14ac:dyDescent="0.25">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B1:C18"/>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561" t="s">
        <v>359</v>
      </c>
      <c r="C2" s="561"/>
    </row>
    <row r="3" spans="2:3" s="1" customFormat="1" ht="15.6" x14ac:dyDescent="0.3">
      <c r="B3" s="475" t="s">
        <v>297</v>
      </c>
      <c r="C3" s="475" t="s">
        <v>298</v>
      </c>
    </row>
    <row r="4" spans="2:3" s="1" customFormat="1" ht="28.5" customHeight="1" x14ac:dyDescent="0.25">
      <c r="B4" s="476" t="s">
        <v>360</v>
      </c>
      <c r="C4" s="269" t="s">
        <v>361</v>
      </c>
    </row>
    <row r="5" spans="2:3" s="1" customFormat="1" ht="66.75" customHeight="1" x14ac:dyDescent="0.25">
      <c r="B5" s="476" t="s">
        <v>101</v>
      </c>
      <c r="C5" s="269" t="s">
        <v>362</v>
      </c>
    </row>
    <row r="6" spans="2:3" s="1" customFormat="1" ht="72" customHeight="1" x14ac:dyDescent="0.25">
      <c r="B6" s="476" t="s">
        <v>88</v>
      </c>
      <c r="C6" s="269" t="s">
        <v>363</v>
      </c>
    </row>
    <row r="7" spans="2:3" s="1" customFormat="1" ht="40.65" customHeight="1" x14ac:dyDescent="0.25">
      <c r="B7" s="476" t="s">
        <v>96</v>
      </c>
      <c r="C7" s="269" t="s">
        <v>364</v>
      </c>
    </row>
    <row r="8" spans="2:3" s="1" customFormat="1" ht="15.75" customHeight="1" x14ac:dyDescent="0.25">
      <c r="B8" s="476" t="s">
        <v>365</v>
      </c>
      <c r="C8" s="269" t="s">
        <v>366</v>
      </c>
    </row>
    <row r="9" spans="2:3" s="1" customFormat="1" ht="124.2" x14ac:dyDescent="0.25">
      <c r="B9" s="476" t="s">
        <v>367</v>
      </c>
      <c r="C9" s="269" t="s">
        <v>368</v>
      </c>
    </row>
    <row r="10" spans="2:3" s="1" customFormat="1" ht="42" customHeight="1" x14ac:dyDescent="0.25">
      <c r="B10" s="476" t="s">
        <v>369</v>
      </c>
      <c r="C10" s="269" t="s">
        <v>370</v>
      </c>
    </row>
    <row r="11" spans="2:3" s="1" customFormat="1" ht="81" customHeight="1" x14ac:dyDescent="0.25">
      <c r="B11" s="476" t="s">
        <v>371</v>
      </c>
      <c r="C11" s="269" t="s">
        <v>372</v>
      </c>
    </row>
    <row r="12" spans="2:3" s="1" customFormat="1" ht="42" customHeight="1" x14ac:dyDescent="0.25">
      <c r="B12" s="476" t="s">
        <v>103</v>
      </c>
      <c r="C12" s="269" t="s">
        <v>373</v>
      </c>
    </row>
    <row r="13" spans="2:3" s="1" customFormat="1" ht="28.05" customHeight="1" x14ac:dyDescent="0.25">
      <c r="B13" s="476" t="s">
        <v>98</v>
      </c>
      <c r="C13" s="269" t="s">
        <v>374</v>
      </c>
    </row>
    <row r="14" spans="2:3" s="1" customFormat="1" ht="78" customHeight="1" x14ac:dyDescent="0.25">
      <c r="B14" s="476" t="s">
        <v>375</v>
      </c>
      <c r="C14" s="269" t="s">
        <v>376</v>
      </c>
    </row>
    <row r="15" spans="2:3" s="1" customFormat="1" ht="129.75" customHeight="1" x14ac:dyDescent="0.25">
      <c r="B15" s="476" t="s">
        <v>93</v>
      </c>
      <c r="C15" s="269" t="s">
        <v>377</v>
      </c>
    </row>
    <row r="16" spans="2:3" s="1" customFormat="1" ht="13.2" x14ac:dyDescent="0.25">
      <c r="B16"/>
      <c r="C16"/>
    </row>
    <row r="17" spans="2:3" s="1" customFormat="1" ht="13.2" x14ac:dyDescent="0.25">
      <c r="B17"/>
      <c r="C17"/>
    </row>
    <row r="18" spans="2:3" s="1" customFormat="1" ht="13.2" x14ac:dyDescent="0.25">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B1:C12"/>
  <sheetViews>
    <sheetView showGridLines="0" showRowColHeaders="0" workbookViewId="0">
      <pane ySplit="3" topLeftCell="A4" activePane="bottomLeft" state="frozen"/>
      <selection pane="bottomLeft" activeCell="C14" sqref="C14"/>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561" t="s">
        <v>378</v>
      </c>
      <c r="C2" s="561"/>
    </row>
    <row r="3" spans="2:3" s="1" customFormat="1" ht="15.6" x14ac:dyDescent="0.3">
      <c r="B3" s="475" t="s">
        <v>297</v>
      </c>
      <c r="C3" s="475" t="s">
        <v>298</v>
      </c>
    </row>
    <row r="4" spans="2:3" s="1" customFormat="1" ht="25.05" customHeight="1" x14ac:dyDescent="0.25">
      <c r="B4" s="476" t="s">
        <v>379</v>
      </c>
      <c r="C4" s="269" t="s">
        <v>380</v>
      </c>
    </row>
    <row r="5" spans="2:3" s="1" customFormat="1" ht="25.05" customHeight="1" x14ac:dyDescent="0.25">
      <c r="B5" s="476" t="s">
        <v>170</v>
      </c>
      <c r="C5" s="269" t="s">
        <v>381</v>
      </c>
    </row>
    <row r="6" spans="2:3" s="1" customFormat="1" ht="25.05" customHeight="1" x14ac:dyDescent="0.25">
      <c r="B6" s="476" t="s">
        <v>382</v>
      </c>
      <c r="C6" s="269" t="s">
        <v>383</v>
      </c>
    </row>
    <row r="7" spans="2:3" s="1" customFormat="1" ht="25.05" customHeight="1" x14ac:dyDescent="0.25">
      <c r="B7" s="476" t="s">
        <v>171</v>
      </c>
      <c r="C7" s="269" t="s">
        <v>384</v>
      </c>
    </row>
    <row r="8" spans="2:3" s="1" customFormat="1" ht="25.05" customHeight="1" x14ac:dyDescent="0.25">
      <c r="B8" s="476" t="s">
        <v>385</v>
      </c>
      <c r="C8" s="269" t="s">
        <v>386</v>
      </c>
    </row>
    <row r="9" spans="2:3" s="1" customFormat="1" ht="25.05" customHeight="1" x14ac:dyDescent="0.25">
      <c r="B9" s="476" t="s">
        <v>387</v>
      </c>
      <c r="C9" s="269" t="s">
        <v>388</v>
      </c>
    </row>
    <row r="10" spans="2:3" s="1" customFormat="1" ht="24.75" customHeight="1" x14ac:dyDescent="0.25">
      <c r="B10" s="476" t="s">
        <v>172</v>
      </c>
      <c r="C10" s="269" t="s">
        <v>389</v>
      </c>
    </row>
    <row r="11" spans="2:3" s="1" customFormat="1" ht="13.2" x14ac:dyDescent="0.25">
      <c r="B11"/>
      <c r="C11"/>
    </row>
    <row r="12" spans="2:3" s="1" customFormat="1" ht="13.2" x14ac:dyDescent="0.25">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B1:C2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7.21875" style="2" customWidth="1"/>
    <col min="3" max="3" width="97.109375" style="2" customWidth="1"/>
    <col min="4" max="4" width="1" style="2" customWidth="1"/>
    <col min="5" max="16384" width="9.109375" style="2"/>
  </cols>
  <sheetData>
    <row r="1" spans="2:3" ht="5.0999999999999996" customHeight="1" thickBot="1" x14ac:dyDescent="0.35"/>
    <row r="2" spans="2:3" ht="38.25" customHeight="1" thickBot="1" x14ac:dyDescent="0.35">
      <c r="B2" s="561" t="s">
        <v>390</v>
      </c>
      <c r="C2" s="561"/>
    </row>
    <row r="3" spans="2:3" s="1" customFormat="1" ht="15.6" x14ac:dyDescent="0.3">
      <c r="B3" s="475" t="s">
        <v>297</v>
      </c>
      <c r="C3" s="475" t="s">
        <v>298</v>
      </c>
    </row>
    <row r="4" spans="2:3" s="1" customFormat="1" ht="82.8" x14ac:dyDescent="0.25">
      <c r="B4" s="476" t="s">
        <v>101</v>
      </c>
      <c r="C4" s="269" t="s">
        <v>362</v>
      </c>
    </row>
    <row r="5" spans="2:3" s="1" customFormat="1" ht="55.2" x14ac:dyDescent="0.25">
      <c r="B5" s="476" t="s">
        <v>391</v>
      </c>
      <c r="C5" s="269" t="s">
        <v>392</v>
      </c>
    </row>
    <row r="6" spans="2:3" s="1" customFormat="1" ht="41.4" x14ac:dyDescent="0.25">
      <c r="B6" s="476" t="s">
        <v>393</v>
      </c>
      <c r="C6" s="269" t="s">
        <v>394</v>
      </c>
    </row>
    <row r="7" spans="2:3" s="1" customFormat="1" ht="52.5" customHeight="1" x14ac:dyDescent="0.25">
      <c r="B7" s="476" t="s">
        <v>395</v>
      </c>
      <c r="C7" s="269" t="s">
        <v>396</v>
      </c>
    </row>
    <row r="8" spans="2:3" s="1" customFormat="1" ht="15.75" customHeight="1" x14ac:dyDescent="0.25">
      <c r="B8" s="476" t="s">
        <v>397</v>
      </c>
      <c r="C8" s="269" t="s">
        <v>398</v>
      </c>
    </row>
    <row r="9" spans="2:3" s="1" customFormat="1" ht="41.4" x14ac:dyDescent="0.25">
      <c r="B9" s="476" t="s">
        <v>399</v>
      </c>
      <c r="C9" s="269" t="s">
        <v>400</v>
      </c>
    </row>
    <row r="10" spans="2:3" s="1" customFormat="1" ht="108" customHeight="1" x14ac:dyDescent="0.25">
      <c r="B10" s="476" t="s">
        <v>401</v>
      </c>
      <c r="C10" s="269" t="s">
        <v>402</v>
      </c>
    </row>
    <row r="11" spans="2:3" s="1" customFormat="1" ht="29.25" customHeight="1" x14ac:dyDescent="0.25">
      <c r="B11" s="476" t="s">
        <v>367</v>
      </c>
      <c r="C11" s="269" t="s">
        <v>403</v>
      </c>
    </row>
    <row r="12" spans="2:3" s="1" customFormat="1" ht="19.05" customHeight="1" x14ac:dyDescent="0.25">
      <c r="B12" s="476" t="s">
        <v>121</v>
      </c>
      <c r="C12" s="269" t="s">
        <v>404</v>
      </c>
    </row>
    <row r="13" spans="2:3" s="1" customFormat="1" ht="55.2" x14ac:dyDescent="0.25">
      <c r="B13" s="476" t="s">
        <v>405</v>
      </c>
      <c r="C13" s="269" t="s">
        <v>406</v>
      </c>
    </row>
    <row r="14" spans="2:3" s="1" customFormat="1" ht="41.4" x14ac:dyDescent="0.25">
      <c r="B14" s="476" t="s">
        <v>407</v>
      </c>
      <c r="C14" s="269" t="s">
        <v>408</v>
      </c>
    </row>
    <row r="15" spans="2:3" s="1" customFormat="1" ht="27.6" x14ac:dyDescent="0.25">
      <c r="B15" s="476" t="s">
        <v>409</v>
      </c>
      <c r="C15" s="269" t="s">
        <v>410</v>
      </c>
    </row>
    <row r="16" spans="2:3" s="1" customFormat="1" ht="41.4" x14ac:dyDescent="0.25">
      <c r="B16" s="476" t="s">
        <v>411</v>
      </c>
      <c r="C16" s="269" t="s">
        <v>412</v>
      </c>
    </row>
    <row r="17" spans="2:3" s="1" customFormat="1" x14ac:dyDescent="0.25">
      <c r="B17" s="476" t="s">
        <v>413</v>
      </c>
      <c r="C17" s="269" t="s">
        <v>414</v>
      </c>
    </row>
    <row r="18" spans="2:3" s="1" customFormat="1" ht="41.4" x14ac:dyDescent="0.25">
      <c r="B18" s="476" t="s">
        <v>415</v>
      </c>
      <c r="C18" s="269" t="s">
        <v>416</v>
      </c>
    </row>
    <row r="19" spans="2:3" s="1" customFormat="1" x14ac:dyDescent="0.25">
      <c r="B19" s="476" t="s">
        <v>103</v>
      </c>
      <c r="C19" s="269" t="s">
        <v>417</v>
      </c>
    </row>
    <row r="20" spans="2:3" s="1" customFormat="1" ht="82.8" x14ac:dyDescent="0.25">
      <c r="B20" s="476" t="s">
        <v>418</v>
      </c>
      <c r="C20" s="269" t="s">
        <v>419</v>
      </c>
    </row>
    <row r="21" spans="2:3" s="1" customFormat="1" ht="65.25" customHeight="1" x14ac:dyDescent="0.25">
      <c r="B21" s="476" t="s">
        <v>420</v>
      </c>
      <c r="C21" s="269" t="s">
        <v>421</v>
      </c>
    </row>
    <row r="22" spans="2:3" s="1" customFormat="1" ht="129.75" customHeight="1" x14ac:dyDescent="0.25">
      <c r="B22" s="476" t="s">
        <v>422</v>
      </c>
      <c r="C22" s="269" t="s">
        <v>423</v>
      </c>
    </row>
    <row r="23" spans="2:3" s="1" customFormat="1" ht="13.2" x14ac:dyDescent="0.25">
      <c r="B23"/>
      <c r="C23"/>
    </row>
    <row r="24" spans="2:3" s="1" customFormat="1" ht="13.2" x14ac:dyDescent="0.25">
      <c r="B24"/>
      <c r="C24"/>
    </row>
    <row r="25" spans="2:3" s="1" customFormat="1" ht="13.2" x14ac:dyDescent="0.25">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dimension ref="B1:C2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6.109375" style="2" customWidth="1"/>
    <col min="3" max="3" width="97.109375" style="2" customWidth="1"/>
    <col min="4" max="4" width="1" style="2" customWidth="1"/>
    <col min="5" max="16384" width="9.109375" style="2"/>
  </cols>
  <sheetData>
    <row r="1" spans="2:3" ht="5.0999999999999996" customHeight="1" thickBot="1" x14ac:dyDescent="0.35"/>
    <row r="2" spans="2:3" ht="38.25" customHeight="1" thickBot="1" x14ac:dyDescent="0.35">
      <c r="B2" s="561" t="s">
        <v>424</v>
      </c>
      <c r="C2" s="561"/>
    </row>
    <row r="3" spans="2:3" s="1" customFormat="1" ht="15.6" x14ac:dyDescent="0.3">
      <c r="B3" s="475" t="s">
        <v>297</v>
      </c>
      <c r="C3" s="475" t="s">
        <v>298</v>
      </c>
    </row>
    <row r="4" spans="2:3" s="1" customFormat="1" ht="27.6" x14ac:dyDescent="0.25">
      <c r="B4" s="476" t="s">
        <v>131</v>
      </c>
      <c r="C4" s="269" t="s">
        <v>361</v>
      </c>
    </row>
    <row r="5" spans="2:3" s="1" customFormat="1" ht="55.2" x14ac:dyDescent="0.25">
      <c r="B5" s="476" t="s">
        <v>96</v>
      </c>
      <c r="C5" s="269" t="s">
        <v>425</v>
      </c>
    </row>
    <row r="6" spans="2:3" s="1" customFormat="1" ht="27.6" x14ac:dyDescent="0.25">
      <c r="B6" s="476" t="s">
        <v>132</v>
      </c>
      <c r="C6" s="269" t="s">
        <v>426</v>
      </c>
    </row>
    <row r="7" spans="2:3" s="1" customFormat="1" ht="46.5" customHeight="1" x14ac:dyDescent="0.25">
      <c r="B7" s="476" t="s">
        <v>133</v>
      </c>
      <c r="C7" s="269" t="s">
        <v>427</v>
      </c>
    </row>
    <row r="8" spans="2:3" s="1" customFormat="1" ht="82.8" x14ac:dyDescent="0.25">
      <c r="B8" s="476" t="s">
        <v>134</v>
      </c>
      <c r="C8" s="269" t="s">
        <v>428</v>
      </c>
    </row>
    <row r="9" spans="2:3" s="1" customFormat="1" ht="27.6" x14ac:dyDescent="0.25">
      <c r="B9" s="476" t="s">
        <v>135</v>
      </c>
      <c r="C9" s="269" t="s">
        <v>429</v>
      </c>
    </row>
    <row r="10" spans="2:3" s="1" customFormat="1" ht="179.4" x14ac:dyDescent="0.25">
      <c r="B10" s="476" t="s">
        <v>399</v>
      </c>
      <c r="C10" s="269" t="s">
        <v>430</v>
      </c>
    </row>
    <row r="11" spans="2:3" s="1" customFormat="1" ht="238.65" customHeight="1" x14ac:dyDescent="0.25">
      <c r="B11" s="477" t="s">
        <v>431</v>
      </c>
      <c r="C11" s="269" t="s">
        <v>432</v>
      </c>
    </row>
    <row r="12" spans="2:3" s="1" customFormat="1" ht="82.8" x14ac:dyDescent="0.25">
      <c r="B12" s="476" t="s">
        <v>367</v>
      </c>
      <c r="C12" s="269" t="s">
        <v>433</v>
      </c>
    </row>
    <row r="13" spans="2:3" s="1" customFormat="1" ht="52.5" customHeight="1" x14ac:dyDescent="0.25">
      <c r="B13" s="476" t="s">
        <v>136</v>
      </c>
      <c r="C13" s="269" t="s">
        <v>434</v>
      </c>
    </row>
    <row r="14" spans="2:3" s="1" customFormat="1" ht="41.4" x14ac:dyDescent="0.25">
      <c r="B14" s="476" t="s">
        <v>103</v>
      </c>
      <c r="C14" s="269" t="s">
        <v>435</v>
      </c>
    </row>
    <row r="15" spans="2:3" s="1" customFormat="1" ht="27.6" x14ac:dyDescent="0.25">
      <c r="B15" s="476" t="s">
        <v>137</v>
      </c>
      <c r="C15" s="269" t="s">
        <v>436</v>
      </c>
    </row>
    <row r="16" spans="2:3" s="1" customFormat="1" ht="41.4" x14ac:dyDescent="0.25">
      <c r="B16" s="476" t="s">
        <v>138</v>
      </c>
      <c r="C16" s="269" t="s">
        <v>437</v>
      </c>
    </row>
    <row r="17" spans="2:3" s="1" customFormat="1" ht="27.6" x14ac:dyDescent="0.25">
      <c r="B17" s="476" t="s">
        <v>139</v>
      </c>
      <c r="C17" s="269" t="s">
        <v>438</v>
      </c>
    </row>
    <row r="18" spans="2:3" s="1" customFormat="1" ht="27.6" x14ac:dyDescent="0.25">
      <c r="B18" s="476" t="s">
        <v>140</v>
      </c>
      <c r="C18" s="269" t="s">
        <v>439</v>
      </c>
    </row>
    <row r="19" spans="2:3" s="1" customFormat="1" ht="55.2" x14ac:dyDescent="0.25">
      <c r="B19" s="476" t="s">
        <v>141</v>
      </c>
      <c r="C19" s="269" t="s">
        <v>440</v>
      </c>
    </row>
    <row r="20" spans="2:3" s="1" customFormat="1" ht="27.6" x14ac:dyDescent="0.25">
      <c r="B20" s="476" t="s">
        <v>142</v>
      </c>
      <c r="C20" s="269" t="s">
        <v>441</v>
      </c>
    </row>
    <row r="21" spans="2:3" s="1" customFormat="1" ht="41.4" x14ac:dyDescent="0.25">
      <c r="B21" s="476" t="s">
        <v>143</v>
      </c>
      <c r="C21" s="269" t="s">
        <v>442</v>
      </c>
    </row>
    <row r="22" spans="2:3" s="1" customFormat="1" ht="27.6" x14ac:dyDescent="0.25">
      <c r="B22" s="476" t="s">
        <v>144</v>
      </c>
      <c r="C22" s="269" t="s">
        <v>443</v>
      </c>
    </row>
    <row r="23" spans="2:3" s="1" customFormat="1" ht="13.2" x14ac:dyDescent="0.25">
      <c r="B23"/>
      <c r="C23"/>
    </row>
    <row r="24" spans="2:3" s="1" customFormat="1" ht="13.2" x14ac:dyDescent="0.25">
      <c r="B24"/>
      <c r="C24"/>
    </row>
    <row r="25" spans="2:3" s="1" customFormat="1" ht="13.2" x14ac:dyDescent="0.25">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dimension ref="B1:C1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1.88671875" style="2" customWidth="1"/>
    <col min="3" max="3" width="101.21875" style="2" customWidth="1"/>
    <col min="4" max="4" width="1" style="2" customWidth="1"/>
    <col min="5" max="16384" width="9.109375" style="2"/>
  </cols>
  <sheetData>
    <row r="1" spans="2:3" ht="5.0999999999999996" customHeight="1" thickBot="1" x14ac:dyDescent="0.35"/>
    <row r="2" spans="2:3" ht="38.25" customHeight="1" thickBot="1" x14ac:dyDescent="0.35">
      <c r="B2" s="561" t="s">
        <v>444</v>
      </c>
      <c r="C2" s="561"/>
    </row>
    <row r="3" spans="2:3" s="1" customFormat="1" ht="15.6" x14ac:dyDescent="0.3">
      <c r="B3" s="475" t="s">
        <v>297</v>
      </c>
      <c r="C3" s="475" t="s">
        <v>298</v>
      </c>
    </row>
    <row r="4" spans="2:3" s="1" customFormat="1" ht="53.25" customHeight="1" x14ac:dyDescent="0.25">
      <c r="B4" s="476" t="s">
        <v>145</v>
      </c>
      <c r="C4" s="269" t="s">
        <v>445</v>
      </c>
    </row>
    <row r="5" spans="2:3" s="1" customFormat="1" ht="110.4" x14ac:dyDescent="0.25">
      <c r="B5" s="476" t="s">
        <v>146</v>
      </c>
      <c r="C5" s="269" t="s">
        <v>446</v>
      </c>
    </row>
    <row r="6" spans="2:3" s="1" customFormat="1" ht="26.25" customHeight="1" x14ac:dyDescent="0.25">
      <c r="B6" s="476" t="s">
        <v>147</v>
      </c>
      <c r="C6" s="269" t="s">
        <v>447</v>
      </c>
    </row>
    <row r="7" spans="2:3" s="1" customFormat="1" ht="28.5" customHeight="1" x14ac:dyDescent="0.25">
      <c r="B7" s="476" t="s">
        <v>148</v>
      </c>
      <c r="C7" s="269" t="s">
        <v>448</v>
      </c>
    </row>
    <row r="8" spans="2:3" s="1" customFormat="1" ht="29.25" customHeight="1" x14ac:dyDescent="0.25">
      <c r="B8" s="476" t="s">
        <v>103</v>
      </c>
      <c r="C8" s="269" t="s">
        <v>449</v>
      </c>
    </row>
    <row r="9" spans="2:3" s="1" customFormat="1" ht="41.4" x14ac:dyDescent="0.25">
      <c r="B9" s="476" t="s">
        <v>450</v>
      </c>
      <c r="C9" s="269" t="s">
        <v>451</v>
      </c>
    </row>
    <row r="10" spans="2:3" s="1" customFormat="1" ht="41.25" customHeight="1" x14ac:dyDescent="0.25">
      <c r="B10" s="476" t="s">
        <v>150</v>
      </c>
      <c r="C10" s="269" t="s">
        <v>452</v>
      </c>
    </row>
    <row r="11" spans="2:3" s="1" customFormat="1" ht="45" customHeight="1" x14ac:dyDescent="0.25">
      <c r="B11" s="476" t="s">
        <v>151</v>
      </c>
      <c r="C11" s="269" t="s">
        <v>453</v>
      </c>
    </row>
    <row r="12" spans="2:3" s="1" customFormat="1" ht="30" customHeight="1" x14ac:dyDescent="0.25">
      <c r="B12" s="476" t="s">
        <v>152</v>
      </c>
      <c r="C12" s="269" t="s">
        <v>454</v>
      </c>
    </row>
    <row r="13" spans="2:3" s="1" customFormat="1" ht="13.2" x14ac:dyDescent="0.25">
      <c r="B13"/>
      <c r="C13"/>
    </row>
    <row r="14" spans="2:3" s="1" customFormat="1" ht="13.2" x14ac:dyDescent="0.25">
      <c r="B14"/>
      <c r="C14"/>
    </row>
    <row r="15" spans="2:3" s="1" customFormat="1" ht="13.2" x14ac:dyDescent="0.25">
      <c r="B15"/>
      <c r="C15"/>
    </row>
  </sheetData>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B1:C31"/>
  <sheetViews>
    <sheetView showGridLines="0" showRowColHeaders="0" workbookViewId="0">
      <selection activeCell="N15" sqref="N15"/>
    </sheetView>
  </sheetViews>
  <sheetFormatPr defaultColWidth="9.109375" defaultRowHeight="13.8" x14ac:dyDescent="0.3"/>
  <cols>
    <col min="1" max="1" width="1" style="2" customWidth="1"/>
    <col min="2" max="2" width="66.77734375" style="2" customWidth="1"/>
    <col min="3" max="3" width="66.44140625" style="2" customWidth="1"/>
    <col min="4" max="4" width="1" style="2" customWidth="1"/>
    <col min="5" max="16384" width="9.109375" style="2"/>
  </cols>
  <sheetData>
    <row r="1" spans="2:3" ht="5.0999999999999996" customHeight="1" thickBot="1" x14ac:dyDescent="0.35"/>
    <row r="2" spans="2:3" ht="38.25" customHeight="1" thickBot="1" x14ac:dyDescent="0.35">
      <c r="B2" s="561" t="s">
        <v>455</v>
      </c>
      <c r="C2" s="561"/>
    </row>
    <row r="3" spans="2:3" x14ac:dyDescent="0.3">
      <c r="B3" s="456"/>
      <c r="C3" s="457"/>
    </row>
    <row r="4" spans="2:3" ht="15.6" x14ac:dyDescent="0.3">
      <c r="B4" s="19" t="s">
        <v>456</v>
      </c>
      <c r="C4" s="20" t="s">
        <v>457</v>
      </c>
    </row>
    <row r="5" spans="2:3" x14ac:dyDescent="0.3">
      <c r="B5" s="8" t="s">
        <v>458</v>
      </c>
      <c r="C5" s="18" t="s">
        <v>459</v>
      </c>
    </row>
    <row r="6" spans="2:3" x14ac:dyDescent="0.3">
      <c r="B6" s="8" t="s">
        <v>460</v>
      </c>
      <c r="C6" s="152" t="s">
        <v>461</v>
      </c>
    </row>
    <row r="7" spans="2:3" x14ac:dyDescent="0.3">
      <c r="B7" s="8" t="s">
        <v>462</v>
      </c>
      <c r="C7" s="18" t="s">
        <v>463</v>
      </c>
    </row>
    <row r="8" spans="2:3" x14ac:dyDescent="0.3">
      <c r="B8" s="8" t="s">
        <v>464</v>
      </c>
      <c r="C8" s="18" t="s">
        <v>465</v>
      </c>
    </row>
    <row r="9" spans="2:3" x14ac:dyDescent="0.3">
      <c r="B9" s="8" t="s">
        <v>466</v>
      </c>
      <c r="C9" s="18" t="s">
        <v>467</v>
      </c>
    </row>
    <row r="10" spans="2:3" x14ac:dyDescent="0.3">
      <c r="B10" s="8" t="s">
        <v>468</v>
      </c>
      <c r="C10" s="18" t="s">
        <v>469</v>
      </c>
    </row>
    <row r="11" spans="2:3" x14ac:dyDescent="0.3">
      <c r="B11" s="151" t="s">
        <v>470</v>
      </c>
      <c r="C11" s="18" t="s">
        <v>471</v>
      </c>
    </row>
    <row r="12" spans="2:3" x14ac:dyDescent="0.3">
      <c r="B12" s="8"/>
      <c r="C12" s="18" t="s">
        <v>472</v>
      </c>
    </row>
    <row r="13" spans="2:3" x14ac:dyDescent="0.3">
      <c r="B13" s="8"/>
      <c r="C13" s="18" t="s">
        <v>473</v>
      </c>
    </row>
    <row r="14" spans="2:3" ht="15.6" x14ac:dyDescent="0.3">
      <c r="B14" s="19" t="s">
        <v>474</v>
      </c>
      <c r="C14" s="18" t="s">
        <v>475</v>
      </c>
    </row>
    <row r="15" spans="2:3" x14ac:dyDescent="0.3">
      <c r="B15" s="8" t="s">
        <v>476</v>
      </c>
      <c r="C15" s="18" t="s">
        <v>477</v>
      </c>
    </row>
    <row r="16" spans="2:3" x14ac:dyDescent="0.3">
      <c r="B16" s="8" t="s">
        <v>478</v>
      </c>
      <c r="C16" s="153" t="s">
        <v>479</v>
      </c>
    </row>
    <row r="17" spans="2:3" x14ac:dyDescent="0.3">
      <c r="B17" s="8" t="s">
        <v>480</v>
      </c>
      <c r="C17" s="153" t="s">
        <v>481</v>
      </c>
    </row>
    <row r="18" spans="2:3" x14ac:dyDescent="0.3">
      <c r="B18" s="8" t="s">
        <v>482</v>
      </c>
      <c r="C18" s="4"/>
    </row>
    <row r="19" spans="2:3" ht="15.6" x14ac:dyDescent="0.3">
      <c r="B19" s="8" t="s">
        <v>483</v>
      </c>
      <c r="C19" s="20" t="s">
        <v>106</v>
      </c>
    </row>
    <row r="20" spans="2:3" x14ac:dyDescent="0.3">
      <c r="B20" s="8" t="s">
        <v>484</v>
      </c>
      <c r="C20" s="18" t="s">
        <v>485</v>
      </c>
    </row>
    <row r="21" spans="2:3" x14ac:dyDescent="0.3">
      <c r="B21" s="8" t="s">
        <v>486</v>
      </c>
      <c r="C21" s="152" t="s">
        <v>487</v>
      </c>
    </row>
    <row r="22" spans="2:3" x14ac:dyDescent="0.3">
      <c r="B22" s="8"/>
      <c r="C22" s="18" t="s">
        <v>488</v>
      </c>
    </row>
    <row r="23" spans="2:3" x14ac:dyDescent="0.3">
      <c r="B23" s="8"/>
      <c r="C23" s="18"/>
    </row>
    <row r="24" spans="2:3" x14ac:dyDescent="0.3">
      <c r="B24" s="3"/>
      <c r="C24" s="4"/>
    </row>
    <row r="25" spans="2:3" ht="15.6" x14ac:dyDescent="0.3">
      <c r="B25" s="19" t="s">
        <v>102</v>
      </c>
      <c r="C25" s="20" t="s">
        <v>489</v>
      </c>
    </row>
    <row r="26" spans="2:3" x14ac:dyDescent="0.3">
      <c r="B26" s="8" t="s">
        <v>490</v>
      </c>
      <c r="C26" s="18" t="s">
        <v>491</v>
      </c>
    </row>
    <row r="27" spans="2:3" x14ac:dyDescent="0.3">
      <c r="B27" s="8" t="s">
        <v>492</v>
      </c>
      <c r="C27" s="18" t="s">
        <v>493</v>
      </c>
    </row>
    <row r="28" spans="2:3" x14ac:dyDescent="0.3">
      <c r="B28" s="8" t="s">
        <v>494</v>
      </c>
      <c r="C28" s="18" t="s">
        <v>495</v>
      </c>
    </row>
    <row r="29" spans="2:3" x14ac:dyDescent="0.3">
      <c r="B29" s="3"/>
      <c r="C29" s="152" t="s">
        <v>496</v>
      </c>
    </row>
    <row r="30" spans="2:3" x14ac:dyDescent="0.3">
      <c r="B30" s="3"/>
      <c r="C30" s="4" t="s">
        <v>497</v>
      </c>
    </row>
    <row r="31" spans="2:3" x14ac:dyDescent="0.3">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E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E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E00-000002000000}"/>
    <dataValidation allowBlank="1" showInputMessage="1" showErrorMessage="1" prompt="Costs incurred to determine deemed savings or other program-specific savings and other effects from EE program EM&amp;V." sqref="C19" xr:uid="{00000000-0002-0000-1E00-000003000000}"/>
    <dataValidation allowBlank="1" showInputMessage="1" showErrorMessage="1" prompt="Incremental costs incurred to be compliant with EE rules set forth by the APSC; should not include LCFC or Utility Performance Incentives.  " sqref="C25" xr:uid="{00000000-0002-0000-1E00-000004000000}"/>
    <dataValidation allowBlank="1" showInputMessage="1" showErrorMessage="1" prompt="Costs incurred to manage and/or support EE programs.  " sqref="B25" xr:uid="{00000000-0002-0000-1E00-000005000000}"/>
  </dataValidation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02"/>
  <sheetViews>
    <sheetView showGridLines="0" showRowColHeaders="0" topLeftCell="C1" zoomScale="110" zoomScaleNormal="110" workbookViewId="0">
      <pane ySplit="2" topLeftCell="A3" activePane="bottomLeft" state="frozen"/>
      <selection activeCell="P31" sqref="P31"/>
      <selection pane="bottomLeft" activeCell="Q9" sqref="Q9"/>
    </sheetView>
  </sheetViews>
  <sheetFormatPr defaultColWidth="9.109375" defaultRowHeight="13.8" x14ac:dyDescent="0.3"/>
  <cols>
    <col min="1" max="1" width="1" style="2" customWidth="1"/>
    <col min="2" max="2" width="3.77734375" style="2" customWidth="1"/>
    <col min="3" max="3" width="26" style="2" bestFit="1" customWidth="1"/>
    <col min="4" max="4" width="30.88671875" style="2" customWidth="1"/>
    <col min="5" max="5" width="9.109375" style="2"/>
    <col min="6" max="6" width="11.44140625" style="2" customWidth="1"/>
    <col min="7" max="10" width="9.109375" style="2"/>
    <col min="11" max="11" width="15.21875" style="2" customWidth="1"/>
    <col min="12" max="12" width="1" style="2" customWidth="1"/>
    <col min="13" max="13" width="16" style="2" customWidth="1"/>
    <col min="14" max="15" width="0" style="2" hidden="1" customWidth="1"/>
    <col min="16" max="16384" width="9.109375" style="2"/>
  </cols>
  <sheetData>
    <row r="1" spans="2:15" ht="28.5" customHeight="1" x14ac:dyDescent="0.3"/>
    <row r="2" spans="2:15" ht="64.5" customHeight="1" x14ac:dyDescent="0.3">
      <c r="B2" s="453"/>
      <c r="C2" s="454"/>
      <c r="D2" s="454"/>
      <c r="E2" s="454"/>
      <c r="F2" s="454"/>
      <c r="G2" s="454"/>
      <c r="H2" s="454"/>
      <c r="I2" s="454"/>
      <c r="J2" s="454"/>
      <c r="K2" s="455"/>
    </row>
    <row r="3" spans="2:15" ht="12.75" customHeight="1" x14ac:dyDescent="0.3">
      <c r="B3" s="456"/>
      <c r="C3" s="339" t="str">
        <f>IF(N14&gt;0,"Incomplete - All 'yellow' shaded cells must be completed.","")</f>
        <v/>
      </c>
      <c r="D3" s="336"/>
      <c r="E3" s="336"/>
      <c r="F3" s="336"/>
      <c r="G3" s="336"/>
      <c r="H3" s="336"/>
      <c r="I3" s="336"/>
      <c r="J3" s="336"/>
      <c r="K3" s="457"/>
    </row>
    <row r="4" spans="2:15" ht="15" customHeight="1" x14ac:dyDescent="0.3">
      <c r="B4" s="3"/>
      <c r="C4" s="9" t="s">
        <v>34</v>
      </c>
      <c r="F4" s="10" t="s">
        <v>68</v>
      </c>
      <c r="K4" s="4"/>
    </row>
    <row r="5" spans="2:15" ht="15" customHeight="1" x14ac:dyDescent="0.3">
      <c r="B5" s="259">
        <v>1</v>
      </c>
      <c r="C5" s="260" t="s">
        <v>69</v>
      </c>
      <c r="D5" s="169" t="s">
        <v>70</v>
      </c>
      <c r="F5" s="272" t="s">
        <v>71</v>
      </c>
      <c r="K5" s="4"/>
      <c r="N5" s="321">
        <f t="shared" ref="N5:N13" si="0">IF(ISBLANK(D5),1,0)</f>
        <v>0</v>
      </c>
    </row>
    <row r="6" spans="2:15" ht="15" customHeight="1" x14ac:dyDescent="0.3">
      <c r="B6" s="259">
        <v>2</v>
      </c>
      <c r="C6" s="260" t="s">
        <v>72</v>
      </c>
      <c r="D6" s="169" t="s">
        <v>73</v>
      </c>
      <c r="K6" s="4"/>
      <c r="N6" s="321">
        <f t="shared" si="0"/>
        <v>0</v>
      </c>
    </row>
    <row r="7" spans="2:15" ht="15" customHeight="1" x14ac:dyDescent="0.3">
      <c r="B7" s="259">
        <v>3</v>
      </c>
      <c r="C7" s="260" t="s">
        <v>74</v>
      </c>
      <c r="D7" s="344">
        <v>2025</v>
      </c>
      <c r="F7" s="10" t="str">
        <f>"Total "&amp;Prg_Year&amp;" Utility Revenue"</f>
        <v>Total 2025 Utility Revenue</v>
      </c>
      <c r="K7" s="4"/>
      <c r="N7" s="321">
        <f t="shared" si="0"/>
        <v>0</v>
      </c>
    </row>
    <row r="8" spans="2:15" ht="15" customHeight="1" x14ac:dyDescent="0.3">
      <c r="B8" s="259">
        <v>4</v>
      </c>
      <c r="C8" s="260" t="s">
        <v>75</v>
      </c>
      <c r="D8" s="169" t="s">
        <v>76</v>
      </c>
      <c r="F8" s="581">
        <v>17104616.859999999</v>
      </c>
      <c r="G8" s="582"/>
      <c r="H8" s="583"/>
      <c r="K8" s="4"/>
      <c r="N8" s="321">
        <f t="shared" si="0"/>
        <v>0</v>
      </c>
      <c r="O8" s="321">
        <f>IF(ISBLANK(F8),1,0)</f>
        <v>0</v>
      </c>
    </row>
    <row r="9" spans="2:15" ht="15" customHeight="1" x14ac:dyDescent="0.3">
      <c r="B9" s="259">
        <v>5</v>
      </c>
      <c r="C9" s="260" t="s">
        <v>77</v>
      </c>
      <c r="D9" s="273">
        <v>46143</v>
      </c>
      <c r="K9" s="4"/>
      <c r="N9" s="321">
        <f t="shared" si="0"/>
        <v>0</v>
      </c>
    </row>
    <row r="10" spans="2:15" ht="15" customHeight="1" x14ac:dyDescent="0.3">
      <c r="B10" s="259">
        <v>6</v>
      </c>
      <c r="C10" s="260" t="s">
        <v>78</v>
      </c>
      <c r="D10" s="169" t="s">
        <v>685</v>
      </c>
      <c r="F10" s="10" t="str">
        <f>"Total "&amp;Prg_Year&amp;" Utility Energy Sales ("&amp;Energy_2&amp;")"</f>
        <v>Total 2025 Utility Energy Sales (MWh)</v>
      </c>
      <c r="K10" s="4"/>
      <c r="N10" s="321">
        <f t="shared" si="0"/>
        <v>0</v>
      </c>
    </row>
    <row r="11" spans="2:15" ht="15" customHeight="1" x14ac:dyDescent="0.3">
      <c r="B11" s="259">
        <v>7</v>
      </c>
      <c r="C11" s="260" t="s">
        <v>79</v>
      </c>
      <c r="D11" s="169" t="s">
        <v>686</v>
      </c>
      <c r="F11" s="584">
        <v>180874532</v>
      </c>
      <c r="G11" s="585"/>
      <c r="H11" s="586"/>
      <c r="K11" s="4"/>
      <c r="N11" s="321">
        <f t="shared" si="0"/>
        <v>0</v>
      </c>
      <c r="O11" s="321">
        <f>IF(ISBLANK(F11),1,0)</f>
        <v>0</v>
      </c>
    </row>
    <row r="12" spans="2:15" ht="15" customHeight="1" x14ac:dyDescent="0.3">
      <c r="B12" s="259">
        <v>8</v>
      </c>
      <c r="C12" s="260" t="s">
        <v>80</v>
      </c>
      <c r="D12" s="169" t="s">
        <v>687</v>
      </c>
      <c r="K12" s="4"/>
      <c r="N12" s="321">
        <f t="shared" si="0"/>
        <v>0</v>
      </c>
    </row>
    <row r="13" spans="2:15" ht="15" customHeight="1" x14ac:dyDescent="0.3">
      <c r="B13" s="259">
        <v>9</v>
      </c>
      <c r="C13" s="2" t="s">
        <v>81</v>
      </c>
      <c r="D13" s="169">
        <v>1</v>
      </c>
      <c r="F13" s="10"/>
      <c r="K13" s="4"/>
      <c r="N13" s="321">
        <f t="shared" si="0"/>
        <v>0</v>
      </c>
    </row>
    <row r="14" spans="2:15" ht="15" customHeight="1" x14ac:dyDescent="0.3">
      <c r="B14" s="3"/>
      <c r="F14" s="10"/>
      <c r="K14" s="4"/>
      <c r="N14" s="321">
        <f>SUM(N5:O13)</f>
        <v>0</v>
      </c>
    </row>
    <row r="15" spans="2:15" ht="15" customHeight="1" x14ac:dyDescent="0.3">
      <c r="B15" s="5"/>
      <c r="C15" s="6"/>
      <c r="D15" s="6"/>
      <c r="E15" s="6"/>
      <c r="F15" s="6"/>
      <c r="G15" s="6"/>
      <c r="H15" s="6"/>
      <c r="I15" s="6"/>
      <c r="J15" s="6"/>
      <c r="K15" s="7"/>
    </row>
    <row r="16" spans="2:15" ht="15" customHeight="1" x14ac:dyDescent="0.3">
      <c r="B16" s="336"/>
      <c r="C16" s="336"/>
      <c r="D16" s="336"/>
      <c r="E16" s="336"/>
      <c r="F16" s="336"/>
      <c r="G16" s="336"/>
      <c r="H16" s="336"/>
      <c r="I16" s="336"/>
      <c r="J16" s="336"/>
      <c r="K16" s="336"/>
    </row>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sheetData>
  <sheetProtection password="C925" sheet="1" objects="1" scenarios="1"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B1:J29"/>
  <sheetViews>
    <sheetView showGridLines="0" showRowColHeaders="0" workbookViewId="0"/>
  </sheetViews>
  <sheetFormatPr defaultColWidth="9.109375" defaultRowHeight="13.8" x14ac:dyDescent="0.3"/>
  <cols>
    <col min="1" max="1" width="1" style="2" customWidth="1"/>
    <col min="2" max="2" width="21.88671875" style="2" customWidth="1"/>
    <col min="3" max="3" width="6.77734375" style="2" bestFit="1" customWidth="1"/>
    <col min="4" max="4" width="25.77734375" style="2" customWidth="1"/>
    <col min="5" max="5" width="29" style="2" bestFit="1" customWidth="1"/>
    <col min="6" max="6" width="2.109375" style="2" customWidth="1"/>
    <col min="7" max="7" width="21.44140625" style="2" customWidth="1"/>
    <col min="8" max="8" width="2.21875" style="2" customWidth="1"/>
    <col min="9" max="9" width="19" style="2" customWidth="1"/>
    <col min="10" max="10" width="5.21875" style="2" customWidth="1"/>
    <col min="11" max="11" width="1" style="2" customWidth="1"/>
    <col min="12" max="16384" width="9.109375" style="2"/>
  </cols>
  <sheetData>
    <row r="1" spans="2:10" ht="5.0999999999999996" customHeight="1" thickBot="1" x14ac:dyDescent="0.35"/>
    <row r="2" spans="2:10" ht="38.25" customHeight="1" thickBot="1" x14ac:dyDescent="0.35">
      <c r="B2" s="561" t="s">
        <v>498</v>
      </c>
      <c r="C2" s="561"/>
      <c r="D2" s="561"/>
      <c r="E2" s="561"/>
      <c r="F2" s="561"/>
      <c r="G2" s="561"/>
      <c r="H2" s="561"/>
      <c r="I2" s="561"/>
      <c r="J2" s="561"/>
    </row>
    <row r="3" spans="2:10" x14ac:dyDescent="0.3">
      <c r="B3" s="456"/>
      <c r="C3" s="336"/>
      <c r="D3" s="336"/>
      <c r="E3" s="336"/>
      <c r="F3" s="336"/>
      <c r="G3" s="336"/>
      <c r="H3" s="336"/>
      <c r="I3" s="336"/>
      <c r="J3" s="457"/>
    </row>
    <row r="4" spans="2:10" ht="15.6" x14ac:dyDescent="0.3">
      <c r="B4" s="19" t="s">
        <v>83</v>
      </c>
      <c r="C4" s="242" t="s">
        <v>499</v>
      </c>
      <c r="D4" s="9" t="s">
        <v>84</v>
      </c>
      <c r="E4" s="9" t="s">
        <v>85</v>
      </c>
      <c r="G4" s="9" t="s">
        <v>500</v>
      </c>
      <c r="H4" s="240"/>
      <c r="I4" s="240"/>
      <c r="J4" s="4"/>
    </row>
    <row r="5" spans="2:10" x14ac:dyDescent="0.3">
      <c r="B5" s="8" t="s">
        <v>112</v>
      </c>
      <c r="C5" s="243">
        <v>11</v>
      </c>
      <c r="D5" t="s">
        <v>360</v>
      </c>
      <c r="E5" t="s">
        <v>501</v>
      </c>
      <c r="G5" t="s">
        <v>379</v>
      </c>
      <c r="H5"/>
      <c r="I5"/>
      <c r="J5" s="4"/>
    </row>
    <row r="6" spans="2:10" x14ac:dyDescent="0.3">
      <c r="B6" s="8" t="s">
        <v>502</v>
      </c>
      <c r="C6" s="243"/>
      <c r="D6" t="s">
        <v>101</v>
      </c>
      <c r="E6" t="s">
        <v>503</v>
      </c>
      <c r="G6" t="s">
        <v>170</v>
      </c>
      <c r="H6"/>
      <c r="I6"/>
      <c r="J6" s="4"/>
    </row>
    <row r="7" spans="2:10" x14ac:dyDescent="0.3">
      <c r="B7" s="8" t="s">
        <v>87</v>
      </c>
      <c r="C7" s="243">
        <v>1</v>
      </c>
      <c r="D7" t="s">
        <v>88</v>
      </c>
      <c r="E7" t="s">
        <v>504</v>
      </c>
      <c r="G7" t="s">
        <v>382</v>
      </c>
      <c r="H7"/>
      <c r="I7"/>
      <c r="J7" s="4"/>
    </row>
    <row r="8" spans="2:10" x14ac:dyDescent="0.3">
      <c r="B8" s="8" t="s">
        <v>505</v>
      </c>
      <c r="C8" s="243">
        <v>2</v>
      </c>
      <c r="D8" t="s">
        <v>96</v>
      </c>
      <c r="E8" t="s">
        <v>506</v>
      </c>
      <c r="G8" t="s">
        <v>171</v>
      </c>
      <c r="H8"/>
      <c r="J8" s="4"/>
    </row>
    <row r="9" spans="2:10" x14ac:dyDescent="0.3">
      <c r="B9" s="8" t="s">
        <v>95</v>
      </c>
      <c r="C9" s="243">
        <v>4</v>
      </c>
      <c r="D9" t="s">
        <v>365</v>
      </c>
      <c r="E9" t="s">
        <v>91</v>
      </c>
      <c r="G9" t="s">
        <v>385</v>
      </c>
      <c r="H9"/>
      <c r="I9"/>
      <c r="J9" s="4"/>
    </row>
    <row r="10" spans="2:10" x14ac:dyDescent="0.3">
      <c r="B10" s="8" t="s">
        <v>507</v>
      </c>
      <c r="C10" s="243">
        <v>7</v>
      </c>
      <c r="D10" t="s">
        <v>367</v>
      </c>
      <c r="E10" t="s">
        <v>107</v>
      </c>
      <c r="G10" t="s">
        <v>387</v>
      </c>
      <c r="H10"/>
      <c r="I10"/>
      <c r="J10" s="4"/>
    </row>
    <row r="11" spans="2:10" x14ac:dyDescent="0.3">
      <c r="B11" s="8" t="s">
        <v>508</v>
      </c>
      <c r="C11" s="243">
        <v>8</v>
      </c>
      <c r="D11" t="s">
        <v>369</v>
      </c>
      <c r="E11" t="s">
        <v>89</v>
      </c>
      <c r="G11" t="s">
        <v>172</v>
      </c>
      <c r="H11"/>
      <c r="I11"/>
      <c r="J11" s="4"/>
    </row>
    <row r="12" spans="2:10" x14ac:dyDescent="0.3">
      <c r="B12" s="8" t="s">
        <v>103</v>
      </c>
      <c r="C12" s="243">
        <v>10</v>
      </c>
      <c r="D12" t="s">
        <v>371</v>
      </c>
      <c r="E12" t="s">
        <v>104</v>
      </c>
      <c r="G12"/>
      <c r="H12"/>
      <c r="I12"/>
      <c r="J12" s="4"/>
    </row>
    <row r="13" spans="2:10" x14ac:dyDescent="0.3">
      <c r="B13" s="8" t="s">
        <v>509</v>
      </c>
      <c r="C13" s="243"/>
      <c r="D13" t="s">
        <v>103</v>
      </c>
      <c r="E13" t="s">
        <v>510</v>
      </c>
      <c r="G13"/>
      <c r="H13"/>
      <c r="I13"/>
      <c r="J13" s="4"/>
    </row>
    <row r="14" spans="2:10" x14ac:dyDescent="0.3">
      <c r="B14" s="8" t="s">
        <v>511</v>
      </c>
      <c r="C14" s="243">
        <v>3</v>
      </c>
      <c r="D14" t="s">
        <v>98</v>
      </c>
      <c r="E14"/>
      <c r="G14"/>
      <c r="H14"/>
      <c r="I14"/>
      <c r="J14" s="4"/>
    </row>
    <row r="15" spans="2:10" x14ac:dyDescent="0.3">
      <c r="B15" s="8" t="s">
        <v>512</v>
      </c>
      <c r="C15" s="243">
        <v>5</v>
      </c>
      <c r="D15" t="s">
        <v>375</v>
      </c>
      <c r="E15"/>
      <c r="G15"/>
      <c r="H15"/>
      <c r="I15"/>
      <c r="J15" s="4"/>
    </row>
    <row r="16" spans="2:10" x14ac:dyDescent="0.3">
      <c r="B16" s="8" t="s">
        <v>513</v>
      </c>
      <c r="C16" s="243">
        <v>6</v>
      </c>
      <c r="D16" t="s">
        <v>93</v>
      </c>
      <c r="E16"/>
      <c r="G16"/>
      <c r="J16" s="4"/>
    </row>
    <row r="17" spans="2:10" x14ac:dyDescent="0.3">
      <c r="B17" s="8" t="s">
        <v>100</v>
      </c>
      <c r="C17" s="243">
        <v>9</v>
      </c>
      <c r="D17"/>
      <c r="E17"/>
      <c r="H17"/>
      <c r="I17" s="241"/>
      <c r="J17" s="4"/>
    </row>
    <row r="18" spans="2:10" x14ac:dyDescent="0.3">
      <c r="B18" s="8"/>
      <c r="C18"/>
      <c r="D18"/>
      <c r="E18"/>
      <c r="G18" s="241"/>
      <c r="H18"/>
      <c r="I18"/>
      <c r="J18" s="4"/>
    </row>
    <row r="19" spans="2:10" x14ac:dyDescent="0.3">
      <c r="B19" s="8"/>
      <c r="C19"/>
      <c r="D19"/>
      <c r="E19"/>
      <c r="G19"/>
      <c r="J19" s="4"/>
    </row>
    <row r="20" spans="2:10" x14ac:dyDescent="0.3">
      <c r="B20" s="8"/>
      <c r="C20"/>
      <c r="D20"/>
      <c r="E20"/>
      <c r="J20" s="4"/>
    </row>
    <row r="21" spans="2:10" x14ac:dyDescent="0.3">
      <c r="B21" s="8"/>
      <c r="C21"/>
      <c r="D21"/>
      <c r="E21"/>
      <c r="I21"/>
      <c r="J21" s="4"/>
    </row>
    <row r="22" spans="2:10" x14ac:dyDescent="0.3">
      <c r="B22" s="8"/>
      <c r="C22"/>
      <c r="D22"/>
      <c r="E22"/>
      <c r="I22" s="241"/>
      <c r="J22" s="4"/>
    </row>
    <row r="23" spans="2:10" x14ac:dyDescent="0.3">
      <c r="B23" s="8"/>
      <c r="C23"/>
      <c r="G23" s="241"/>
      <c r="I23"/>
      <c r="J23" s="4"/>
    </row>
    <row r="24" spans="2:10" x14ac:dyDescent="0.3">
      <c r="B24" s="8"/>
      <c r="C24"/>
      <c r="G24"/>
      <c r="J24" s="4"/>
    </row>
    <row r="25" spans="2:10" x14ac:dyDescent="0.3">
      <c r="B25" s="8"/>
      <c r="C25"/>
      <c r="J25" s="4"/>
    </row>
    <row r="26" spans="2:10" x14ac:dyDescent="0.3">
      <c r="B26" s="8"/>
      <c r="C26"/>
      <c r="J26" s="4"/>
    </row>
    <row r="27" spans="2:10" x14ac:dyDescent="0.3">
      <c r="B27" s="3"/>
      <c r="C27"/>
      <c r="J27" s="4"/>
    </row>
    <row r="28" spans="2:10" x14ac:dyDescent="0.3">
      <c r="B28" s="3"/>
      <c r="C28"/>
      <c r="J28" s="4"/>
    </row>
    <row r="29" spans="2:10" x14ac:dyDescent="0.3">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pageSetUpPr fitToPage="1"/>
  </sheetPr>
  <dimension ref="B1:AH56"/>
  <sheetViews>
    <sheetView showGridLines="0" zoomScale="80" zoomScaleNormal="80" workbookViewId="0">
      <pane xSplit="3" ySplit="4" topLeftCell="D5" activePane="bottomRight" state="frozen"/>
      <selection activeCell="P31" sqref="P31"/>
      <selection pane="topRight" activeCell="P31" sqref="P31"/>
      <selection pane="bottomLeft" activeCell="P31" sqref="P31"/>
      <selection pane="bottomRight" activeCell="AA4" sqref="AA4:AH19"/>
    </sheetView>
  </sheetViews>
  <sheetFormatPr defaultColWidth="9.109375" defaultRowHeight="13.8" x14ac:dyDescent="0.3"/>
  <cols>
    <col min="1" max="1" width="1" style="2" customWidth="1"/>
    <col min="2" max="2" width="4" style="2" customWidth="1"/>
    <col min="3" max="3" width="40.44140625" style="2" customWidth="1"/>
    <col min="4" max="4" width="15" style="2" customWidth="1"/>
    <col min="5" max="5" width="1.77734375" style="2" customWidth="1"/>
    <col min="6" max="9" width="11" style="2" bestFit="1" customWidth="1"/>
    <col min="10" max="10" width="1.77734375" style="2" customWidth="1"/>
    <col min="11" max="14" width="9.44140625" style="2" bestFit="1" customWidth="1"/>
    <col min="15" max="15" width="1.77734375" style="2" customWidth="1"/>
    <col min="16" max="19" width="10.77734375" style="2" customWidth="1"/>
    <col min="20" max="20" width="1.77734375" style="2" customWidth="1"/>
    <col min="21" max="24" width="10.77734375" style="2" customWidth="1"/>
    <col min="25" max="25" width="1.44140625" style="2" customWidth="1"/>
    <col min="26" max="26" width="1" style="2" customWidth="1"/>
    <col min="27" max="16384" width="9.109375" style="2"/>
  </cols>
  <sheetData>
    <row r="1" spans="2:34" ht="5.0999999999999996" customHeight="1" thickBot="1" x14ac:dyDescent="0.35"/>
    <row r="2" spans="2:34" ht="38.25" customHeight="1" x14ac:dyDescent="0.3">
      <c r="B2" s="631" t="s">
        <v>514</v>
      </c>
      <c r="C2" s="631"/>
      <c r="D2" s="631"/>
      <c r="E2" s="631"/>
      <c r="F2" s="631"/>
      <c r="G2" s="631"/>
      <c r="H2" s="631"/>
      <c r="I2" s="631"/>
      <c r="J2" s="631"/>
      <c r="K2" s="631"/>
      <c r="L2" s="631"/>
      <c r="M2" s="631"/>
      <c r="N2" s="631"/>
      <c r="O2" s="631"/>
      <c r="P2" s="631"/>
      <c r="Q2" s="631"/>
      <c r="R2" s="631"/>
      <c r="S2" s="631"/>
      <c r="T2" s="631"/>
      <c r="U2" s="631"/>
      <c r="V2" s="631"/>
      <c r="W2" s="631"/>
      <c r="X2" s="631"/>
      <c r="Y2" s="631"/>
    </row>
    <row r="3" spans="2:34" ht="73.05" customHeight="1" x14ac:dyDescent="0.3">
      <c r="B3" s="456"/>
      <c r="C3" s="336"/>
      <c r="D3" s="336"/>
      <c r="E3" s="336"/>
      <c r="F3" s="336"/>
      <c r="G3" s="336"/>
      <c r="H3" s="336"/>
      <c r="I3" s="336"/>
      <c r="J3" s="336"/>
      <c r="K3" s="336"/>
      <c r="L3" s="336"/>
      <c r="M3" s="336"/>
      <c r="N3" s="336"/>
      <c r="O3" s="336"/>
      <c r="P3" s="336"/>
      <c r="Q3" s="336"/>
      <c r="R3" s="336"/>
      <c r="S3" s="336"/>
      <c r="T3" s="336"/>
      <c r="U3" s="336"/>
      <c r="V3" s="336"/>
      <c r="W3" s="336"/>
      <c r="X3" s="336"/>
      <c r="Y3" s="457"/>
    </row>
    <row r="4" spans="2:34" ht="19.05" customHeight="1" x14ac:dyDescent="0.3">
      <c r="B4" s="3"/>
      <c r="Y4" s="4"/>
      <c r="AA4" s="708"/>
      <c r="AB4" s="708"/>
      <c r="AC4" s="708"/>
      <c r="AD4" s="708"/>
      <c r="AE4" s="708"/>
      <c r="AF4" s="708"/>
      <c r="AG4" s="708"/>
      <c r="AH4" s="708"/>
    </row>
    <row r="5" spans="2:34" ht="20.25" customHeight="1" x14ac:dyDescent="0.3">
      <c r="B5" s="3"/>
      <c r="D5" s="545"/>
      <c r="Y5" s="4"/>
      <c r="AA5" s="708"/>
      <c r="AB5" s="708"/>
      <c r="AC5" s="708"/>
      <c r="AD5" s="708"/>
      <c r="AE5" s="708"/>
      <c r="AF5" s="708"/>
      <c r="AG5" s="708"/>
      <c r="AH5" s="708"/>
    </row>
    <row r="6" spans="2:34" ht="18.600000000000001" thickBot="1" x14ac:dyDescent="0.4">
      <c r="B6" s="3"/>
      <c r="C6" s="640" t="s">
        <v>290</v>
      </c>
      <c r="D6" s="640"/>
      <c r="E6" s="276"/>
      <c r="F6" s="639" t="s">
        <v>515</v>
      </c>
      <c r="G6" s="639"/>
      <c r="H6" s="639"/>
      <c r="I6" s="639"/>
      <c r="K6" s="639" t="str">
        <f>"Annual Net Energy Savings ("&amp;Energy_1&amp;")"</f>
        <v>Annual Net Energy Savings (kWh)</v>
      </c>
      <c r="L6" s="639"/>
      <c r="M6" s="639"/>
      <c r="N6" s="639"/>
      <c r="P6" s="639" t="str">
        <f>"Annual Net Demand Savings ("&amp;Demand_1&amp;")"</f>
        <v>Annual Net Demand Savings (kW)</v>
      </c>
      <c r="Q6" s="639"/>
      <c r="R6" s="639"/>
      <c r="S6" s="639"/>
      <c r="U6" s="639" t="s">
        <v>516</v>
      </c>
      <c r="V6" s="639"/>
      <c r="W6" s="639"/>
      <c r="X6" s="639"/>
      <c r="Y6" s="4"/>
      <c r="AA6" s="709"/>
      <c r="AB6" s="709"/>
      <c r="AC6" s="709"/>
      <c r="AD6" s="709"/>
      <c r="AE6" s="709"/>
      <c r="AF6" s="709"/>
      <c r="AG6" s="708"/>
      <c r="AH6" s="708"/>
    </row>
    <row r="7" spans="2:34" x14ac:dyDescent="0.3">
      <c r="B7" s="3"/>
      <c r="F7" s="637">
        <v>2023</v>
      </c>
      <c r="G7" s="638"/>
      <c r="H7" s="637">
        <v>2024</v>
      </c>
      <c r="I7" s="638"/>
      <c r="K7" s="637">
        <v>2023</v>
      </c>
      <c r="L7" s="638"/>
      <c r="M7" s="637">
        <f>H7</f>
        <v>2024</v>
      </c>
      <c r="N7" s="638"/>
      <c r="P7" s="637">
        <v>2023</v>
      </c>
      <c r="Q7" s="638"/>
      <c r="R7" s="637">
        <v>2024</v>
      </c>
      <c r="S7" s="638"/>
      <c r="U7" s="637">
        <v>2023</v>
      </c>
      <c r="V7" s="638"/>
      <c r="W7" s="637">
        <v>2024</v>
      </c>
      <c r="X7" s="638"/>
      <c r="Y7" s="4"/>
      <c r="AA7" s="709"/>
      <c r="AB7" s="709"/>
      <c r="AC7" s="709"/>
      <c r="AD7" s="709"/>
      <c r="AE7" s="709"/>
      <c r="AF7" s="709"/>
      <c r="AG7" s="708"/>
      <c r="AH7" s="708"/>
    </row>
    <row r="8" spans="2:34" ht="12.75" customHeight="1" thickBot="1" x14ac:dyDescent="0.35">
      <c r="B8" s="8"/>
      <c r="C8" s="9" t="s">
        <v>82</v>
      </c>
      <c r="D8" s="9" t="s">
        <v>83</v>
      </c>
      <c r="E8" s="9"/>
      <c r="F8" s="124" t="s">
        <v>517</v>
      </c>
      <c r="G8" s="125" t="s">
        <v>518</v>
      </c>
      <c r="H8" s="124" t="s">
        <v>517</v>
      </c>
      <c r="I8" s="125" t="s">
        <v>518</v>
      </c>
      <c r="J8" s="9"/>
      <c r="K8" s="126" t="s">
        <v>519</v>
      </c>
      <c r="L8" s="127" t="s">
        <v>520</v>
      </c>
      <c r="M8" s="126" t="s">
        <v>519</v>
      </c>
      <c r="N8" s="127" t="s">
        <v>520</v>
      </c>
      <c r="O8" s="9"/>
      <c r="P8" s="126" t="s">
        <v>519</v>
      </c>
      <c r="Q8" s="127" t="s">
        <v>520</v>
      </c>
      <c r="R8" s="126" t="s">
        <v>519</v>
      </c>
      <c r="S8" s="127" t="s">
        <v>520</v>
      </c>
      <c r="U8" s="126" t="s">
        <v>519</v>
      </c>
      <c r="V8" s="127" t="s">
        <v>520</v>
      </c>
      <c r="W8" s="126" t="s">
        <v>519</v>
      </c>
      <c r="X8" s="127" t="s">
        <v>520</v>
      </c>
      <c r="Y8" s="4"/>
      <c r="AA8" s="709"/>
      <c r="AB8" s="709"/>
      <c r="AC8" s="709"/>
      <c r="AD8" s="709"/>
      <c r="AE8" s="709"/>
      <c r="AF8" s="709"/>
      <c r="AG8" s="708"/>
      <c r="AH8" s="708"/>
    </row>
    <row r="9" spans="2:34" ht="12.75" customHeight="1" x14ac:dyDescent="0.3">
      <c r="B9" s="259">
        <v>1</v>
      </c>
      <c r="C9" s="260" t="str">
        <f>'Program Descriptions'!D5</f>
        <v>Residential Products</v>
      </c>
      <c r="D9" s="260" t="str">
        <f>IF(C9="Empty","",'Program Descriptions'!E5)</f>
        <v>Residential</v>
      </c>
      <c r="E9" s="260"/>
      <c r="F9" s="553">
        <v>21725</v>
      </c>
      <c r="G9" s="123">
        <v>11400</v>
      </c>
      <c r="H9" s="553">
        <v>39885</v>
      </c>
      <c r="I9" s="123">
        <v>1300</v>
      </c>
      <c r="J9" s="9"/>
      <c r="K9" s="426">
        <v>103659</v>
      </c>
      <c r="L9" s="270">
        <v>36132</v>
      </c>
      <c r="M9" s="426">
        <v>79927</v>
      </c>
      <c r="N9" s="426">
        <v>7623</v>
      </c>
      <c r="O9" s="9"/>
      <c r="P9" s="426">
        <v>8.3000000000000007</v>
      </c>
      <c r="Q9" s="270">
        <v>6</v>
      </c>
      <c r="R9" s="426">
        <v>15</v>
      </c>
      <c r="S9" s="426">
        <v>0.47</v>
      </c>
      <c r="U9" s="426">
        <v>475</v>
      </c>
      <c r="V9" s="270">
        <v>475</v>
      </c>
      <c r="W9" s="426">
        <v>210</v>
      </c>
      <c r="X9" s="426">
        <v>10</v>
      </c>
      <c r="Y9" s="4"/>
      <c r="AA9" s="709"/>
      <c r="AB9" s="711"/>
      <c r="AC9" s="709"/>
      <c r="AD9" s="709"/>
      <c r="AE9" s="709"/>
      <c r="AF9" s="709"/>
      <c r="AG9" s="708"/>
      <c r="AH9" s="708"/>
    </row>
    <row r="10" spans="2:34" ht="12.75" customHeight="1" x14ac:dyDescent="0.3">
      <c r="B10" s="259">
        <v>2</v>
      </c>
      <c r="C10" s="260" t="str">
        <f>'Program Descriptions'!D6</f>
        <v>School-Based Energy Education</v>
      </c>
      <c r="D10" s="260" t="str">
        <f>IF(C10="Empty","",'Program Descriptions'!E6)</f>
        <v>Residential</v>
      </c>
      <c r="E10" s="260"/>
      <c r="F10" s="553">
        <v>14175</v>
      </c>
      <c r="G10" s="118">
        <v>12019</v>
      </c>
      <c r="H10" s="553">
        <v>16250</v>
      </c>
      <c r="I10" s="118">
        <v>12083</v>
      </c>
      <c r="J10" s="9"/>
      <c r="K10" s="426">
        <v>92418</v>
      </c>
      <c r="L10" s="270">
        <v>15435</v>
      </c>
      <c r="M10" s="426">
        <v>23962</v>
      </c>
      <c r="N10" s="426">
        <v>15683</v>
      </c>
      <c r="O10" s="9"/>
      <c r="P10" s="426">
        <v>8.5</v>
      </c>
      <c r="Q10" s="270">
        <v>2</v>
      </c>
      <c r="R10" s="426">
        <v>2</v>
      </c>
      <c r="S10" s="426">
        <v>2.5099999999999998</v>
      </c>
      <c r="U10" s="426">
        <v>350</v>
      </c>
      <c r="V10" s="270">
        <v>350</v>
      </c>
      <c r="W10" s="426">
        <v>325</v>
      </c>
      <c r="X10" s="426">
        <v>334</v>
      </c>
      <c r="Y10" s="4"/>
      <c r="AA10" s="709"/>
      <c r="AB10" s="711"/>
      <c r="AC10" s="709"/>
      <c r="AD10" s="709"/>
      <c r="AE10" s="709"/>
      <c r="AF10" s="709"/>
      <c r="AG10" s="708"/>
      <c r="AH10" s="708"/>
    </row>
    <row r="11" spans="2:34" ht="12.75" customHeight="1" x14ac:dyDescent="0.3">
      <c r="B11" s="259">
        <v>3</v>
      </c>
      <c r="C11" s="260" t="str">
        <f>'Program Descriptions'!D7</f>
        <v>Weatherization</v>
      </c>
      <c r="D11" s="260" t="str">
        <f>IF(C11="Empty","",'Program Descriptions'!E7)</f>
        <v>Residential</v>
      </c>
      <c r="E11" s="260"/>
      <c r="F11" s="553">
        <v>42000</v>
      </c>
      <c r="G11" s="118">
        <v>0</v>
      </c>
      <c r="H11" s="553">
        <v>24454</v>
      </c>
      <c r="I11" s="118">
        <v>7151</v>
      </c>
      <c r="J11" s="9"/>
      <c r="K11" s="426">
        <v>102270</v>
      </c>
      <c r="L11" s="270"/>
      <c r="M11" s="426">
        <v>62390</v>
      </c>
      <c r="N11" s="270">
        <v>13957</v>
      </c>
      <c r="O11" s="9"/>
      <c r="P11" s="426">
        <v>14</v>
      </c>
      <c r="Q11" s="270">
        <v>0</v>
      </c>
      <c r="R11" s="426">
        <v>12.6</v>
      </c>
      <c r="S11" s="270">
        <v>9.44</v>
      </c>
      <c r="U11" s="426">
        <v>0</v>
      </c>
      <c r="V11" s="270">
        <v>0</v>
      </c>
      <c r="W11" s="426">
        <v>15</v>
      </c>
      <c r="X11" s="270">
        <v>6</v>
      </c>
      <c r="Y11" s="4"/>
      <c r="AA11" s="709"/>
      <c r="AB11" s="709"/>
      <c r="AC11" s="709"/>
      <c r="AD11" s="709"/>
      <c r="AE11" s="709"/>
      <c r="AF11" s="709"/>
      <c r="AG11" s="708"/>
      <c r="AH11" s="708"/>
    </row>
    <row r="12" spans="2:34" ht="12.75" customHeight="1" x14ac:dyDescent="0.3">
      <c r="B12" s="259">
        <v>4</v>
      </c>
      <c r="C12" s="260" t="str">
        <f>'Program Descriptions'!D8</f>
        <v>Commercial and Industrial (Custom)</v>
      </c>
      <c r="D12" s="260" t="str">
        <f>IF(C12="Empty","",'Program Descriptions'!E8)</f>
        <v>Commercial &amp; Industrial</v>
      </c>
      <c r="E12" s="260"/>
      <c r="F12" s="553">
        <v>8747</v>
      </c>
      <c r="G12" s="118">
        <v>0</v>
      </c>
      <c r="H12" s="553">
        <v>5812</v>
      </c>
      <c r="I12" s="118"/>
      <c r="J12" s="9"/>
      <c r="K12" s="426">
        <v>25929</v>
      </c>
      <c r="L12" s="270"/>
      <c r="M12" s="426">
        <v>15034</v>
      </c>
      <c r="N12" s="270"/>
      <c r="O12" s="9"/>
      <c r="P12" s="426">
        <v>5.6</v>
      </c>
      <c r="Q12" s="270">
        <v>0</v>
      </c>
      <c r="R12" s="426">
        <v>5.3</v>
      </c>
      <c r="S12" s="270"/>
      <c r="U12" s="426">
        <v>0</v>
      </c>
      <c r="V12" s="270">
        <v>0</v>
      </c>
      <c r="W12" s="426">
        <v>2</v>
      </c>
      <c r="X12" s="270"/>
      <c r="Y12" s="4"/>
      <c r="AA12" s="709"/>
      <c r="AB12" s="711"/>
      <c r="AC12" s="709"/>
      <c r="AD12" s="709"/>
      <c r="AE12" s="709"/>
      <c r="AF12" s="709"/>
      <c r="AG12" s="708"/>
      <c r="AH12" s="708"/>
    </row>
    <row r="13" spans="2:34" ht="12.6" customHeight="1" x14ac:dyDescent="0.3">
      <c r="B13" s="259">
        <v>5</v>
      </c>
      <c r="C13" s="260" t="str">
        <f>'Program Descriptions'!D9</f>
        <v>Commercial and Industrial (Prescriptive)</v>
      </c>
      <c r="D13" s="260" t="str">
        <f>IF(C13="Empty","",'Program Descriptions'!E9)</f>
        <v>Commercial &amp; Industrial</v>
      </c>
      <c r="E13" s="260"/>
      <c r="F13" s="553">
        <v>17922</v>
      </c>
      <c r="G13" s="118">
        <v>0</v>
      </c>
      <c r="H13" s="553">
        <v>5000</v>
      </c>
      <c r="I13" s="118"/>
      <c r="J13" s="9"/>
      <c r="K13" s="426">
        <v>99582</v>
      </c>
      <c r="L13" s="270"/>
      <c r="M13" s="426">
        <v>36643</v>
      </c>
      <c r="N13" s="270"/>
      <c r="O13" s="9"/>
      <c r="P13" s="426">
        <v>19.3</v>
      </c>
      <c r="Q13" s="270">
        <v>0</v>
      </c>
      <c r="R13" s="426">
        <v>9.1999999999999993</v>
      </c>
      <c r="S13" s="270"/>
      <c r="U13" s="426">
        <v>0</v>
      </c>
      <c r="V13" s="270">
        <v>0</v>
      </c>
      <c r="W13" s="426">
        <v>2</v>
      </c>
      <c r="X13" s="270"/>
      <c r="Y13" s="4"/>
      <c r="AA13" s="709"/>
      <c r="AB13" s="709"/>
      <c r="AC13" s="709"/>
      <c r="AD13" s="709"/>
      <c r="AE13" s="709"/>
      <c r="AF13" s="709"/>
      <c r="AG13" s="708"/>
      <c r="AH13" s="708"/>
    </row>
    <row r="14" spans="2:34" ht="12.75" customHeight="1" x14ac:dyDescent="0.3">
      <c r="B14" s="259">
        <v>6</v>
      </c>
      <c r="C14" s="260" t="str">
        <f>'Program Descriptions'!D10</f>
        <v>Online Energy Calculator</v>
      </c>
      <c r="D14" s="260" t="str">
        <f>IF(C14="Empty","",'Program Descriptions'!E10)</f>
        <v>All Classes</v>
      </c>
      <c r="E14" s="260"/>
      <c r="F14" s="553">
        <v>2000</v>
      </c>
      <c r="G14" s="118">
        <v>5790</v>
      </c>
      <c r="H14" s="553">
        <v>4000</v>
      </c>
      <c r="I14" s="118"/>
      <c r="J14" s="9"/>
      <c r="K14" s="426"/>
      <c r="L14" s="270"/>
      <c r="M14" s="426"/>
      <c r="N14" s="270"/>
      <c r="O14" s="9"/>
      <c r="P14" s="121"/>
      <c r="Q14" s="270"/>
      <c r="R14" s="426"/>
      <c r="S14" s="557"/>
      <c r="U14" s="426"/>
      <c r="V14" s="121"/>
      <c r="W14" s="550"/>
      <c r="X14" s="270"/>
      <c r="Y14" s="4"/>
      <c r="AA14" s="709"/>
      <c r="AB14" s="711"/>
      <c r="AC14" s="709"/>
      <c r="AD14" s="709"/>
      <c r="AE14" s="709"/>
      <c r="AF14" s="709"/>
      <c r="AG14" s="708"/>
      <c r="AH14" s="708"/>
    </row>
    <row r="15" spans="2:34" ht="12.75" customHeight="1" x14ac:dyDescent="0.3">
      <c r="B15" s="259">
        <v>7</v>
      </c>
      <c r="C15" s="260" t="str">
        <f>'Program Descriptions'!D11</f>
        <v>Administration</v>
      </c>
      <c r="D15" s="260" t="str">
        <f>IF(C15="Empty","",'Program Descriptions'!E11)</f>
        <v>All Classes</v>
      </c>
      <c r="E15" s="260"/>
      <c r="F15" s="553">
        <v>1409</v>
      </c>
      <c r="G15" s="118"/>
      <c r="H15" s="553">
        <v>10000</v>
      </c>
      <c r="I15" s="118"/>
      <c r="J15" s="9"/>
      <c r="K15" s="426"/>
      <c r="L15" s="270"/>
      <c r="M15" s="426"/>
      <c r="N15" s="270"/>
      <c r="O15" s="9"/>
      <c r="P15" s="121"/>
      <c r="Q15" s="270"/>
      <c r="R15" s="426"/>
      <c r="S15" s="270"/>
      <c r="U15" s="121"/>
      <c r="V15" s="108"/>
      <c r="W15" s="426"/>
      <c r="X15" s="270"/>
      <c r="Y15" s="4"/>
      <c r="AA15" s="709"/>
      <c r="AB15" s="711"/>
      <c r="AC15" s="709"/>
      <c r="AD15" s="709"/>
      <c r="AE15" s="709"/>
      <c r="AF15" s="709"/>
      <c r="AG15" s="708"/>
      <c r="AH15" s="708"/>
    </row>
    <row r="16" spans="2:34" ht="12.75" customHeight="1" x14ac:dyDescent="0.3">
      <c r="B16" s="259">
        <v>8</v>
      </c>
      <c r="C16" s="260" t="str">
        <f>'Program Descriptions'!D12</f>
        <v>Marketing</v>
      </c>
      <c r="D16" s="260" t="str">
        <f>IF(C16="Empty","",'Program Descriptions'!E12)</f>
        <v>All Classes</v>
      </c>
      <c r="E16" s="260"/>
      <c r="F16" s="553">
        <v>2000</v>
      </c>
      <c r="G16" s="118">
        <v>2052</v>
      </c>
      <c r="H16" s="553">
        <v>1400</v>
      </c>
      <c r="I16" s="118">
        <v>209</v>
      </c>
      <c r="J16" s="9"/>
      <c r="K16" s="121"/>
      <c r="L16" s="108"/>
      <c r="M16" s="426"/>
      <c r="N16" s="108"/>
      <c r="O16" s="9"/>
      <c r="P16" s="121"/>
      <c r="Q16" s="108"/>
      <c r="R16" s="121"/>
      <c r="S16" s="108"/>
      <c r="U16" s="121"/>
      <c r="V16" s="108"/>
      <c r="W16" s="426"/>
      <c r="X16" s="108"/>
      <c r="Y16" s="4"/>
      <c r="AA16" s="709"/>
      <c r="AB16" s="711"/>
      <c r="AC16" s="709"/>
      <c r="AD16" s="709"/>
      <c r="AE16" s="709"/>
      <c r="AF16" s="709"/>
      <c r="AG16" s="708"/>
      <c r="AH16" s="708"/>
    </row>
    <row r="17" spans="2:34" ht="12.75" customHeight="1" x14ac:dyDescent="0.3">
      <c r="B17" s="259">
        <v>9</v>
      </c>
      <c r="C17" s="260" t="str">
        <f>'Program Descriptions'!D13</f>
        <v>EM&amp;V</v>
      </c>
      <c r="D17" s="260" t="str">
        <f>IF(C17="Empty","",'Program Descriptions'!E13)</f>
        <v>All Classes</v>
      </c>
      <c r="E17" s="260"/>
      <c r="F17" s="553">
        <v>6891</v>
      </c>
      <c r="G17" s="118">
        <v>1808.91</v>
      </c>
      <c r="H17" s="553">
        <v>2500</v>
      </c>
      <c r="I17" s="118">
        <v>2500</v>
      </c>
      <c r="J17" s="9"/>
      <c r="K17" s="121"/>
      <c r="L17" s="108"/>
      <c r="M17" s="426"/>
      <c r="N17" s="108"/>
      <c r="O17" s="9"/>
      <c r="P17" s="121"/>
      <c r="Q17" s="108"/>
      <c r="R17" s="121"/>
      <c r="S17" s="108"/>
      <c r="U17" s="121"/>
      <c r="V17" s="108"/>
      <c r="W17" s="426"/>
      <c r="X17" s="108"/>
      <c r="Y17" s="4"/>
      <c r="AA17" s="709"/>
      <c r="AB17" s="709"/>
      <c r="AC17" s="709"/>
      <c r="AD17" s="709"/>
      <c r="AE17" s="709"/>
      <c r="AF17" s="709"/>
      <c r="AG17" s="708"/>
      <c r="AH17" s="708"/>
    </row>
    <row r="18" spans="2:34" ht="12.75" customHeight="1" x14ac:dyDescent="0.3">
      <c r="B18" s="259">
        <v>10</v>
      </c>
      <c r="C18" s="260">
        <f>'Program Descriptions'!D14</f>
        <v>0</v>
      </c>
      <c r="D18" s="260">
        <f>IF(C18="Empty","",'Program Descriptions'!E14)</f>
        <v>0</v>
      </c>
      <c r="E18" s="260"/>
      <c r="F18" s="55"/>
      <c r="G18" s="118"/>
      <c r="H18" s="55"/>
      <c r="I18" s="118"/>
      <c r="J18" s="9"/>
      <c r="K18" s="121"/>
      <c r="L18" s="108"/>
      <c r="M18" s="426"/>
      <c r="N18" s="108"/>
      <c r="O18" s="9"/>
      <c r="P18" s="121"/>
      <c r="Q18" s="108"/>
      <c r="R18" s="121"/>
      <c r="S18" s="108"/>
      <c r="U18" s="121"/>
      <c r="V18" s="108"/>
      <c r="W18" s="121"/>
      <c r="X18" s="108"/>
      <c r="Y18" s="4"/>
      <c r="AA18" s="711"/>
      <c r="AB18" s="709"/>
      <c r="AC18" s="709"/>
      <c r="AD18" s="709"/>
      <c r="AE18" s="709"/>
      <c r="AF18" s="709"/>
      <c r="AG18" s="708"/>
      <c r="AH18" s="708"/>
    </row>
    <row r="19" spans="2:34" ht="12.75" customHeight="1" x14ac:dyDescent="0.3">
      <c r="B19" s="259">
        <v>11</v>
      </c>
      <c r="C19" s="260">
        <f>'Program Descriptions'!D15</f>
        <v>0</v>
      </c>
      <c r="D19" s="260">
        <f>IF(C19="Empty","",'Program Descriptions'!E15)</f>
        <v>0</v>
      </c>
      <c r="E19" s="260"/>
      <c r="F19" s="55"/>
      <c r="G19" s="118"/>
      <c r="H19" s="55"/>
      <c r="I19" s="118"/>
      <c r="J19" s="9"/>
      <c r="K19" s="121"/>
      <c r="L19" s="108"/>
      <c r="M19" s="121"/>
      <c r="N19" s="108"/>
      <c r="O19" s="9"/>
      <c r="P19" s="121"/>
      <c r="Q19" s="108"/>
      <c r="R19" s="121"/>
      <c r="S19" s="108"/>
      <c r="U19" s="121"/>
      <c r="V19" s="108"/>
      <c r="W19" s="121"/>
      <c r="X19" s="108"/>
      <c r="Y19" s="4"/>
      <c r="AA19" s="709"/>
      <c r="AB19" s="709"/>
      <c r="AC19" s="709"/>
      <c r="AD19" s="709"/>
      <c r="AE19" s="709"/>
      <c r="AF19" s="709"/>
      <c r="AG19" s="708"/>
      <c r="AH19" s="708"/>
    </row>
    <row r="20" spans="2:34" ht="12.75" customHeight="1" x14ac:dyDescent="0.3">
      <c r="B20" s="259">
        <v>12</v>
      </c>
      <c r="C20" s="260">
        <f>'Program Descriptions'!D16</f>
        <v>0</v>
      </c>
      <c r="D20" s="260">
        <f>IF(C20="Empty","",'Program Descriptions'!E16)</f>
        <v>0</v>
      </c>
      <c r="E20" s="260"/>
      <c r="F20" s="55"/>
      <c r="G20" s="118"/>
      <c r="H20" s="55"/>
      <c r="I20" s="118"/>
      <c r="J20" s="9"/>
      <c r="K20" s="121"/>
      <c r="L20" s="108"/>
      <c r="M20" s="121"/>
      <c r="N20" s="108"/>
      <c r="O20" s="9"/>
      <c r="P20" s="121"/>
      <c r="Q20" s="108"/>
      <c r="R20" s="121"/>
      <c r="S20" s="108"/>
      <c r="U20" s="121"/>
      <c r="V20" s="108"/>
      <c r="W20" s="121"/>
      <c r="X20" s="108"/>
      <c r="Y20" s="4"/>
      <c r="AA20"/>
      <c r="AB20"/>
      <c r="AC20"/>
      <c r="AD20"/>
      <c r="AE20"/>
      <c r="AF20"/>
    </row>
    <row r="21" spans="2:34" ht="12.75" customHeight="1" x14ac:dyDescent="0.3">
      <c r="B21" s="259">
        <v>13</v>
      </c>
      <c r="C21" s="260">
        <f>'Program Descriptions'!D17</f>
        <v>0</v>
      </c>
      <c r="D21" s="260">
        <f>IF(C21="Empty","",'Program Descriptions'!E17)</f>
        <v>0</v>
      </c>
      <c r="E21" s="260"/>
      <c r="F21" s="55"/>
      <c r="G21" s="118"/>
      <c r="H21" s="55"/>
      <c r="I21" s="118"/>
      <c r="J21" s="9"/>
      <c r="K21" s="121"/>
      <c r="L21" s="108"/>
      <c r="M21" s="121"/>
      <c r="N21" s="108"/>
      <c r="O21" s="9"/>
      <c r="P21" s="121"/>
      <c r="Q21" s="108"/>
      <c r="R21" s="121"/>
      <c r="S21" s="108"/>
      <c r="U21" s="121"/>
      <c r="V21" s="108"/>
      <c r="W21" s="121"/>
      <c r="X21" s="108"/>
      <c r="Y21" s="4"/>
      <c r="AA21"/>
      <c r="AB21"/>
      <c r="AC21"/>
      <c r="AD21"/>
      <c r="AE21"/>
      <c r="AF21"/>
    </row>
    <row r="22" spans="2:34" ht="12.75" customHeight="1" x14ac:dyDescent="0.3">
      <c r="B22" s="259">
        <v>14</v>
      </c>
      <c r="C22" s="260">
        <f>'Program Descriptions'!D18</f>
        <v>0</v>
      </c>
      <c r="D22" s="260">
        <f>IF(C22="Empty","",'Program Descriptions'!E18)</f>
        <v>0</v>
      </c>
      <c r="E22" s="260"/>
      <c r="F22" s="55"/>
      <c r="G22" s="118"/>
      <c r="H22" s="55"/>
      <c r="I22" s="118"/>
      <c r="J22" s="9"/>
      <c r="K22" s="121"/>
      <c r="L22" s="108"/>
      <c r="M22" s="121"/>
      <c r="N22" s="108"/>
      <c r="O22" s="9"/>
      <c r="P22" s="121"/>
      <c r="Q22" s="108"/>
      <c r="R22" s="121"/>
      <c r="S22" s="108"/>
      <c r="U22" s="121"/>
      <c r="V22" s="108"/>
      <c r="W22" s="121"/>
      <c r="X22" s="108"/>
      <c r="Y22" s="4"/>
      <c r="AA22"/>
      <c r="AB22"/>
      <c r="AC22"/>
      <c r="AD22"/>
      <c r="AE22"/>
      <c r="AF22"/>
    </row>
    <row r="23" spans="2:34" ht="12.75" customHeight="1" x14ac:dyDescent="0.3">
      <c r="B23" s="259">
        <v>15</v>
      </c>
      <c r="C23" s="260">
        <f>'Program Descriptions'!D19</f>
        <v>0</v>
      </c>
      <c r="D23" s="260">
        <f>IF(C23="Empty","",'Program Descriptions'!E19)</f>
        <v>0</v>
      </c>
      <c r="E23" s="260"/>
      <c r="F23" s="55"/>
      <c r="G23" s="118"/>
      <c r="H23" s="55"/>
      <c r="I23" s="118"/>
      <c r="J23" s="9"/>
      <c r="K23" s="121"/>
      <c r="L23" s="108"/>
      <c r="M23" s="121"/>
      <c r="N23" s="108"/>
      <c r="O23" s="9"/>
      <c r="P23" s="121"/>
      <c r="Q23" s="108"/>
      <c r="R23" s="121"/>
      <c r="S23" s="108"/>
      <c r="U23" s="121"/>
      <c r="V23" s="108"/>
      <c r="W23" s="121"/>
      <c r="X23" s="108"/>
      <c r="Y23" s="4"/>
      <c r="AA23"/>
      <c r="AB23"/>
      <c r="AC23"/>
      <c r="AD23"/>
      <c r="AE23"/>
      <c r="AF23"/>
    </row>
    <row r="24" spans="2:34" ht="12.75" customHeight="1" x14ac:dyDescent="0.3">
      <c r="B24" s="259">
        <v>16</v>
      </c>
      <c r="C24" s="260">
        <f>'Program Descriptions'!D20</f>
        <v>0</v>
      </c>
      <c r="D24" s="260">
        <f>IF(C24="Empty","",'Program Descriptions'!E20)</f>
        <v>0</v>
      </c>
      <c r="E24" s="260"/>
      <c r="F24" s="55"/>
      <c r="G24" s="118"/>
      <c r="H24" s="55"/>
      <c r="I24" s="118"/>
      <c r="J24" s="9"/>
      <c r="K24" s="121"/>
      <c r="L24" s="108"/>
      <c r="M24" s="121"/>
      <c r="N24" s="108"/>
      <c r="O24" s="9"/>
      <c r="P24" s="121"/>
      <c r="Q24" s="108"/>
      <c r="R24" s="121"/>
      <c r="S24" s="108"/>
      <c r="U24" s="121"/>
      <c r="V24" s="108"/>
      <c r="W24" s="121"/>
      <c r="X24" s="108"/>
      <c r="Y24" s="4"/>
      <c r="AA24"/>
      <c r="AB24"/>
      <c r="AC24"/>
      <c r="AD24"/>
      <c r="AE24"/>
      <c r="AF24"/>
    </row>
    <row r="25" spans="2:34" ht="12.75" customHeight="1" x14ac:dyDescent="0.3">
      <c r="B25" s="259">
        <v>17</v>
      </c>
      <c r="C25" s="260">
        <f>'Program Descriptions'!D21</f>
        <v>0</v>
      </c>
      <c r="D25" s="260">
        <f>IF(C25="Empty","",'Program Descriptions'!E21)</f>
        <v>0</v>
      </c>
      <c r="E25" s="260"/>
      <c r="F25" s="55"/>
      <c r="G25" s="118"/>
      <c r="H25" s="55"/>
      <c r="I25" s="118"/>
      <c r="J25" s="9"/>
      <c r="K25" s="121"/>
      <c r="L25" s="108"/>
      <c r="M25" s="121"/>
      <c r="N25" s="108"/>
      <c r="O25" s="9"/>
      <c r="P25" s="121"/>
      <c r="Q25" s="108"/>
      <c r="R25" s="121"/>
      <c r="S25" s="108"/>
      <c r="U25" s="121"/>
      <c r="V25" s="108"/>
      <c r="W25" s="121"/>
      <c r="X25" s="108"/>
      <c r="Y25" s="4"/>
      <c r="AA25"/>
      <c r="AB25"/>
      <c r="AC25"/>
      <c r="AD25"/>
      <c r="AE25"/>
      <c r="AF25"/>
    </row>
    <row r="26" spans="2:34" ht="12.75" customHeight="1" x14ac:dyDescent="0.3">
      <c r="B26" s="259">
        <v>18</v>
      </c>
      <c r="C26" s="260">
        <f>'Program Descriptions'!D22</f>
        <v>0</v>
      </c>
      <c r="D26" s="260">
        <f>IF(C26="Empty","",'Program Descriptions'!E22)</f>
        <v>0</v>
      </c>
      <c r="E26" s="260"/>
      <c r="F26" s="55"/>
      <c r="G26" s="118"/>
      <c r="H26" s="55"/>
      <c r="I26" s="118"/>
      <c r="J26" s="9"/>
      <c r="K26" s="121"/>
      <c r="L26" s="108"/>
      <c r="M26" s="121"/>
      <c r="N26" s="108"/>
      <c r="O26" s="9"/>
      <c r="P26" s="121"/>
      <c r="Q26" s="108"/>
      <c r="R26" s="121"/>
      <c r="S26" s="108"/>
      <c r="U26" s="121"/>
      <c r="V26" s="108"/>
      <c r="W26" s="121"/>
      <c r="X26" s="108"/>
      <c r="Y26" s="4"/>
      <c r="AA26"/>
      <c r="AB26"/>
      <c r="AC26"/>
      <c r="AD26"/>
      <c r="AE26"/>
      <c r="AF26"/>
    </row>
    <row r="27" spans="2:34" ht="12.75" customHeight="1" x14ac:dyDescent="0.3">
      <c r="B27" s="259">
        <v>19</v>
      </c>
      <c r="C27" s="260">
        <f>'Program Descriptions'!D23</f>
        <v>0</v>
      </c>
      <c r="D27" s="260">
        <f>IF(C27="Empty","",'Program Descriptions'!E23)</f>
        <v>0</v>
      </c>
      <c r="E27" s="260"/>
      <c r="F27" s="55"/>
      <c r="G27" s="118"/>
      <c r="H27" s="55"/>
      <c r="I27" s="118"/>
      <c r="J27" s="9"/>
      <c r="K27" s="121"/>
      <c r="L27" s="108"/>
      <c r="M27" s="121"/>
      <c r="N27" s="108"/>
      <c r="O27" s="9"/>
      <c r="P27" s="121"/>
      <c r="Q27" s="108"/>
      <c r="R27" s="121"/>
      <c r="S27" s="108"/>
      <c r="U27" s="121"/>
      <c r="V27" s="108"/>
      <c r="W27" s="121"/>
      <c r="X27" s="108"/>
      <c r="Y27" s="4"/>
      <c r="AA27"/>
      <c r="AB27"/>
      <c r="AC27"/>
      <c r="AD27"/>
      <c r="AE27"/>
      <c r="AF27"/>
    </row>
    <row r="28" spans="2:34" ht="12.75" customHeight="1" thickBot="1" x14ac:dyDescent="0.35">
      <c r="B28" s="259">
        <v>20</v>
      </c>
      <c r="C28" s="260">
        <f>'Program Descriptions'!D24</f>
        <v>0</v>
      </c>
      <c r="D28" s="260">
        <f>IF(C28="Empty","",'Program Descriptions'!E24)</f>
        <v>0</v>
      </c>
      <c r="E28" s="260"/>
      <c r="F28" s="100"/>
      <c r="G28" s="285"/>
      <c r="H28" s="100"/>
      <c r="I28" s="285"/>
      <c r="J28" s="9"/>
      <c r="K28" s="122"/>
      <c r="L28" s="111"/>
      <c r="M28" s="122"/>
      <c r="N28" s="111"/>
      <c r="O28" s="9"/>
      <c r="P28" s="122"/>
      <c r="Q28" s="111"/>
      <c r="R28" s="122"/>
      <c r="S28" s="111"/>
      <c r="U28" s="122"/>
      <c r="V28" s="111"/>
      <c r="W28" s="122"/>
      <c r="X28" s="111"/>
      <c r="Y28" s="4"/>
      <c r="AA28"/>
      <c r="AB28"/>
      <c r="AC28"/>
      <c r="AD28"/>
      <c r="AE28"/>
      <c r="AF28"/>
    </row>
    <row r="29" spans="2:34" ht="12.75" customHeight="1" thickBot="1" x14ac:dyDescent="0.35">
      <c r="B29" s="8"/>
      <c r="C29" s="260">
        <f>'Program Descriptions'!D25</f>
        <v>0</v>
      </c>
      <c r="D29" s="260"/>
      <c r="E29" s="260"/>
      <c r="F29" s="425"/>
      <c r="G29" s="286">
        <v>15191.31</v>
      </c>
      <c r="H29" s="425"/>
      <c r="I29" s="286"/>
      <c r="J29" s="9"/>
      <c r="K29" s="9"/>
      <c r="L29" s="9"/>
      <c r="M29" s="9"/>
      <c r="N29" s="9"/>
      <c r="O29" s="9"/>
      <c r="P29" s="9"/>
      <c r="Q29" s="9"/>
      <c r="R29" s="9"/>
      <c r="S29" s="9"/>
      <c r="Y29" s="4"/>
      <c r="AA29"/>
      <c r="AB29"/>
      <c r="AC29"/>
      <c r="AD29"/>
      <c r="AE29"/>
      <c r="AF29"/>
    </row>
    <row r="30" spans="2:34" ht="12.75" customHeight="1" x14ac:dyDescent="0.3">
      <c r="B30" s="8"/>
      <c r="Y30" s="4"/>
      <c r="AA30"/>
      <c r="AB30"/>
      <c r="AC30"/>
      <c r="AD30"/>
      <c r="AE30"/>
      <c r="AF30"/>
    </row>
    <row r="31" spans="2:34" ht="12.75" customHeight="1" x14ac:dyDescent="0.3">
      <c r="B31" s="8"/>
      <c r="C31" s="271"/>
      <c r="D31" s="271" t="s">
        <v>521</v>
      </c>
      <c r="E31" s="271"/>
      <c r="F31" s="11">
        <f>SUM(F9:F29)</f>
        <v>116869</v>
      </c>
      <c r="G31" s="11">
        <f>SUM(G9:G29)</f>
        <v>48261.22</v>
      </c>
      <c r="H31" s="11">
        <f>SUM(H9:H29)</f>
        <v>109301</v>
      </c>
      <c r="I31" s="11">
        <f>SUM(I9:I29)</f>
        <v>23243</v>
      </c>
      <c r="K31" s="128">
        <f>SUM(K9:K28)</f>
        <v>423858</v>
      </c>
      <c r="L31" s="128">
        <f t="shared" ref="L31:X31" si="0">SUM(L9:L28)</f>
        <v>51567</v>
      </c>
      <c r="M31" s="128">
        <f t="shared" si="0"/>
        <v>217956</v>
      </c>
      <c r="N31" s="128">
        <f t="shared" si="0"/>
        <v>37263</v>
      </c>
      <c r="P31" s="128">
        <f t="shared" si="0"/>
        <v>55.7</v>
      </c>
      <c r="Q31" s="128">
        <f t="shared" si="0"/>
        <v>8</v>
      </c>
      <c r="R31" s="128">
        <f t="shared" si="0"/>
        <v>44.099999999999994</v>
      </c>
      <c r="S31" s="128">
        <f t="shared" si="0"/>
        <v>12.419999999999998</v>
      </c>
      <c r="U31" s="128">
        <f t="shared" si="0"/>
        <v>825</v>
      </c>
      <c r="V31" s="128">
        <f t="shared" si="0"/>
        <v>825</v>
      </c>
      <c r="W31" s="128">
        <v>890</v>
      </c>
      <c r="X31" s="128">
        <f t="shared" si="0"/>
        <v>350</v>
      </c>
      <c r="Y31" s="4"/>
      <c r="AA31"/>
      <c r="AB31"/>
      <c r="AC31"/>
      <c r="AD31"/>
      <c r="AE31"/>
      <c r="AF31"/>
    </row>
    <row r="32" spans="2:34" ht="12.75" customHeight="1" x14ac:dyDescent="0.3">
      <c r="B32" s="8"/>
      <c r="C32"/>
      <c r="D32"/>
      <c r="E32"/>
      <c r="Y32" s="4"/>
      <c r="AA32"/>
      <c r="AB32"/>
      <c r="AC32"/>
      <c r="AD32"/>
      <c r="AE32"/>
      <c r="AF32"/>
    </row>
    <row r="33" spans="2:32" ht="12.75" customHeight="1" x14ac:dyDescent="0.3">
      <c r="B33" s="8"/>
      <c r="C33" s="281" t="s">
        <v>522</v>
      </c>
      <c r="D33" s="271"/>
      <c r="E33" s="271"/>
      <c r="F33" s="128"/>
      <c r="G33" s="128"/>
      <c r="H33" s="128"/>
      <c r="I33" s="128"/>
      <c r="Y33" s="4"/>
      <c r="AA33"/>
      <c r="AB33"/>
      <c r="AC33"/>
      <c r="AD33"/>
      <c r="AE33"/>
      <c r="AF33"/>
    </row>
    <row r="34" spans="2:32" ht="51.75" customHeight="1" x14ac:dyDescent="0.3">
      <c r="B34" s="8"/>
      <c r="C34" s="641"/>
      <c r="D34" s="642"/>
      <c r="E34" s="642"/>
      <c r="F34" s="642"/>
      <c r="G34" s="642"/>
      <c r="H34" s="642"/>
      <c r="I34" s="642"/>
      <c r="J34" s="642"/>
      <c r="K34" s="642"/>
      <c r="L34" s="642"/>
      <c r="M34" s="642"/>
      <c r="N34" s="643"/>
      <c r="Y34" s="4"/>
      <c r="AA34"/>
      <c r="AB34"/>
      <c r="AC34"/>
      <c r="AD34"/>
      <c r="AE34"/>
      <c r="AF34"/>
    </row>
    <row r="35" spans="2:32" ht="12.75" customHeight="1" x14ac:dyDescent="0.3">
      <c r="B35" s="8"/>
      <c r="C35" s="271"/>
      <c r="D35" s="271"/>
      <c r="E35" s="271"/>
      <c r="F35" s="128"/>
      <c r="G35" s="128"/>
      <c r="H35" s="128"/>
      <c r="I35" s="128"/>
      <c r="Y35" s="4"/>
      <c r="AA35"/>
      <c r="AB35"/>
      <c r="AC35"/>
      <c r="AD35"/>
      <c r="AE35"/>
      <c r="AF35"/>
    </row>
    <row r="36" spans="2:32" ht="12.75" customHeight="1" x14ac:dyDescent="0.3">
      <c r="B36" s="8"/>
      <c r="C36" s="282"/>
      <c r="D36" s="282"/>
      <c r="E36" s="282"/>
      <c r="F36" s="283"/>
      <c r="G36" s="283"/>
      <c r="H36" s="283"/>
      <c r="I36" s="283"/>
      <c r="J36" s="284"/>
      <c r="K36" s="284"/>
      <c r="L36" s="284"/>
      <c r="M36" s="284"/>
      <c r="N36" s="284"/>
      <c r="O36" s="284"/>
      <c r="P36" s="284"/>
      <c r="Q36" s="284"/>
      <c r="R36" s="284"/>
      <c r="S36" s="284"/>
      <c r="T36" s="284"/>
      <c r="U36" s="284"/>
      <c r="V36" s="284"/>
      <c r="W36" s="284"/>
      <c r="X36" s="284"/>
      <c r="Y36" s="4"/>
      <c r="AA36"/>
      <c r="AB36"/>
      <c r="AC36"/>
      <c r="AD36"/>
      <c r="AE36"/>
      <c r="AF36"/>
    </row>
    <row r="37" spans="2:32" ht="19.5" customHeight="1" thickBot="1" x14ac:dyDescent="0.4">
      <c r="B37" s="3"/>
      <c r="C37" s="640" t="s">
        <v>291</v>
      </c>
      <c r="D37" s="640"/>
      <c r="E37" s="276"/>
      <c r="F37" s="639" t="str">
        <f>F6</f>
        <v>Annual Budget &amp; Actual Costs</v>
      </c>
      <c r="G37" s="639"/>
      <c r="H37" s="639"/>
      <c r="I37" s="639"/>
      <c r="K37" s="639" t="str">
        <f>K6</f>
        <v>Annual Net Energy Savings (kWh)</v>
      </c>
      <c r="L37" s="639"/>
      <c r="M37" s="639"/>
      <c r="N37" s="639"/>
      <c r="P37" s="639" t="str">
        <f>P6</f>
        <v>Annual Net Demand Savings (kW)</v>
      </c>
      <c r="Q37" s="639"/>
      <c r="R37" s="639"/>
      <c r="S37" s="639"/>
      <c r="U37" s="639" t="str">
        <f>U6</f>
        <v>Number of Participants</v>
      </c>
      <c r="V37" s="639"/>
      <c r="W37" s="639"/>
      <c r="X37" s="639"/>
      <c r="Y37" s="4"/>
      <c r="AA37"/>
      <c r="AB37"/>
      <c r="AC37"/>
      <c r="AD37"/>
      <c r="AE37"/>
      <c r="AF37"/>
    </row>
    <row r="38" spans="2:32" ht="12.75" customHeight="1" x14ac:dyDescent="0.35">
      <c r="B38" s="3"/>
      <c r="E38" s="276"/>
      <c r="F38" s="637">
        <f>F7</f>
        <v>2023</v>
      </c>
      <c r="G38" s="638"/>
      <c r="H38" s="637">
        <f>H7</f>
        <v>2024</v>
      </c>
      <c r="I38" s="638"/>
      <c r="K38" s="637">
        <f>K7</f>
        <v>2023</v>
      </c>
      <c r="L38" s="638"/>
      <c r="M38" s="637">
        <f>M7</f>
        <v>2024</v>
      </c>
      <c r="N38" s="638"/>
      <c r="P38" s="637">
        <f>P7</f>
        <v>2023</v>
      </c>
      <c r="Q38" s="638"/>
      <c r="R38" s="637">
        <f>R7</f>
        <v>2024</v>
      </c>
      <c r="S38" s="638"/>
      <c r="U38" s="637">
        <f>U7</f>
        <v>2023</v>
      </c>
      <c r="V38" s="638"/>
      <c r="W38" s="637">
        <f>W7</f>
        <v>2024</v>
      </c>
      <c r="X38" s="638"/>
      <c r="Y38" s="4"/>
      <c r="AA38"/>
      <c r="AB38"/>
      <c r="AC38"/>
      <c r="AD38"/>
      <c r="AE38"/>
      <c r="AF38"/>
    </row>
    <row r="39" spans="2:32" ht="12.75" customHeight="1" thickBot="1" x14ac:dyDescent="0.4">
      <c r="B39" s="8"/>
      <c r="C39" s="9" t="s">
        <v>82</v>
      </c>
      <c r="D39" s="9" t="s">
        <v>83</v>
      </c>
      <c r="E39" s="276"/>
      <c r="F39" s="124" t="str">
        <f>F8</f>
        <v>Budget</v>
      </c>
      <c r="G39" s="125" t="str">
        <f>G8</f>
        <v>Actual</v>
      </c>
      <c r="H39" s="124" t="str">
        <f>H8</f>
        <v>Budget</v>
      </c>
      <c r="I39" s="125" t="str">
        <f>I8</f>
        <v>Actual</v>
      </c>
      <c r="J39" s="9"/>
      <c r="K39" s="124" t="str">
        <f>K8</f>
        <v>Plan</v>
      </c>
      <c r="L39" s="125" t="str">
        <f>L8</f>
        <v>Evaluated</v>
      </c>
      <c r="M39" s="124" t="str">
        <f>M8</f>
        <v>Plan</v>
      </c>
      <c r="N39" s="125" t="str">
        <f>N8</f>
        <v>Evaluated</v>
      </c>
      <c r="O39" s="9"/>
      <c r="P39" s="124" t="str">
        <f>P8</f>
        <v>Plan</v>
      </c>
      <c r="Q39" s="125" t="str">
        <f>Q8</f>
        <v>Evaluated</v>
      </c>
      <c r="R39" s="124" t="str">
        <f>R8</f>
        <v>Plan</v>
      </c>
      <c r="S39" s="125" t="str">
        <f>S8</f>
        <v>Evaluated</v>
      </c>
      <c r="U39" s="124" t="str">
        <f>U8</f>
        <v>Plan</v>
      </c>
      <c r="V39" s="125" t="str">
        <f>V8</f>
        <v>Evaluated</v>
      </c>
      <c r="W39" s="124" t="str">
        <f>W8</f>
        <v>Plan</v>
      </c>
      <c r="X39" s="125" t="str">
        <f>X8</f>
        <v>Evaluated</v>
      </c>
      <c r="Y39" s="4"/>
      <c r="AA39"/>
      <c r="AB39"/>
      <c r="AC39"/>
      <c r="AD39"/>
      <c r="AE39"/>
      <c r="AF39"/>
    </row>
    <row r="40" spans="2:32" ht="13.65" customHeight="1" x14ac:dyDescent="0.35">
      <c r="B40" s="259">
        <v>1</v>
      </c>
      <c r="C40" s="169"/>
      <c r="D40" s="169"/>
      <c r="E40" s="276"/>
      <c r="F40" s="54"/>
      <c r="G40" s="123"/>
      <c r="H40" s="54"/>
      <c r="I40" s="123"/>
      <c r="J40" s="9"/>
      <c r="K40" s="119"/>
      <c r="L40" s="120"/>
      <c r="M40" s="119"/>
      <c r="N40" s="120"/>
      <c r="O40" s="9"/>
      <c r="P40" s="119"/>
      <c r="Q40" s="120"/>
      <c r="R40" s="119"/>
      <c r="S40" s="120"/>
      <c r="U40" s="119"/>
      <c r="V40" s="120"/>
      <c r="W40" s="119"/>
      <c r="X40" s="120"/>
      <c r="Y40" s="4"/>
      <c r="AA40"/>
      <c r="AB40"/>
      <c r="AC40"/>
      <c r="AD40"/>
      <c r="AE40"/>
      <c r="AF40"/>
    </row>
    <row r="41" spans="2:32" ht="16.5" customHeight="1" x14ac:dyDescent="0.35">
      <c r="B41" s="259">
        <v>2</v>
      </c>
      <c r="C41" s="169"/>
      <c r="D41" s="169"/>
      <c r="E41" s="276"/>
      <c r="F41" s="55"/>
      <c r="G41" s="118"/>
      <c r="H41" s="55"/>
      <c r="I41" s="118"/>
      <c r="J41" s="9"/>
      <c r="K41" s="121"/>
      <c r="L41" s="108"/>
      <c r="M41" s="121"/>
      <c r="N41" s="108"/>
      <c r="O41" s="9"/>
      <c r="P41" s="121"/>
      <c r="Q41" s="108"/>
      <c r="R41" s="121"/>
      <c r="S41" s="108"/>
      <c r="U41" s="121"/>
      <c r="V41" s="108"/>
      <c r="W41" s="121"/>
      <c r="X41" s="108"/>
      <c r="Y41" s="4"/>
      <c r="AA41"/>
      <c r="AB41"/>
      <c r="AC41"/>
      <c r="AD41"/>
      <c r="AE41"/>
      <c r="AF41"/>
    </row>
    <row r="42" spans="2:32" ht="12.75" customHeight="1" x14ac:dyDescent="0.35">
      <c r="B42" s="259">
        <v>3</v>
      </c>
      <c r="C42" s="169"/>
      <c r="D42" s="169"/>
      <c r="E42" s="276"/>
      <c r="F42" s="55"/>
      <c r="G42" s="118"/>
      <c r="H42" s="55"/>
      <c r="I42" s="118"/>
      <c r="J42" s="9"/>
      <c r="K42" s="121"/>
      <c r="L42" s="108"/>
      <c r="M42" s="121"/>
      <c r="N42" s="108"/>
      <c r="O42" s="9"/>
      <c r="P42" s="121"/>
      <c r="Q42" s="108"/>
      <c r="R42" s="121"/>
      <c r="S42" s="108"/>
      <c r="U42" s="121"/>
      <c r="V42" s="108"/>
      <c r="W42" s="121"/>
      <c r="X42" s="108"/>
      <c r="Y42" s="4"/>
    </row>
    <row r="43" spans="2:32" ht="12.75" customHeight="1" x14ac:dyDescent="0.35">
      <c r="B43" s="259">
        <v>4</v>
      </c>
      <c r="C43" s="169"/>
      <c r="D43" s="169"/>
      <c r="E43" s="276"/>
      <c r="F43" s="55"/>
      <c r="G43" s="118"/>
      <c r="H43" s="55"/>
      <c r="I43" s="118"/>
      <c r="J43" s="9"/>
      <c r="K43" s="121"/>
      <c r="L43" s="108"/>
      <c r="M43" s="121"/>
      <c r="N43" s="108"/>
      <c r="O43" s="9"/>
      <c r="P43" s="121"/>
      <c r="Q43" s="108"/>
      <c r="R43" s="121"/>
      <c r="S43" s="108"/>
      <c r="U43" s="121"/>
      <c r="V43" s="108"/>
      <c r="W43" s="121"/>
      <c r="X43" s="108"/>
      <c r="Y43" s="4"/>
    </row>
    <row r="44" spans="2:32" ht="12.75" customHeight="1" x14ac:dyDescent="0.35">
      <c r="B44" s="259">
        <v>5</v>
      </c>
      <c r="C44" s="169"/>
      <c r="D44" s="169"/>
      <c r="E44" s="276"/>
      <c r="F44" s="55"/>
      <c r="G44" s="118"/>
      <c r="H44" s="55"/>
      <c r="I44" s="118"/>
      <c r="J44" s="9"/>
      <c r="K44" s="121"/>
      <c r="L44" s="108"/>
      <c r="M44" s="121"/>
      <c r="N44" s="108"/>
      <c r="O44" s="9"/>
      <c r="P44" s="121"/>
      <c r="Q44" s="108"/>
      <c r="R44" s="121"/>
      <c r="S44" s="108"/>
      <c r="U44" s="121"/>
      <c r="V44" s="108"/>
      <c r="W44" s="121"/>
      <c r="X44" s="108"/>
      <c r="Y44" s="4"/>
    </row>
    <row r="45" spans="2:32" ht="12.75" customHeight="1" x14ac:dyDescent="0.35">
      <c r="B45" s="259">
        <v>6</v>
      </c>
      <c r="C45" s="169"/>
      <c r="D45" s="169"/>
      <c r="E45" s="276"/>
      <c r="F45" s="55"/>
      <c r="G45" s="118"/>
      <c r="H45" s="55"/>
      <c r="I45" s="118"/>
      <c r="J45" s="9"/>
      <c r="K45" s="121"/>
      <c r="L45" s="108"/>
      <c r="M45" s="121"/>
      <c r="N45" s="108"/>
      <c r="O45" s="9"/>
      <c r="P45" s="121"/>
      <c r="Q45" s="108"/>
      <c r="R45" s="121"/>
      <c r="S45" s="108"/>
      <c r="U45" s="121"/>
      <c r="V45" s="108"/>
      <c r="W45" s="121"/>
      <c r="X45" s="108"/>
      <c r="Y45" s="4"/>
    </row>
    <row r="46" spans="2:32" ht="12.75" customHeight="1" x14ac:dyDescent="0.35">
      <c r="B46" s="259">
        <v>7</v>
      </c>
      <c r="C46" s="169"/>
      <c r="D46" s="169"/>
      <c r="E46" s="276"/>
      <c r="F46" s="55"/>
      <c r="G46" s="118"/>
      <c r="H46" s="55"/>
      <c r="I46" s="118"/>
      <c r="J46" s="9"/>
      <c r="K46" s="121"/>
      <c r="L46" s="108"/>
      <c r="M46" s="121"/>
      <c r="N46" s="108"/>
      <c r="O46" s="9"/>
      <c r="P46" s="121"/>
      <c r="Q46" s="108"/>
      <c r="R46" s="121"/>
      <c r="S46" s="108"/>
      <c r="U46" s="121"/>
      <c r="V46" s="108"/>
      <c r="W46" s="121"/>
      <c r="X46" s="108"/>
      <c r="Y46" s="4"/>
    </row>
    <row r="47" spans="2:32" ht="12.75" customHeight="1" x14ac:dyDescent="0.35">
      <c r="B47" s="259">
        <v>8</v>
      </c>
      <c r="C47" s="169"/>
      <c r="D47" s="169"/>
      <c r="E47" s="276"/>
      <c r="F47" s="55"/>
      <c r="G47" s="118"/>
      <c r="H47" s="55"/>
      <c r="I47" s="118"/>
      <c r="J47" s="9"/>
      <c r="K47" s="121"/>
      <c r="L47" s="108"/>
      <c r="M47" s="121"/>
      <c r="N47" s="108"/>
      <c r="O47" s="9"/>
      <c r="P47" s="121"/>
      <c r="Q47" s="108"/>
      <c r="R47" s="121"/>
      <c r="S47" s="108"/>
      <c r="U47" s="121"/>
      <c r="V47" s="108"/>
      <c r="W47" s="121"/>
      <c r="X47" s="108"/>
      <c r="Y47" s="4"/>
    </row>
    <row r="48" spans="2:32" ht="12.75" customHeight="1" x14ac:dyDescent="0.35">
      <c r="B48" s="259">
        <v>9</v>
      </c>
      <c r="C48" s="169"/>
      <c r="D48" s="169"/>
      <c r="E48" s="276"/>
      <c r="F48" s="55"/>
      <c r="G48" s="118"/>
      <c r="H48" s="55"/>
      <c r="I48" s="118"/>
      <c r="J48" s="9"/>
      <c r="K48" s="121"/>
      <c r="L48" s="108"/>
      <c r="M48" s="121"/>
      <c r="N48" s="108"/>
      <c r="O48" s="9"/>
      <c r="P48" s="121"/>
      <c r="Q48" s="108"/>
      <c r="R48" s="121"/>
      <c r="S48" s="108"/>
      <c r="U48" s="121"/>
      <c r="V48" s="108"/>
      <c r="W48" s="121"/>
      <c r="X48" s="108"/>
      <c r="Y48" s="4"/>
    </row>
    <row r="49" spans="2:25" ht="12.75" customHeight="1" x14ac:dyDescent="0.35">
      <c r="B49" s="259">
        <v>10</v>
      </c>
      <c r="C49" s="169"/>
      <c r="D49" s="169"/>
      <c r="E49" s="276"/>
      <c r="F49" s="55"/>
      <c r="G49" s="118"/>
      <c r="H49" s="55"/>
      <c r="I49" s="118"/>
      <c r="J49" s="9"/>
      <c r="K49" s="121"/>
      <c r="L49" s="108"/>
      <c r="M49" s="121"/>
      <c r="N49" s="108"/>
      <c r="O49" s="9"/>
      <c r="P49" s="121"/>
      <c r="Q49" s="108"/>
      <c r="R49" s="121"/>
      <c r="S49" s="108"/>
      <c r="U49" s="121"/>
      <c r="V49" s="108"/>
      <c r="W49" s="121"/>
      <c r="X49" s="108"/>
      <c r="Y49" s="4"/>
    </row>
    <row r="50" spans="2:25" ht="12.75" customHeight="1" x14ac:dyDescent="0.3">
      <c r="B50" s="8"/>
      <c r="C50" s="271"/>
      <c r="D50" s="271"/>
      <c r="E50" s="271"/>
      <c r="F50" s="128"/>
      <c r="G50" s="128"/>
      <c r="H50" s="128"/>
      <c r="I50" s="128"/>
      <c r="Y50" s="4"/>
    </row>
    <row r="51" spans="2:25" ht="12.75" customHeight="1" x14ac:dyDescent="0.3">
      <c r="B51" s="8"/>
      <c r="C51" s="271"/>
      <c r="D51" s="271" t="s">
        <v>523</v>
      </c>
      <c r="E51" s="271"/>
      <c r="F51" s="11">
        <f>SUM(F40:F49)</f>
        <v>0</v>
      </c>
      <c r="G51" s="11">
        <f>SUM(G40:G49)</f>
        <v>0</v>
      </c>
      <c r="H51" s="11">
        <f>SUM(H40:H49)</f>
        <v>0</v>
      </c>
      <c r="I51" s="11">
        <f>SUM(I40:I49)</f>
        <v>0</v>
      </c>
      <c r="K51" s="128">
        <f>SUM(K40:K49)</f>
        <v>0</v>
      </c>
      <c r="L51" s="128">
        <f>SUM(L40:L49)</f>
        <v>0</v>
      </c>
      <c r="M51" s="128">
        <f>SUM(M40:M49)</f>
        <v>0</v>
      </c>
      <c r="N51" s="128">
        <f>SUM(N40:N49)</f>
        <v>0</v>
      </c>
      <c r="P51" s="128">
        <f>SUM(P40:P49)</f>
        <v>0</v>
      </c>
      <c r="Q51" s="128">
        <f>SUM(Q40:Q49)</f>
        <v>0</v>
      </c>
      <c r="R51" s="128">
        <f>SUM(R40:R49)</f>
        <v>0</v>
      </c>
      <c r="S51" s="128">
        <f>SUM(S40:S49)</f>
        <v>0</v>
      </c>
      <c r="U51" s="128">
        <f>SUM(U40:U49)</f>
        <v>0</v>
      </c>
      <c r="V51" s="128">
        <f>SUM(V40:V49)</f>
        <v>0</v>
      </c>
      <c r="W51" s="128">
        <f>SUM(W40:W49)</f>
        <v>0</v>
      </c>
      <c r="X51" s="128">
        <f>SUM(X40:X49)</f>
        <v>0</v>
      </c>
      <c r="Y51" s="4"/>
    </row>
    <row r="52" spans="2:25" ht="12.75" customHeight="1" x14ac:dyDescent="0.3">
      <c r="B52" s="8"/>
      <c r="C52" s="271"/>
      <c r="D52" s="271"/>
      <c r="E52" s="271"/>
      <c r="F52" s="128"/>
      <c r="G52" s="128"/>
      <c r="H52" s="128"/>
      <c r="I52" s="128"/>
      <c r="Y52" s="4"/>
    </row>
    <row r="53" spans="2:25" ht="12.75" customHeight="1" x14ac:dyDescent="0.3">
      <c r="B53" s="8"/>
      <c r="C53" s="271"/>
      <c r="D53" s="271"/>
      <c r="E53" s="271"/>
      <c r="F53" s="128"/>
      <c r="G53" s="128"/>
      <c r="H53" s="128"/>
      <c r="I53" s="128"/>
      <c r="Y53" s="4"/>
    </row>
    <row r="54" spans="2:25" ht="12.75" customHeight="1" x14ac:dyDescent="0.3">
      <c r="B54" s="8"/>
      <c r="C54" s="277"/>
      <c r="D54" s="277" t="s">
        <v>524</v>
      </c>
      <c r="E54" s="277"/>
      <c r="F54" s="278">
        <f>F31+F51</f>
        <v>116869</v>
      </c>
      <c r="G54" s="278">
        <f>G31+G51</f>
        <v>48261.22</v>
      </c>
      <c r="H54" s="278">
        <f>H31+H51</f>
        <v>109301</v>
      </c>
      <c r="I54" s="278">
        <f>I31+I51</f>
        <v>23243</v>
      </c>
      <c r="J54" s="279"/>
      <c r="K54" s="280">
        <f>K31+K51</f>
        <v>423858</v>
      </c>
      <c r="L54" s="280">
        <f>L31+L51</f>
        <v>51567</v>
      </c>
      <c r="M54" s="280">
        <f>M31+M51</f>
        <v>217956</v>
      </c>
      <c r="N54" s="280">
        <f>N31+N51</f>
        <v>37263</v>
      </c>
      <c r="O54" s="279"/>
      <c r="P54" s="280">
        <f>P31+P51</f>
        <v>55.7</v>
      </c>
      <c r="Q54" s="280">
        <f>Q31+Q51</f>
        <v>8</v>
      </c>
      <c r="R54" s="280">
        <f>R31+R51</f>
        <v>44.099999999999994</v>
      </c>
      <c r="S54" s="280">
        <f>S31+S51</f>
        <v>12.419999999999998</v>
      </c>
      <c r="T54" s="279"/>
      <c r="U54" s="280">
        <f>U31+U51</f>
        <v>825</v>
      </c>
      <c r="V54" s="280">
        <f>V31+V51</f>
        <v>825</v>
      </c>
      <c r="W54" s="280">
        <f>W31+W51</f>
        <v>890</v>
      </c>
      <c r="X54" s="280">
        <f>X31+X51</f>
        <v>350</v>
      </c>
      <c r="Y54" s="4"/>
    </row>
    <row r="55" spans="2:25" ht="12.75" customHeight="1" x14ac:dyDescent="0.3">
      <c r="B55" s="8"/>
      <c r="C55" s="271"/>
      <c r="D55" s="271"/>
      <c r="E55" s="271"/>
      <c r="F55" s="128">
        <f>'Prior Year Portfolio'!G11-F54</f>
        <v>3000</v>
      </c>
      <c r="G55" s="128">
        <f>'Prior Year Portfolio'!H11-G54</f>
        <v>-12995.309999999998</v>
      </c>
      <c r="H55" s="128">
        <f>'Prior Year Portfolio'!G10-H54</f>
        <v>3000</v>
      </c>
      <c r="I55" s="128">
        <f>'Prior Year Portfolio'!H10-I54</f>
        <v>1679</v>
      </c>
      <c r="K55" s="295">
        <f>'Prior Year Portfolio'!I11-K54</f>
        <v>-423434</v>
      </c>
      <c r="L55" s="295">
        <f>'Prior Year Portfolio'!J11-L54</f>
        <v>-51516</v>
      </c>
      <c r="M55" s="295">
        <f>'Prior Year Portfolio'!I10-M54</f>
        <v>-217738</v>
      </c>
      <c r="N55" s="295">
        <f>'Prior Year Portfolio'!J10-N54</f>
        <v>-37226</v>
      </c>
      <c r="Y55" s="4"/>
    </row>
    <row r="56" spans="2:25" ht="12.75" customHeight="1" x14ac:dyDescent="0.3">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F17">
    <cfRule type="expression" dxfId="22" priority="9">
      <formula>$B9&gt;Programs</formula>
    </cfRule>
  </conditionalFormatting>
  <conditionalFormatting sqref="G9:G10 I9:I10">
    <cfRule type="expression" dxfId="21" priority="18">
      <formula>$B9&gt;Programs</formula>
    </cfRule>
  </conditionalFormatting>
  <conditionalFormatting sqref="G11:G12 I11:I12">
    <cfRule type="expression" dxfId="20" priority="19">
      <formula>$B12&gt;Programs</formula>
    </cfRule>
  </conditionalFormatting>
  <conditionalFormatting sqref="G13:G17 I13:I17 F18:I28">
    <cfRule type="expression" dxfId="19" priority="17">
      <formula>$B13&gt;Programs</formula>
    </cfRule>
  </conditionalFormatting>
  <conditionalFormatting sqref="H9:H17">
    <cfRule type="expression" dxfId="18" priority="14">
      <formula>$B9&gt;Programs</formula>
    </cfRule>
  </conditionalFormatting>
  <conditionalFormatting sqref="K9:N28">
    <cfRule type="expression" dxfId="17" priority="4">
      <formula>$B9&gt;Programs</formula>
    </cfRule>
  </conditionalFormatting>
  <conditionalFormatting sqref="P9:R14">
    <cfRule type="expression" dxfId="16" priority="2">
      <formula>$B9&gt;Programs</formula>
    </cfRule>
  </conditionalFormatting>
  <conditionalFormatting sqref="P14:R14 P15:S28">
    <cfRule type="expression" dxfId="15" priority="13">
      <formula>Demand_1=NG_Demand</formula>
    </cfRule>
  </conditionalFormatting>
  <conditionalFormatting sqref="P9:S13">
    <cfRule type="expression" dxfId="14" priority="3">
      <formula>Demand_1=NG_Demand</formula>
    </cfRule>
  </conditionalFormatting>
  <conditionalFormatting sqref="P15:S28">
    <cfRule type="expression" dxfId="13" priority="12">
      <formula>$B15&gt;Programs</formula>
    </cfRule>
  </conditionalFormatting>
  <conditionalFormatting sqref="P40:S49">
    <cfRule type="expression" dxfId="12" priority="35">
      <formula>Demand_1=NG_Demand</formula>
    </cfRule>
  </conditionalFormatting>
  <conditionalFormatting sqref="S9:S12">
    <cfRule type="expression" dxfId="11" priority="6">
      <formula>$B9&gt;Programs</formula>
    </cfRule>
  </conditionalFormatting>
  <conditionalFormatting sqref="S13">
    <cfRule type="expression" dxfId="10" priority="87">
      <formula>$B14&gt;Programs</formula>
    </cfRule>
  </conditionalFormatting>
  <conditionalFormatting sqref="U9:X28">
    <cfRule type="expression" dxfId="9" priority="1">
      <formula>$B9&gt;Programs</formula>
    </cfRule>
  </conditionalFormatting>
  <dataValidations disablePrompts="1" count="1">
    <dataValidation type="list" allowBlank="1" showInputMessage="1" showErrorMessage="1" sqref="D40:D49" xr:uid="{00000000-0002-0000-1600-000000000000}">
      <formula1>Sector_Type</formula1>
    </dataValidation>
  </dataValidations>
  <pageMargins left="0.25" right="0.25" top="0.5" bottom="0.5" header="0.3" footer="0.3"/>
  <pageSetup scale="57" fitToHeight="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B1:V17"/>
  <sheetViews>
    <sheetView showGridLines="0" showRowColHeaders="0" zoomScale="110" zoomScaleNormal="110" workbookViewId="0">
      <selection activeCell="M3" sqref="M3:V17"/>
    </sheetView>
  </sheetViews>
  <sheetFormatPr defaultColWidth="9.109375" defaultRowHeight="13.8" x14ac:dyDescent="0.3"/>
  <cols>
    <col min="1" max="1" width="1" style="2" customWidth="1"/>
    <col min="2" max="2" width="1.44140625" style="2" customWidth="1"/>
    <col min="3" max="3" width="14.44140625" style="2" bestFit="1" customWidth="1"/>
    <col min="4" max="4" width="16.44140625" style="2" customWidth="1"/>
    <col min="5" max="5" width="17.88671875" style="2" customWidth="1"/>
    <col min="6" max="6" width="1.88671875" style="2" customWidth="1"/>
    <col min="7" max="7" width="14.77734375" style="2" customWidth="1"/>
    <col min="8" max="8" width="14" style="2" customWidth="1"/>
    <col min="9" max="9" width="15" style="2" customWidth="1"/>
    <col min="10" max="10" width="12.21875" style="2" customWidth="1"/>
    <col min="11" max="11" width="6.44140625" style="2" customWidth="1"/>
    <col min="12" max="12" width="1" style="2" customWidth="1"/>
    <col min="13" max="13" width="9.109375" style="2"/>
    <col min="14" max="14" width="0" style="2" hidden="1" customWidth="1"/>
    <col min="15" max="16384" width="9.109375" style="2"/>
  </cols>
  <sheetData>
    <row r="1" spans="2:22" ht="5.0999999999999996" customHeight="1" thickBot="1" x14ac:dyDescent="0.35"/>
    <row r="2" spans="2:22" ht="38.25" customHeight="1" x14ac:dyDescent="0.3">
      <c r="B2" s="631" t="s">
        <v>525</v>
      </c>
      <c r="C2" s="631"/>
      <c r="D2" s="631"/>
      <c r="E2" s="631"/>
      <c r="F2" s="631"/>
      <c r="G2" s="631"/>
      <c r="H2" s="631"/>
      <c r="I2" s="631"/>
      <c r="J2" s="631"/>
      <c r="K2" s="631"/>
    </row>
    <row r="3" spans="2:22" x14ac:dyDescent="0.3">
      <c r="B3" s="456"/>
      <c r="C3" s="336"/>
      <c r="D3" s="336"/>
      <c r="E3" s="336"/>
      <c r="F3" s="336"/>
      <c r="G3" s="336"/>
      <c r="H3" s="336"/>
      <c r="I3" s="336"/>
      <c r="J3" s="336"/>
      <c r="K3" s="457"/>
      <c r="M3" s="708"/>
      <c r="N3" s="708"/>
      <c r="O3" s="708"/>
      <c r="P3" s="708"/>
      <c r="Q3" s="708"/>
      <c r="R3" s="708"/>
      <c r="S3" s="708"/>
      <c r="T3" s="708"/>
      <c r="U3" s="708"/>
      <c r="V3" s="708"/>
    </row>
    <row r="4" spans="2:22" x14ac:dyDescent="0.3">
      <c r="B4" s="3"/>
      <c r="K4" s="4"/>
      <c r="M4" s="708"/>
      <c r="N4" s="708"/>
      <c r="O4" s="708"/>
      <c r="P4" s="709"/>
      <c r="Q4" s="709"/>
      <c r="R4" s="709"/>
      <c r="S4" s="709"/>
      <c r="T4" s="709"/>
      <c r="U4" s="708"/>
      <c r="V4" s="708"/>
    </row>
    <row r="5" spans="2:22" x14ac:dyDescent="0.3">
      <c r="B5" s="3"/>
      <c r="K5" s="4"/>
      <c r="M5" s="708"/>
      <c r="N5" s="708"/>
      <c r="O5" s="708"/>
      <c r="P5" s="709"/>
      <c r="Q5" s="709"/>
      <c r="R5" s="709"/>
      <c r="S5" s="709"/>
      <c r="T5" s="709"/>
      <c r="U5" s="708"/>
      <c r="V5" s="708"/>
    </row>
    <row r="6" spans="2:22" ht="15" customHeight="1" x14ac:dyDescent="0.3">
      <c r="B6" s="3"/>
      <c r="C6" s="339" t="str">
        <f>IF(N14&gt;0,"Incomplete - All 'yellow' shaded cells must be completed.","")</f>
        <v/>
      </c>
      <c r="K6" s="4"/>
      <c r="M6" s="708"/>
      <c r="N6" s="708"/>
      <c r="O6" s="708"/>
      <c r="P6" s="709"/>
      <c r="Q6" s="709"/>
      <c r="R6" s="709"/>
      <c r="S6" s="709"/>
      <c r="T6" s="709"/>
      <c r="U6" s="708"/>
      <c r="V6" s="708"/>
    </row>
    <row r="7" spans="2:22" x14ac:dyDescent="0.3">
      <c r="B7" s="3"/>
      <c r="D7" s="644" t="s">
        <v>10</v>
      </c>
      <c r="E7" s="644"/>
      <c r="G7" s="645" t="s">
        <v>526</v>
      </c>
      <c r="H7" s="645"/>
      <c r="I7" s="645"/>
      <c r="J7" s="645"/>
      <c r="K7" s="4"/>
      <c r="M7" s="708"/>
      <c r="N7" s="708"/>
      <c r="O7" s="708"/>
      <c r="P7" s="709"/>
      <c r="Q7" s="709"/>
      <c r="R7" s="709"/>
      <c r="S7" s="709"/>
      <c r="T7" s="709"/>
      <c r="U7" s="708"/>
      <c r="V7" s="708"/>
    </row>
    <row r="8" spans="2:22" x14ac:dyDescent="0.3">
      <c r="B8" s="3"/>
      <c r="D8" s="644" t="s">
        <v>527</v>
      </c>
      <c r="E8" s="644"/>
      <c r="G8" s="644" t="s">
        <v>528</v>
      </c>
      <c r="H8" s="644"/>
      <c r="I8" s="644" t="s">
        <v>529</v>
      </c>
      <c r="J8" s="644"/>
      <c r="K8" s="4"/>
      <c r="M8" s="708"/>
      <c r="N8" s="708"/>
      <c r="O8" s="708"/>
      <c r="P8" s="709"/>
      <c r="Q8" s="709"/>
      <c r="R8" s="709"/>
      <c r="S8" s="709"/>
      <c r="T8" s="709"/>
      <c r="U8" s="708"/>
      <c r="V8" s="708"/>
    </row>
    <row r="9" spans="2:22" ht="12.75" customHeight="1" x14ac:dyDescent="0.3">
      <c r="B9" s="8"/>
      <c r="C9" s="275" t="s">
        <v>74</v>
      </c>
      <c r="D9" s="478" t="s">
        <v>530</v>
      </c>
      <c r="E9" s="478" t="str">
        <f>"Sales ("&amp;Energy_2&amp;")"</f>
        <v>Sales (MWh)</v>
      </c>
      <c r="G9" s="478" t="s">
        <v>517</v>
      </c>
      <c r="H9" s="478" t="s">
        <v>518</v>
      </c>
      <c r="I9" s="478" t="s">
        <v>519</v>
      </c>
      <c r="J9" s="478" t="s">
        <v>518</v>
      </c>
      <c r="K9" s="4"/>
      <c r="M9" s="708"/>
      <c r="N9" s="708"/>
      <c r="O9" s="708"/>
      <c r="P9" s="709"/>
      <c r="Q9" s="709"/>
      <c r="R9" s="709"/>
      <c r="S9" s="709"/>
      <c r="T9" s="709"/>
      <c r="U9" s="708"/>
      <c r="V9" s="708"/>
    </row>
    <row r="10" spans="2:22" ht="12.75" customHeight="1" x14ac:dyDescent="0.3">
      <c r="B10" s="8"/>
      <c r="C10" s="260">
        <f>Prg_Year-1</f>
        <v>2024</v>
      </c>
      <c r="D10" s="554">
        <v>17828123</v>
      </c>
      <c r="E10" s="426">
        <v>178054</v>
      </c>
      <c r="G10" s="425">
        <v>112301</v>
      </c>
      <c r="H10" s="425">
        <v>24922</v>
      </c>
      <c r="I10" s="426">
        <v>218</v>
      </c>
      <c r="J10" s="426">
        <v>37</v>
      </c>
      <c r="K10" s="4"/>
      <c r="M10" s="708"/>
      <c r="N10" s="713"/>
      <c r="O10" s="708"/>
      <c r="P10" s="709"/>
      <c r="Q10" s="709"/>
      <c r="R10" s="709"/>
      <c r="S10" s="709"/>
      <c r="T10" s="709"/>
      <c r="U10" s="708"/>
      <c r="V10" s="708"/>
    </row>
    <row r="11" spans="2:22" ht="12.75" customHeight="1" x14ac:dyDescent="0.3">
      <c r="B11" s="8"/>
      <c r="C11" s="260">
        <f>C10-1</f>
        <v>2023</v>
      </c>
      <c r="D11" s="554">
        <v>22287690</v>
      </c>
      <c r="E11" s="426">
        <v>172735</v>
      </c>
      <c r="G11" s="425">
        <v>119869</v>
      </c>
      <c r="H11" s="425">
        <v>35265.910000000003</v>
      </c>
      <c r="I11" s="426">
        <v>424</v>
      </c>
      <c r="J11" s="426">
        <v>51</v>
      </c>
      <c r="K11" s="4"/>
      <c r="M11" s="708"/>
      <c r="N11" s="713"/>
      <c r="O11" s="708"/>
      <c r="P11" s="709"/>
      <c r="Q11" s="709"/>
      <c r="R11" s="709"/>
      <c r="S11" s="709"/>
      <c r="T11" s="709"/>
      <c r="U11" s="708"/>
      <c r="V11" s="708"/>
    </row>
    <row r="12" spans="2:22" ht="12.75" customHeight="1" x14ac:dyDescent="0.3">
      <c r="B12" s="8"/>
      <c r="C12" s="260">
        <f t="shared" ref="C12:C13" si="0">C11-1</f>
        <v>2022</v>
      </c>
      <c r="D12" s="425">
        <v>17797583</v>
      </c>
      <c r="E12" s="426">
        <v>169635</v>
      </c>
      <c r="G12" s="425">
        <v>109024.66666666666</v>
      </c>
      <c r="H12" s="425">
        <v>18422</v>
      </c>
      <c r="I12" s="426">
        <v>419.33699999999999</v>
      </c>
      <c r="J12" s="426">
        <v>0</v>
      </c>
      <c r="K12" s="4"/>
      <c r="M12" s="708"/>
      <c r="N12" s="713"/>
      <c r="O12" s="708"/>
      <c r="P12" s="709"/>
      <c r="Q12" s="709"/>
      <c r="R12" s="709"/>
      <c r="S12" s="709"/>
      <c r="T12" s="709"/>
      <c r="U12" s="708"/>
      <c r="V12" s="708"/>
    </row>
    <row r="13" spans="2:22" ht="12.75" customHeight="1" x14ac:dyDescent="0.3">
      <c r="B13" s="8"/>
      <c r="C13" s="260">
        <f t="shared" si="0"/>
        <v>2021</v>
      </c>
      <c r="D13" s="425">
        <v>15845620.43</v>
      </c>
      <c r="E13" s="426">
        <v>164926.91</v>
      </c>
      <c r="G13" s="425">
        <v>74983.333333333343</v>
      </c>
      <c r="H13" s="425">
        <v>82198.31</v>
      </c>
      <c r="I13" s="426">
        <v>229.285</v>
      </c>
      <c r="J13" s="426">
        <v>319.80599999999998</v>
      </c>
      <c r="K13" s="4"/>
      <c r="M13" s="708"/>
      <c r="N13" s="713"/>
      <c r="O13" s="708"/>
      <c r="P13" s="709"/>
      <c r="Q13" s="709"/>
      <c r="R13" s="709"/>
      <c r="S13" s="709"/>
      <c r="T13" s="709"/>
      <c r="U13" s="708"/>
      <c r="V13" s="708"/>
    </row>
    <row r="14" spans="2:22" ht="12.75" customHeight="1" x14ac:dyDescent="0.3">
      <c r="B14" s="8"/>
      <c r="C14"/>
      <c r="K14" s="4"/>
      <c r="M14" s="708"/>
      <c r="N14" s="708"/>
      <c r="O14" s="708"/>
      <c r="P14" s="708"/>
      <c r="Q14" s="708"/>
      <c r="R14" s="708"/>
      <c r="S14" s="708"/>
      <c r="T14" s="708"/>
      <c r="U14" s="708"/>
      <c r="V14" s="708"/>
    </row>
    <row r="15" spans="2:22" ht="12.75" customHeight="1" x14ac:dyDescent="0.3">
      <c r="B15" s="5"/>
      <c r="C15" s="6"/>
      <c r="D15" s="6"/>
      <c r="E15" s="6"/>
      <c r="F15" s="6"/>
      <c r="G15" s="6"/>
      <c r="H15" s="6"/>
      <c r="I15" s="6"/>
      <c r="J15" s="6"/>
      <c r="K15" s="7"/>
      <c r="M15" s="708"/>
      <c r="N15" s="708"/>
      <c r="O15" s="708"/>
      <c r="P15" s="708"/>
      <c r="Q15" s="708"/>
      <c r="R15" s="708"/>
      <c r="S15" s="708"/>
      <c r="T15" s="708"/>
      <c r="U15" s="708"/>
      <c r="V15" s="708"/>
    </row>
    <row r="16" spans="2:22" x14ac:dyDescent="0.3">
      <c r="M16" s="708"/>
      <c r="N16" s="708"/>
      <c r="O16" s="708"/>
      <c r="P16" s="708"/>
      <c r="Q16" s="708"/>
      <c r="R16" s="708"/>
      <c r="S16" s="708"/>
      <c r="T16" s="708"/>
      <c r="U16" s="708"/>
      <c r="V16" s="708"/>
    </row>
    <row r="17" spans="13:22" x14ac:dyDescent="0.3">
      <c r="M17" s="708"/>
      <c r="N17" s="708"/>
      <c r="O17" s="708"/>
      <c r="P17" s="708"/>
      <c r="Q17" s="708"/>
      <c r="R17" s="708"/>
      <c r="S17" s="708"/>
      <c r="T17" s="708"/>
      <c r="U17" s="708"/>
      <c r="V17" s="708"/>
    </row>
  </sheetData>
  <mergeCells count="6">
    <mergeCell ref="D7:E7"/>
    <mergeCell ref="G8:H8"/>
    <mergeCell ref="I8:J8"/>
    <mergeCell ref="G7:J7"/>
    <mergeCell ref="B2:K2"/>
    <mergeCell ref="D8:E8"/>
  </mergeCells>
  <dataValidations count="1">
    <dataValidation allowBlank="1" showInputMessage="1" showErrorMessage="1" prompt="These values can be copied from the previous years workbook." sqref="D10:D13" xr:uid="{00000000-0002-0000-1700-000000000000}"/>
  </dataValidation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50B5-CA6B-4106-8D75-D890AB8BBD80}">
  <sheetPr codeName="Sheet33">
    <tabColor rgb="FFFFFF00"/>
  </sheetPr>
  <dimension ref="A1"/>
  <sheetViews>
    <sheetView workbookViewId="0">
      <selection activeCell="K39" sqref="K39"/>
    </sheetView>
  </sheetViews>
  <sheetFormatPr defaultRowHeight="13.2"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FF0000"/>
  </sheetPr>
  <dimension ref="B1:O126"/>
  <sheetViews>
    <sheetView zoomScaleNormal="100" workbookViewId="0">
      <selection activeCell="H23" sqref="H23"/>
    </sheetView>
  </sheetViews>
  <sheetFormatPr defaultRowHeight="13.2" x14ac:dyDescent="0.25"/>
  <cols>
    <col min="1" max="1" width="5" customWidth="1"/>
    <col min="2" max="2" width="35.77734375" customWidth="1"/>
    <col min="3" max="3" width="21.88671875" bestFit="1" customWidth="1"/>
    <col min="4" max="4" width="26.88671875" bestFit="1" customWidth="1"/>
    <col min="5" max="5" width="13.44140625" customWidth="1"/>
    <col min="6" max="6" width="12.44140625" bestFit="1" customWidth="1"/>
    <col min="7" max="7" width="15.77734375" bestFit="1" customWidth="1"/>
    <col min="8" max="8" width="12.109375" bestFit="1" customWidth="1"/>
    <col min="9" max="9" width="12" customWidth="1"/>
    <col min="11" max="11" width="11.44140625" bestFit="1" customWidth="1"/>
    <col min="12" max="12" width="14" customWidth="1"/>
    <col min="13" max="13" width="13" customWidth="1"/>
    <col min="14" max="14" width="13.88671875" bestFit="1" customWidth="1"/>
    <col min="15" max="15" width="21.88671875" bestFit="1" customWidth="1"/>
    <col min="16" max="16" width="12.109375" bestFit="1" customWidth="1"/>
    <col min="17" max="17" width="12.77734375" bestFit="1" customWidth="1"/>
    <col min="18" max="18" width="12" bestFit="1" customWidth="1"/>
    <col min="22" max="22" width="10.44140625" bestFit="1" customWidth="1"/>
    <col min="23" max="23" width="11.44140625" bestFit="1" customWidth="1"/>
  </cols>
  <sheetData>
    <row r="1" spans="2:12" x14ac:dyDescent="0.25">
      <c r="B1" s="257"/>
    </row>
    <row r="2" spans="2:12" x14ac:dyDescent="0.25">
      <c r="B2" s="83" t="s">
        <v>531</v>
      </c>
    </row>
    <row r="3" spans="2:12" x14ac:dyDescent="0.25">
      <c r="B3" s="479" t="s">
        <v>308</v>
      </c>
      <c r="C3" s="479" t="s">
        <v>532</v>
      </c>
      <c r="D3" s="479" t="s">
        <v>48</v>
      </c>
      <c r="E3" s="479" t="s">
        <v>56</v>
      </c>
      <c r="F3" s="479" t="s">
        <v>57</v>
      </c>
      <c r="G3" s="479" t="s">
        <v>533</v>
      </c>
      <c r="H3" s="479" t="s">
        <v>534</v>
      </c>
      <c r="I3" s="479" t="s">
        <v>535</v>
      </c>
      <c r="J3" s="372" t="s">
        <v>536</v>
      </c>
      <c r="K3" s="372" t="s">
        <v>537</v>
      </c>
      <c r="L3" s="372" t="s">
        <v>538</v>
      </c>
    </row>
    <row r="4" spans="2:12" x14ac:dyDescent="0.25">
      <c r="B4" s="484">
        <f>IF(Demand_1=NG_Demand,"n/a",'Evaluated Savings'!D26/1000)</f>
        <v>5.11E-3</v>
      </c>
      <c r="C4" s="484">
        <f>IF(Demand_1=NG_Demand,'Evaluated Savings'!E26,'Evaluated Savings'!E26/1000)</f>
        <v>60.72</v>
      </c>
      <c r="D4" s="490">
        <f>'Actual Expenses'!J91</f>
        <v>34882.789999999994</v>
      </c>
      <c r="E4" s="490">
        <f>LCFC!J33</f>
        <v>7809.5573240000003</v>
      </c>
      <c r="F4" s="490" t="s">
        <v>539</v>
      </c>
      <c r="G4" s="490">
        <f>'Cost-Benefits'!I27</f>
        <v>88.362500000000011</v>
      </c>
      <c r="H4" s="491">
        <f>'Cost-Benefits'!J27</f>
        <v>16.40087145969499</v>
      </c>
      <c r="I4" s="491">
        <f>'Other CB Test'!I26</f>
        <v>1.2845054550284216</v>
      </c>
      <c r="J4" s="373" t="e">
        <f>#REF!</f>
        <v>#REF!</v>
      </c>
      <c r="K4" s="373" t="e">
        <f>#REF!</f>
        <v>#REF!</v>
      </c>
      <c r="L4" s="373" t="e">
        <f>#REF!</f>
        <v>#REF!</v>
      </c>
    </row>
    <row r="7" spans="2:12" x14ac:dyDescent="0.25">
      <c r="B7" s="83" t="s">
        <v>540</v>
      </c>
    </row>
    <row r="8" spans="2:12" x14ac:dyDescent="0.25">
      <c r="B8" s="479" t="s">
        <v>82</v>
      </c>
      <c r="C8" s="479" t="s">
        <v>541</v>
      </c>
      <c r="D8" s="479" t="s">
        <v>542</v>
      </c>
      <c r="E8" s="488" t="s">
        <v>517</v>
      </c>
      <c r="F8" s="488" t="s">
        <v>518</v>
      </c>
    </row>
    <row r="9" spans="2:12" x14ac:dyDescent="0.25">
      <c r="B9" s="481" t="str">
        <f ca="1">Order!J3</f>
        <v>Residential Products</v>
      </c>
      <c r="C9" s="492" t="str">
        <f ca="1">IF(ISERROR(VLOOKUP(B9,Data!$B$4:$N$23,2,FALSE)),"-",VLOOKUP(B9,Data!$B$4:$N$23,2,FALSE))</f>
        <v>Residential</v>
      </c>
      <c r="D9" s="493" t="str">
        <f ca="1">IF(ISERROR(VLOOKUP(B9,Data!$B$4:$N$23,3,FALSE)),"-",VLOOKUP(B9,Data!$B$4:$N$23,3,FALSE))</f>
        <v>Consumer Product Rebate</v>
      </c>
      <c r="E9" s="490">
        <f ca="1">IF(ISERROR(VLOOKUP(B9,Data!$B$4:$N$23,10,FALSE)),"-",VLOOKUP(B9,Data!$B$4:$N$23,10,FALSE))</f>
        <v>34885</v>
      </c>
      <c r="F9" s="490">
        <f ca="1">IF(ISERROR(VLOOKUP(B9,Data!$B$29:$N$48,10,FALSE)),"-",VLOOKUP(B9,Data!$B$29:$N$48,10,FALSE))</f>
        <v>690</v>
      </c>
    </row>
    <row r="10" spans="2:12" x14ac:dyDescent="0.25">
      <c r="B10" s="481" t="str">
        <f ca="1">Order!J4</f>
        <v>School-Based Energy Education</v>
      </c>
      <c r="C10" s="492" t="str">
        <f ca="1">IF(ISERROR(VLOOKUP(B10,Data!$B$4:$N$23,2,FALSE)),"-",VLOOKUP(B10,Data!$B$4:$N$23,2,FALSE))</f>
        <v>Residential</v>
      </c>
      <c r="D10" s="493" t="str">
        <f ca="1">IF(ISERROR(VLOOKUP(B10,Data!$B$4:$N$23,3,FALSE)),"-",VLOOKUP(B10,Data!$B$4:$N$23,3,FALSE))</f>
        <v>Consumer Product Rebate</v>
      </c>
      <c r="E10" s="490">
        <f ca="1">IF(ISERROR(VLOOKUP(B10,Data!$B$4:$N$23,10,FALSE)),"-",VLOOKUP(B10,Data!$B$4:$N$23,10,FALSE))</f>
        <v>16250</v>
      </c>
      <c r="F10" s="490">
        <f ca="1">IF(ISERROR(VLOOKUP(B10,Data!$B$29:$N$48,10,FALSE)),"-",VLOOKUP(B10,Data!$B$29:$N$48,10,FALSE))</f>
        <v>29581.94</v>
      </c>
    </row>
    <row r="11" spans="2:12" x14ac:dyDescent="0.25">
      <c r="B11" s="481" t="str">
        <f ca="1">Order!J5</f>
        <v>Weatherization</v>
      </c>
      <c r="C11" s="492" t="str">
        <f ca="1">IF(ISERROR(VLOOKUP(B11,Data!$B$4:$N$23,2,FALSE)),"-",VLOOKUP(B11,Data!$B$4:$N$23,2,FALSE))</f>
        <v>Residential</v>
      </c>
      <c r="D11" s="493" t="str">
        <f ca="1">IF(ISERROR(VLOOKUP(B11,Data!$B$4:$N$23,3,FALSE)),"-",VLOOKUP(B11,Data!$B$4:$N$23,3,FALSE))</f>
        <v>Whole Home</v>
      </c>
      <c r="E11" s="490">
        <f ca="1">IF(ISERROR(VLOOKUP(B11,Data!$B$4:$N$23,10,FALSE)),"-",VLOOKUP(B11,Data!$B$4:$N$23,10,FALSE))</f>
        <v>24454</v>
      </c>
      <c r="F11" s="490">
        <f ca="1">IF(ISERROR(VLOOKUP(B11,Data!$B$29:$N$48,10,FALSE)),"-",VLOOKUP(B11,Data!$B$29:$N$48,10,FALSE))</f>
        <v>0</v>
      </c>
    </row>
    <row r="12" spans="2:12" x14ac:dyDescent="0.25">
      <c r="B12" s="481" t="str">
        <f ca="1">Order!J6</f>
        <v>Commercial and Industrial (Custom)</v>
      </c>
      <c r="C12" s="492" t="str">
        <f ca="1">IF(ISERROR(VLOOKUP(B12,Data!$B$4:$N$23,2,FALSE)),"-",VLOOKUP(B12,Data!$B$4:$N$23,2,FALSE))</f>
        <v>Commercial &amp; Industrial</v>
      </c>
      <c r="D12" s="493" t="str">
        <f ca="1">IF(ISERROR(VLOOKUP(B12,Data!$B$4:$N$23,3,FALSE)),"-",VLOOKUP(B12,Data!$B$4:$N$23,3,FALSE))</f>
        <v>Custom</v>
      </c>
      <c r="E12" s="490">
        <f ca="1">IF(ISERROR(VLOOKUP(B12,Data!$B$4:$N$23,10,FALSE)),"-",VLOOKUP(B12,Data!$B$4:$N$23,10,FALSE))</f>
        <v>5812</v>
      </c>
      <c r="F12" s="490">
        <f ca="1">IF(ISERROR(VLOOKUP(B12,Data!$B$29:$N$48,10,FALSE)),"-",VLOOKUP(B12,Data!$B$29:$N$48,10,FALSE))</f>
        <v>0</v>
      </c>
    </row>
    <row r="13" spans="2:12" x14ac:dyDescent="0.25">
      <c r="B13" s="481" t="str">
        <f ca="1">Order!J7</f>
        <v>Commercial and Industrial (Prescriptive)</v>
      </c>
      <c r="C13" s="492" t="str">
        <f ca="1">IF(ISERROR(VLOOKUP(B13,Data!$B$4:$N$23,2,FALSE)),"-",VLOOKUP(B13,Data!$B$4:$N$23,2,FALSE))</f>
        <v>Commercial &amp; Industrial</v>
      </c>
      <c r="D13" s="493" t="str">
        <f ca="1">IF(ISERROR(VLOOKUP(B13,Data!$B$4:$N$23,3,FALSE)),"-",VLOOKUP(B13,Data!$B$4:$N$23,3,FALSE))</f>
        <v>Prescriptive/Standard Offer</v>
      </c>
      <c r="E13" s="490">
        <f ca="1">IF(ISERROR(VLOOKUP(B13,Data!$B$4:$N$23,10,FALSE)),"-",VLOOKUP(B13,Data!$B$4:$N$23,10,FALSE))</f>
        <v>5000</v>
      </c>
      <c r="F13" s="490">
        <f ca="1">IF(ISERROR(VLOOKUP(B13,Data!$B$29:$N$48,10,FALSE)),"-",VLOOKUP(B13,Data!$B$29:$N$48,10,FALSE))</f>
        <v>0</v>
      </c>
    </row>
    <row r="14" spans="2:12" x14ac:dyDescent="0.25">
      <c r="B14" s="481" t="str">
        <f ca="1">Order!J8</f>
        <v>Administration</v>
      </c>
      <c r="C14" s="492" t="str">
        <f ca="1">IF(ISERROR(VLOOKUP(B14,Data!$B$4:$N$23,2,FALSE)),"-",VLOOKUP(B14,Data!$B$4:$N$23,2,FALSE))</f>
        <v>All Classes</v>
      </c>
      <c r="D14" s="493" t="str">
        <f ca="1">IF(ISERROR(VLOOKUP(B14,Data!$B$4:$N$23,3,FALSE)),"-",VLOOKUP(B14,Data!$B$4:$N$23,3,FALSE))</f>
        <v>Other</v>
      </c>
      <c r="E14" s="490">
        <f ca="1">IF(ISERROR(VLOOKUP(B14,Data!$B$4:$N$23,10,FALSE)),"-",VLOOKUP(B14,Data!$B$4:$N$23,10,FALSE))</f>
        <v>10000</v>
      </c>
      <c r="F14" s="490">
        <f ca="1">IF(ISERROR(VLOOKUP(B14,Data!$B$29:$N$48,10,FALSE)),"-",VLOOKUP(B14,Data!$B$29:$N$48,10,FALSE))</f>
        <v>1000</v>
      </c>
    </row>
    <row r="15" spans="2:12" x14ac:dyDescent="0.25">
      <c r="B15" s="481" t="str">
        <f ca="1">Order!J9</f>
        <v>Marketing</v>
      </c>
      <c r="C15" s="492" t="str">
        <f ca="1">IF(ISERROR(VLOOKUP(B15,Data!$B$4:$N$23,2,FALSE)),"-",VLOOKUP(B15,Data!$B$4:$N$23,2,FALSE))</f>
        <v>All Classes</v>
      </c>
      <c r="D15" s="493" t="str">
        <f ca="1">IF(ISERROR(VLOOKUP(B15,Data!$B$4:$N$23,3,FALSE)),"-",VLOOKUP(B15,Data!$B$4:$N$23,3,FALSE))</f>
        <v>Other</v>
      </c>
      <c r="E15" s="490">
        <f ca="1">IF(ISERROR(VLOOKUP(B15,Data!$B$4:$N$23,10,FALSE)),"-",VLOOKUP(B15,Data!$B$4:$N$23,10,FALSE))</f>
        <v>1200</v>
      </c>
      <c r="F15" s="490">
        <f ca="1">IF(ISERROR(VLOOKUP(B15,Data!$B$29:$N$48,10,FALSE)),"-",VLOOKUP(B15,Data!$B$29:$N$48,10,FALSE))</f>
        <v>0</v>
      </c>
    </row>
    <row r="16" spans="2:12" x14ac:dyDescent="0.25">
      <c r="B16" s="481" t="str">
        <f ca="1">Order!J10</f>
        <v>Online Energy Calculator</v>
      </c>
      <c r="C16" s="492" t="str">
        <f ca="1">IF(ISERROR(VLOOKUP(B16,Data!$B$4:$N$23,2,FALSE)),"-",VLOOKUP(B16,Data!$B$4:$N$23,2,FALSE))</f>
        <v>All Classes</v>
      </c>
      <c r="D16" s="493" t="str">
        <f ca="1">IF(ISERROR(VLOOKUP(B16,Data!$B$4:$N$23,3,FALSE)),"-",VLOOKUP(B16,Data!$B$4:$N$23,3,FALSE))</f>
        <v>Behavior/Education</v>
      </c>
      <c r="E16" s="490">
        <f ca="1">IF(ISERROR(VLOOKUP(B16,Data!$B$4:$N$23,10,FALSE)),"-",VLOOKUP(B16,Data!$B$4:$N$23,10,FALSE))</f>
        <v>4000</v>
      </c>
      <c r="F16" s="490">
        <f ca="1">IF(ISERROR(VLOOKUP(B16,Data!$B$29:$N$48,10,FALSE)),"-",VLOOKUP(B16,Data!$B$29:$N$48,10,FALSE))</f>
        <v>0</v>
      </c>
    </row>
    <row r="17" spans="2:6" x14ac:dyDescent="0.25">
      <c r="B17" s="481" t="str">
        <f ca="1">Order!J11</f>
        <v>EM&amp;V</v>
      </c>
      <c r="C17" s="492" t="str">
        <f ca="1">IF(ISERROR(VLOOKUP(B17,Data!$B$4:$N$23,2,FALSE)),"-",VLOOKUP(B17,Data!$B$4:$N$23,2,FALSE))</f>
        <v>All Classes</v>
      </c>
      <c r="D17" s="493" t="str">
        <f ca="1">IF(ISERROR(VLOOKUP(B17,Data!$B$4:$N$23,3,FALSE)),"-",VLOOKUP(B17,Data!$B$4:$N$23,3,FALSE))</f>
        <v>Other</v>
      </c>
      <c r="E17" s="490">
        <f ca="1">IF(ISERROR(VLOOKUP(B17,Data!$B$4:$N$23,10,FALSE)),"-",VLOOKUP(B17,Data!$B$4:$N$23,10,FALSE))</f>
        <v>2500</v>
      </c>
      <c r="F17" s="490">
        <f ca="1">IF(ISERROR(VLOOKUP(B17,Data!$B$29:$N$48,10,FALSE)),"-",VLOOKUP(B17,Data!$B$29:$N$48,10,FALSE))</f>
        <v>2687.5</v>
      </c>
    </row>
    <row r="18" spans="2:6" x14ac:dyDescent="0.25">
      <c r="B18" s="481" t="str">
        <f ca="1">Order!J12</f>
        <v>*Hide*</v>
      </c>
      <c r="C18" s="492" t="str">
        <f ca="1">IF(ISERROR(VLOOKUP(B18,Data!$B$4:$N$23,2,FALSE)),"-",VLOOKUP(B18,Data!$B$4:$N$23,2,FALSE))</f>
        <v>-</v>
      </c>
      <c r="D18" s="493" t="str">
        <f ca="1">IF(ISERROR(VLOOKUP(B18,Data!$B$4:$N$23,3,FALSE)),"-",VLOOKUP(B18,Data!$B$4:$N$23,3,FALSE))</f>
        <v>-</v>
      </c>
      <c r="E18" s="490" t="str">
        <f ca="1">IF(ISERROR(VLOOKUP(B18,Data!$B$4:$N$23,10,FALSE)),"-",VLOOKUP(B18,Data!$B$4:$N$23,10,FALSE))</f>
        <v>-</v>
      </c>
      <c r="F18" s="490" t="str">
        <f ca="1">IF(ISERROR(VLOOKUP(B18,Data!$B$29:$N$48,10,FALSE)),"-",VLOOKUP(B18,Data!$B$29:$N$48,10,FALSE))</f>
        <v>-</v>
      </c>
    </row>
    <row r="19" spans="2:6" x14ac:dyDescent="0.25">
      <c r="B19" s="481" t="str">
        <f ca="1">Order!J13</f>
        <v>*Hide*</v>
      </c>
      <c r="C19" s="492" t="str">
        <f ca="1">IF(ISERROR(VLOOKUP(B19,Data!$B$4:$N$23,2,FALSE)),"-",VLOOKUP(B19,Data!$B$4:$N$23,2,FALSE))</f>
        <v>-</v>
      </c>
      <c r="D19" s="493" t="str">
        <f ca="1">IF(ISERROR(VLOOKUP(B19,Data!$B$4:$N$23,3,FALSE)),"-",VLOOKUP(B19,Data!$B$4:$N$23,3,FALSE))</f>
        <v>-</v>
      </c>
      <c r="E19" s="490" t="str">
        <f ca="1">IF(ISERROR(VLOOKUP(B19,Data!$B$4:$N$23,10,FALSE)),"-",VLOOKUP(B19,Data!$B$4:$N$23,10,FALSE))</f>
        <v>-</v>
      </c>
      <c r="F19" s="490" t="str">
        <f ca="1">IF(ISERROR(VLOOKUP(B19,Data!$B$29:$N$48,10,FALSE)),"-",VLOOKUP(B19,Data!$B$29:$N$48,10,FALSE))</f>
        <v>-</v>
      </c>
    </row>
    <row r="20" spans="2:6" x14ac:dyDescent="0.25">
      <c r="B20" s="481" t="str">
        <f ca="1">Order!J14</f>
        <v>*Hide*</v>
      </c>
      <c r="C20" s="492" t="str">
        <f ca="1">IF(ISERROR(VLOOKUP(B20,Data!$B$4:$N$23,2,FALSE)),"-",VLOOKUP(B20,Data!$B$4:$N$23,2,FALSE))</f>
        <v>-</v>
      </c>
      <c r="D20" s="493" t="str">
        <f ca="1">IF(ISERROR(VLOOKUP(B20,Data!$B$4:$N$23,3,FALSE)),"-",VLOOKUP(B20,Data!$B$4:$N$23,3,FALSE))</f>
        <v>-</v>
      </c>
      <c r="E20" s="490" t="str">
        <f ca="1">IF(ISERROR(VLOOKUP(B20,Data!$B$4:$N$23,10,FALSE)),"-",VLOOKUP(B20,Data!$B$4:$N$23,10,FALSE))</f>
        <v>-</v>
      </c>
      <c r="F20" s="490" t="str">
        <f ca="1">IF(ISERROR(VLOOKUP(B20,Data!$B$29:$N$48,10,FALSE)),"-",VLOOKUP(B20,Data!$B$29:$N$48,10,FALSE))</f>
        <v>-</v>
      </c>
    </row>
    <row r="21" spans="2:6" x14ac:dyDescent="0.25">
      <c r="B21" s="481" t="str">
        <f ca="1">Order!J15</f>
        <v>*Hide*</v>
      </c>
      <c r="C21" s="492" t="str">
        <f ca="1">IF(ISERROR(VLOOKUP(B21,Data!$B$4:$N$23,2,FALSE)),"-",VLOOKUP(B21,Data!$B$4:$N$23,2,FALSE))</f>
        <v>-</v>
      </c>
      <c r="D21" s="493" t="str">
        <f ca="1">IF(ISERROR(VLOOKUP(B21,Data!$B$4:$N$23,3,FALSE)),"-",VLOOKUP(B21,Data!$B$4:$N$23,3,FALSE))</f>
        <v>-</v>
      </c>
      <c r="E21" s="490" t="str">
        <f ca="1">IF(ISERROR(VLOOKUP(B21,Data!$B$4:$N$23,10,FALSE)),"-",VLOOKUP(B21,Data!$B$4:$N$23,10,FALSE))</f>
        <v>-</v>
      </c>
      <c r="F21" s="490" t="str">
        <f ca="1">IF(ISERROR(VLOOKUP(B21,Data!$B$29:$N$48,10,FALSE)),"-",VLOOKUP(B21,Data!$B$29:$N$48,10,FALSE))</f>
        <v>-</v>
      </c>
    </row>
    <row r="22" spans="2:6" x14ac:dyDescent="0.25">
      <c r="B22" s="481" t="str">
        <f ca="1">Order!J16</f>
        <v>*Hide*</v>
      </c>
      <c r="C22" s="492" t="str">
        <f ca="1">IF(ISERROR(VLOOKUP(B22,Data!$B$4:$N$23,2,FALSE)),"-",VLOOKUP(B22,Data!$B$4:$N$23,2,FALSE))</f>
        <v>-</v>
      </c>
      <c r="D22" s="493" t="str">
        <f ca="1">IF(ISERROR(VLOOKUP(B22,Data!$B$4:$N$23,3,FALSE)),"-",VLOOKUP(B22,Data!$B$4:$N$23,3,FALSE))</f>
        <v>-</v>
      </c>
      <c r="E22" s="490" t="str">
        <f ca="1">IF(ISERROR(VLOOKUP(B22,Data!$B$4:$N$23,10,FALSE)),"-",VLOOKUP(B22,Data!$B$4:$N$23,10,FALSE))</f>
        <v>-</v>
      </c>
      <c r="F22" s="490" t="str">
        <f ca="1">IF(ISERROR(VLOOKUP(B22,Data!$B$29:$N$48,10,FALSE)),"-",VLOOKUP(B22,Data!$B$29:$N$48,10,FALSE))</f>
        <v>-</v>
      </c>
    </row>
    <row r="23" spans="2:6" x14ac:dyDescent="0.25">
      <c r="B23" s="481" t="str">
        <f ca="1">Order!J17</f>
        <v>*Hide*</v>
      </c>
      <c r="C23" s="492" t="str">
        <f ca="1">IF(ISERROR(VLOOKUP(B23,Data!$B$4:$N$23,2,FALSE)),"-",VLOOKUP(B23,Data!$B$4:$N$23,2,FALSE))</f>
        <v>-</v>
      </c>
      <c r="D23" s="493" t="str">
        <f ca="1">IF(ISERROR(VLOOKUP(B23,Data!$B$4:$N$23,3,FALSE)),"-",VLOOKUP(B23,Data!$B$4:$N$23,3,FALSE))</f>
        <v>-</v>
      </c>
      <c r="E23" s="490" t="str">
        <f ca="1">IF(ISERROR(VLOOKUP(B23,Data!$B$4:$N$23,10,FALSE)),"-",VLOOKUP(B23,Data!$B$4:$N$23,10,FALSE))</f>
        <v>-</v>
      </c>
      <c r="F23" s="490" t="str">
        <f ca="1">IF(ISERROR(VLOOKUP(B23,Data!$B$29:$N$48,10,FALSE)),"-",VLOOKUP(B23,Data!$B$29:$N$48,10,FALSE))</f>
        <v>-</v>
      </c>
    </row>
    <row r="24" spans="2:6" x14ac:dyDescent="0.25">
      <c r="B24" s="481" t="str">
        <f ca="1">Order!J18</f>
        <v>*Hide*</v>
      </c>
      <c r="C24" s="492" t="str">
        <f ca="1">IF(ISERROR(VLOOKUP(B24,Data!$B$4:$N$23,2,FALSE)),"-",VLOOKUP(B24,Data!$B$4:$N$23,2,FALSE))</f>
        <v>-</v>
      </c>
      <c r="D24" s="493" t="str">
        <f ca="1">IF(ISERROR(VLOOKUP(B24,Data!$B$4:$N$23,3,FALSE)),"-",VLOOKUP(B24,Data!$B$4:$N$23,3,FALSE))</f>
        <v>-</v>
      </c>
      <c r="E24" s="490" t="str">
        <f ca="1">IF(ISERROR(VLOOKUP(B24,Data!$B$4:$N$23,10,FALSE)),"-",VLOOKUP(B24,Data!$B$4:$N$23,10,FALSE))</f>
        <v>-</v>
      </c>
      <c r="F24" s="490" t="str">
        <f ca="1">IF(ISERROR(VLOOKUP(B24,Data!$B$29:$N$48,10,FALSE)),"-",VLOOKUP(B24,Data!$B$29:$N$48,10,FALSE))</f>
        <v>-</v>
      </c>
    </row>
    <row r="25" spans="2:6" x14ac:dyDescent="0.25">
      <c r="B25" s="481" t="str">
        <f ca="1">Order!J19</f>
        <v>*Hide*</v>
      </c>
      <c r="C25" s="492" t="str">
        <f ca="1">IF(ISERROR(VLOOKUP(B25,Data!$B$4:$N$23,2,FALSE)),"-",VLOOKUP(B25,Data!$B$4:$N$23,2,FALSE))</f>
        <v>-</v>
      </c>
      <c r="D25" s="493" t="str">
        <f ca="1">IF(ISERROR(VLOOKUP(B25,Data!$B$4:$N$23,3,FALSE)),"-",VLOOKUP(B25,Data!$B$4:$N$23,3,FALSE))</f>
        <v>-</v>
      </c>
      <c r="E25" s="490" t="str">
        <f ca="1">IF(ISERROR(VLOOKUP(B25,Data!$B$4:$N$23,10,FALSE)),"-",VLOOKUP(B25,Data!$B$4:$N$23,10,FALSE))</f>
        <v>-</v>
      </c>
      <c r="F25" s="490" t="str">
        <f ca="1">IF(ISERROR(VLOOKUP(B25,Data!$B$29:$N$48,10,FALSE)),"-",VLOOKUP(B25,Data!$B$29:$N$48,10,FALSE))</f>
        <v>-</v>
      </c>
    </row>
    <row r="26" spans="2:6" x14ac:dyDescent="0.25">
      <c r="B26" s="481" t="str">
        <f ca="1">Order!J20</f>
        <v>*Hide*</v>
      </c>
      <c r="C26" s="492" t="str">
        <f ca="1">IF(ISERROR(VLOOKUP(B26,Data!$B$4:$N$23,2,FALSE)),"-",VLOOKUP(B26,Data!$B$4:$N$23,2,FALSE))</f>
        <v>-</v>
      </c>
      <c r="D26" s="493" t="str">
        <f ca="1">IF(ISERROR(VLOOKUP(B26,Data!$B$4:$N$23,3,FALSE)),"-",VLOOKUP(B26,Data!$B$4:$N$23,3,FALSE))</f>
        <v>-</v>
      </c>
      <c r="E26" s="490" t="str">
        <f ca="1">IF(ISERROR(VLOOKUP(B26,Data!$B$4:$N$23,10,FALSE)),"-",VLOOKUP(B26,Data!$B$4:$N$23,10,FALSE))</f>
        <v>-</v>
      </c>
      <c r="F26" s="490" t="str">
        <f ca="1">IF(ISERROR(VLOOKUP(B26,Data!$B$29:$N$48,10,FALSE)),"-",VLOOKUP(B26,Data!$B$29:$N$48,10,FALSE))</f>
        <v>-</v>
      </c>
    </row>
    <row r="27" spans="2:6" x14ac:dyDescent="0.25">
      <c r="B27" s="481" t="str">
        <f ca="1">Order!J21</f>
        <v>*Hide*</v>
      </c>
      <c r="C27" s="492" t="str">
        <f ca="1">IF(ISERROR(VLOOKUP(B27,Data!$B$4:$N$23,2,FALSE)),"-",VLOOKUP(B27,Data!$B$4:$N$23,2,FALSE))</f>
        <v>-</v>
      </c>
      <c r="D27" s="493" t="str">
        <f ca="1">IF(ISERROR(VLOOKUP(B27,Data!$B$4:$N$23,3,FALSE)),"-",VLOOKUP(B27,Data!$B$4:$N$23,3,FALSE))</f>
        <v>-</v>
      </c>
      <c r="E27" s="490" t="str">
        <f ca="1">IF(ISERROR(VLOOKUP(B27,Data!$B$4:$N$23,10,FALSE)),"-",VLOOKUP(B27,Data!$B$4:$N$23,10,FALSE))</f>
        <v>-</v>
      </c>
      <c r="F27" s="490" t="str">
        <f ca="1">IF(ISERROR(VLOOKUP(B27,Data!$B$29:$N$48,10,FALSE)),"-",VLOOKUP(B27,Data!$B$29:$N$48,10,FALSE))</f>
        <v>-</v>
      </c>
    </row>
    <row r="28" spans="2:6" x14ac:dyDescent="0.25">
      <c r="B28" s="481" t="str">
        <f ca="1">Order!J22</f>
        <v>*Hide*</v>
      </c>
      <c r="C28" s="492" t="str">
        <f ca="1">IF(ISERROR(VLOOKUP(B28,Data!$B$4:$N$23,2,FALSE)),"-",VLOOKUP(B28,Data!$B$4:$N$23,2,FALSE))</f>
        <v>-</v>
      </c>
      <c r="D28" s="493" t="str">
        <f ca="1">IF(ISERROR(VLOOKUP(B28,Data!$B$4:$N$23,3,FALSE)),"-",VLOOKUP(B28,Data!$B$4:$N$23,3,FALSE))</f>
        <v>-</v>
      </c>
      <c r="E28" s="490" t="str">
        <f ca="1">IF(ISERROR(VLOOKUP(B28,Data!$B$4:$N$23,10,FALSE)),"-",VLOOKUP(B28,Data!$B$4:$N$23,10,FALSE))</f>
        <v>-</v>
      </c>
      <c r="F28" s="490" t="str">
        <f ca="1">IF(ISERROR(VLOOKUP(B28,Data!$B$29:$N$48,10,FALSE)),"-",VLOOKUP(B28,Data!$B$29:$N$48,10,FALSE))</f>
        <v>-</v>
      </c>
    </row>
    <row r="29" spans="2:6" x14ac:dyDescent="0.25">
      <c r="B29" s="482" t="str">
        <f>Data!B24</f>
        <v>Regulatory</v>
      </c>
      <c r="C29" s="492" t="str">
        <f>Data!C24</f>
        <v>-</v>
      </c>
      <c r="D29" s="493" t="str">
        <f>Data!D24</f>
        <v>-</v>
      </c>
      <c r="E29" s="490">
        <f>Data!K24</f>
        <v>3000</v>
      </c>
      <c r="F29" s="490">
        <f>Data!K49</f>
        <v>923.35</v>
      </c>
    </row>
    <row r="32" spans="2:6" x14ac:dyDescent="0.25">
      <c r="B32" s="83" t="s">
        <v>543</v>
      </c>
    </row>
    <row r="33" spans="2:8" x14ac:dyDescent="0.25">
      <c r="B33" s="479" t="s">
        <v>542</v>
      </c>
      <c r="C33" s="488" t="s">
        <v>517</v>
      </c>
      <c r="D33" s="488" t="s">
        <v>518</v>
      </c>
    </row>
    <row r="34" spans="2:8" x14ac:dyDescent="0.25">
      <c r="B34" s="481" t="str">
        <f>Data!F3</f>
        <v>Planning / Design</v>
      </c>
      <c r="C34" s="490">
        <f>Data!F25</f>
        <v>0</v>
      </c>
      <c r="D34" s="490">
        <f>Data!F50</f>
        <v>0</v>
      </c>
    </row>
    <row r="35" spans="2:8" x14ac:dyDescent="0.25">
      <c r="B35" s="481" t="str">
        <f>Data!G3</f>
        <v>Marketing &amp; Delivery</v>
      </c>
      <c r="C35" s="490">
        <f>Data!G25</f>
        <v>5200</v>
      </c>
      <c r="D35" s="490">
        <f>Data!G50</f>
        <v>0</v>
      </c>
    </row>
    <row r="36" spans="2:8" x14ac:dyDescent="0.25">
      <c r="B36" s="481" t="str">
        <f>Data!H3</f>
        <v>Incentives / Direct Install Costs</v>
      </c>
      <c r="C36" s="490">
        <f>Data!H25</f>
        <v>86401</v>
      </c>
      <c r="D36" s="490">
        <f>Data!H50</f>
        <v>30271.94</v>
      </c>
    </row>
    <row r="37" spans="2:8" x14ac:dyDescent="0.25">
      <c r="B37" s="481" t="str">
        <f>Data!I3</f>
        <v>EM&amp;V</v>
      </c>
      <c r="C37" s="490">
        <f>Data!I25</f>
        <v>2500</v>
      </c>
      <c r="D37" s="490">
        <f>Data!I50</f>
        <v>2687.5</v>
      </c>
    </row>
    <row r="38" spans="2:8" x14ac:dyDescent="0.25">
      <c r="B38" s="481" t="str">
        <f>Data!J3</f>
        <v>Administration</v>
      </c>
      <c r="C38" s="490">
        <f>Data!J25</f>
        <v>10000</v>
      </c>
      <c r="D38" s="490">
        <f>Data!J50</f>
        <v>1000</v>
      </c>
    </row>
    <row r="39" spans="2:8" x14ac:dyDescent="0.25">
      <c r="B39" s="481" t="str">
        <f>Budgets!H26</f>
        <v>Regulatory</v>
      </c>
      <c r="C39" s="490">
        <f>Data!K24</f>
        <v>3000</v>
      </c>
      <c r="D39" s="490">
        <f>Data!K49</f>
        <v>923.35</v>
      </c>
    </row>
    <row r="42" spans="2:8" x14ac:dyDescent="0.25">
      <c r="B42" s="83" t="s">
        <v>544</v>
      </c>
    </row>
    <row r="43" spans="2:8" x14ac:dyDescent="0.25">
      <c r="B43" s="479" t="s">
        <v>545</v>
      </c>
      <c r="C43" s="479" t="s">
        <v>530</v>
      </c>
      <c r="D43" s="479" t="s">
        <v>546</v>
      </c>
      <c r="E43" s="479" t="s">
        <v>547</v>
      </c>
      <c r="F43" s="479" t="s">
        <v>548</v>
      </c>
      <c r="G43" s="479" t="s">
        <v>519</v>
      </c>
      <c r="H43" s="479" t="s">
        <v>520</v>
      </c>
    </row>
    <row r="44" spans="2:8" x14ac:dyDescent="0.25">
      <c r="B44" s="489">
        <f t="shared" ref="B44:B46" si="0">B45-1</f>
        <v>2021</v>
      </c>
      <c r="C44" s="490">
        <f>VLOOKUP($B44,'Prior Year Portfolio'!$C$10:$J$13,2,FALSE)</f>
        <v>15845620.43</v>
      </c>
      <c r="D44" s="484">
        <f>VLOOKUP($B44,'Prior Year Portfolio'!$C$10:$J$13,3,FALSE)</f>
        <v>164926.91</v>
      </c>
      <c r="E44" s="490">
        <f>VLOOKUP($B44,'Prior Year Portfolio'!$C$10:$J$13,5,FALSE)</f>
        <v>74983.333333333343</v>
      </c>
      <c r="F44" s="490">
        <f>VLOOKUP($B44,'Prior Year Portfolio'!$C$10:$J$13,6,FALSE)</f>
        <v>82198.31</v>
      </c>
      <c r="G44" s="484">
        <f>VLOOKUP($B44,'Prior Year Portfolio'!$C$10:$J$13,7,FALSE)</f>
        <v>229.285</v>
      </c>
      <c r="H44" s="484">
        <f>VLOOKUP($B44,'Prior Year Portfolio'!$C$10:$J$13,8,FALSE)</f>
        <v>319.80599999999998</v>
      </c>
    </row>
    <row r="45" spans="2:8" x14ac:dyDescent="0.25">
      <c r="B45" s="489">
        <f t="shared" si="0"/>
        <v>2022</v>
      </c>
      <c r="C45" s="490">
        <f>VLOOKUP($B45,'Prior Year Portfolio'!$C$10:$J$13,2,FALSE)</f>
        <v>17797583</v>
      </c>
      <c r="D45" s="484">
        <f>VLOOKUP($B45,'Prior Year Portfolio'!$C$10:$J$13,3,FALSE)</f>
        <v>169635</v>
      </c>
      <c r="E45" s="490">
        <f>VLOOKUP($B45,'Prior Year Portfolio'!$C$10:$J$13,5,FALSE)</f>
        <v>109024.66666666666</v>
      </c>
      <c r="F45" s="490">
        <f>VLOOKUP($B45,'Prior Year Portfolio'!$C$10:$J$13,6,FALSE)</f>
        <v>18422</v>
      </c>
      <c r="G45" s="484">
        <f>VLOOKUP($B45,'Prior Year Portfolio'!$C$10:$J$13,7,FALSE)</f>
        <v>419.33699999999999</v>
      </c>
      <c r="H45" s="484">
        <f>VLOOKUP($B45,'Prior Year Portfolio'!$C$10:$J$13,8,FALSE)</f>
        <v>0</v>
      </c>
    </row>
    <row r="46" spans="2:8" x14ac:dyDescent="0.25">
      <c r="B46" s="489">
        <f t="shared" si="0"/>
        <v>2023</v>
      </c>
      <c r="C46" s="490">
        <f>VLOOKUP($B46,'Prior Year Portfolio'!$C$10:$J$13,2,FALSE)</f>
        <v>22287690</v>
      </c>
      <c r="D46" s="484">
        <f>VLOOKUP($B46,'Prior Year Portfolio'!$C$10:$J$13,3,FALSE)</f>
        <v>172735</v>
      </c>
      <c r="E46" s="490">
        <f>VLOOKUP($B46,'Prior Year Portfolio'!$C$10:$J$13,5,FALSE)</f>
        <v>119869</v>
      </c>
      <c r="F46" s="490">
        <f>VLOOKUP($B46,'Prior Year Portfolio'!$C$10:$J$13,6,FALSE)</f>
        <v>35265.910000000003</v>
      </c>
      <c r="G46" s="484">
        <f>VLOOKUP($B46,'Prior Year Portfolio'!$C$10:$J$13,7,FALSE)</f>
        <v>424</v>
      </c>
      <c r="H46" s="484">
        <f>VLOOKUP($B46,'Prior Year Portfolio'!$C$10:$J$13,8,FALSE)</f>
        <v>51</v>
      </c>
    </row>
    <row r="47" spans="2:8" x14ac:dyDescent="0.25">
      <c r="B47" s="489">
        <f>B48-1</f>
        <v>2024</v>
      </c>
      <c r="C47" s="490">
        <f>VLOOKUP($B47,'Prior Year Portfolio'!$C$10:$J$13,2,FALSE)</f>
        <v>17828123</v>
      </c>
      <c r="D47" s="484">
        <f>VLOOKUP($B47,'Prior Year Portfolio'!$C$10:$J$13,3,FALSE)</f>
        <v>178054</v>
      </c>
      <c r="E47" s="490">
        <f>VLOOKUP($B47,'Prior Year Portfolio'!$C$10:$J$13,5,FALSE)</f>
        <v>112301</v>
      </c>
      <c r="F47" s="490">
        <f>VLOOKUP($B47,'Prior Year Portfolio'!$C$10:$J$13,6,FALSE)</f>
        <v>24922</v>
      </c>
      <c r="G47" s="484">
        <f>VLOOKUP($B47,'Prior Year Portfolio'!$C$10:$J$13,7,FALSE)</f>
        <v>218</v>
      </c>
      <c r="H47" s="484">
        <f>VLOOKUP($B47,'Prior Year Portfolio'!$C$10:$J$13,8,FALSE)</f>
        <v>37</v>
      </c>
    </row>
    <row r="48" spans="2:8" x14ac:dyDescent="0.25">
      <c r="B48" s="489">
        <f>Prg_Year</f>
        <v>2025</v>
      </c>
      <c r="C48" s="490">
        <f>'Utility Information'!F8</f>
        <v>17104616.859999999</v>
      </c>
      <c r="D48" s="484">
        <f>'Utility Information'!F11</f>
        <v>180874532</v>
      </c>
      <c r="E48" s="490">
        <f>Budgets!I27</f>
        <v>107101</v>
      </c>
      <c r="F48" s="490">
        <f>'Actual Expenses'!J91</f>
        <v>34882.789999999994</v>
      </c>
      <c r="G48" s="484">
        <f>'Savings &amp; Participants'!E26/1000</f>
        <v>64.058999999999997</v>
      </c>
      <c r="H48" s="484">
        <f>'Evaluated Savings'!E26/1000</f>
        <v>60.72</v>
      </c>
    </row>
    <row r="49" spans="2:15" x14ac:dyDescent="0.25">
      <c r="C49" s="175"/>
      <c r="D49" s="175"/>
      <c r="F49">
        <f>F48/F47</f>
        <v>1.3996785972233365</v>
      </c>
    </row>
    <row r="50" spans="2:15" x14ac:dyDescent="0.25">
      <c r="C50" s="175"/>
      <c r="D50" s="175"/>
      <c r="F50">
        <f>F48/F46</f>
        <v>0.98913625084394508</v>
      </c>
    </row>
    <row r="51" spans="2:15" x14ac:dyDescent="0.25">
      <c r="C51" s="175"/>
      <c r="D51" s="175"/>
    </row>
    <row r="52" spans="2:15" x14ac:dyDescent="0.25">
      <c r="C52" s="175"/>
      <c r="D52" s="175"/>
    </row>
    <row r="53" spans="2:15" x14ac:dyDescent="0.25">
      <c r="C53" s="175"/>
      <c r="D53" s="175"/>
    </row>
    <row r="54" spans="2:15" x14ac:dyDescent="0.25">
      <c r="C54" s="175"/>
      <c r="D54" s="175"/>
    </row>
    <row r="55" spans="2:15" x14ac:dyDescent="0.25">
      <c r="C55" s="175"/>
      <c r="D55" s="175"/>
    </row>
    <row r="56" spans="2:15" x14ac:dyDescent="0.25">
      <c r="B56" s="83" t="s">
        <v>549</v>
      </c>
    </row>
    <row r="57" spans="2:15" x14ac:dyDescent="0.25">
      <c r="B57" s="479" t="s">
        <v>82</v>
      </c>
      <c r="C57" s="488" t="s">
        <v>83</v>
      </c>
      <c r="D57" s="488" t="s">
        <v>517</v>
      </c>
      <c r="E57" s="488" t="s">
        <v>518</v>
      </c>
      <c r="F57" s="488" t="s">
        <v>519</v>
      </c>
      <c r="G57" s="488" t="s">
        <v>520</v>
      </c>
      <c r="H57" s="488" t="s">
        <v>519</v>
      </c>
      <c r="I57" s="488" t="s">
        <v>518</v>
      </c>
      <c r="J57" s="488" t="s">
        <v>223</v>
      </c>
      <c r="K57" s="488" t="s">
        <v>177</v>
      </c>
      <c r="L57" s="488" t="s">
        <v>550</v>
      </c>
      <c r="N57" s="448" t="s">
        <v>551</v>
      </c>
    </row>
    <row r="58" spans="2:15" x14ac:dyDescent="0.25">
      <c r="B58" s="481" t="str">
        <f ca="1">Order!J3</f>
        <v>Residential Products</v>
      </c>
      <c r="C58" s="481" t="str">
        <f ca="1">IF(ISERROR(VLOOKUP(B58,Data!$B$4:$N$23,2,FALSE)),"-",VLOOKUP(B58,Data!$B$4:$N$23,2,FALSE))</f>
        <v>Residential</v>
      </c>
      <c r="D58" s="490">
        <f ca="1">IF(ISERROR(VLOOKUP(B58,Data!$B$4:$N$23,10,FALSE)),"-",VLOOKUP(B58,Data!$B$4:$N$23,10,FALSE))</f>
        <v>34885</v>
      </c>
      <c r="E58" s="490">
        <f ca="1">IF(ISERROR(VLOOKUP(B58,Data!$B$29:$T$48,10,FALSE)),"-",VLOOKUP(B58,Data!$B$29:$T$48,10,FALSE))</f>
        <v>690</v>
      </c>
      <c r="F58" s="484">
        <f ca="1">IF(ISERROR(VLOOKUP(B58,Data!$B$4:$N$23,12,FALSE)),"-",VLOOKUP(B58,Data!$B$4:$N$23,12,FALSE))</f>
        <v>16803</v>
      </c>
      <c r="G58" s="484">
        <f ca="1">IF(ISERROR(VLOOKUP(B58,Data!$B$29:$T$48,12,FALSE)),"-",VLOOKUP(B58,Data!$B$29:$T$48,12,FALSE))</f>
        <v>13464</v>
      </c>
      <c r="H58" s="484">
        <f ca="1">IF(ISERROR(VLOOKUP(B58,Data!$B$4:$N$23,13,FALSE)),"-",VLOOKUP(B58,Data!$B$4:$N$23,13,FALSE))</f>
        <v>12</v>
      </c>
      <c r="I58" s="484">
        <f ca="1">IF(ISERROR(VLOOKUP(B58,Data!$B$29:$T$48,13,FALSE)),"-",VLOOKUP(B58,Data!$B$29:$T$48,13,FALSE))</f>
        <v>10</v>
      </c>
      <c r="J58" s="491">
        <f ca="1">IF(ISERROR(VLOOKUP(B58,Data!$B$29:$T$48,18,FALSE)),"-",VLOOKUP(B58,Data!$B$29:$T$48,18,FALSE))</f>
        <v>1.8666666666666665</v>
      </c>
      <c r="K58" s="490">
        <f ca="1">IF(ISERROR(VLOOKUP(B58,Data!$B$29:$T$48,15,FALSE)),"-",VLOOKUP(B58,Data!$B$29:$T$48,15,FALSE))</f>
        <v>0.75</v>
      </c>
      <c r="L58" s="494">
        <f ca="1">IF(ISERROR(VLOOKUP(B58,Data!$B$29:$T$48,16,FALSE)),"-",VLOOKUP(B58,Data!$B$29:$T$48,16,FALSE))</f>
        <v>1.4</v>
      </c>
      <c r="M58" s="175">
        <f ca="1">IF(E58="-",0,E58)</f>
        <v>690</v>
      </c>
      <c r="N58" s="235">
        <f ca="1">COUNT($M$58:$M$77)-(RANK(M58,$M$58:$M$77)+COUNTIF($M58:M$58,M58)-1)+1</f>
        <v>17</v>
      </c>
      <c r="O58" t="str">
        <f ca="1">OFFSET(B$58,MATCH(LARGE(N$58:N$77,ROW()-ROW(N$58)+1),N$58:N$77,0)-1,0)</f>
        <v>School-Based Energy Education</v>
      </c>
    </row>
    <row r="59" spans="2:15" x14ac:dyDescent="0.25">
      <c r="B59" s="481" t="str">
        <f ca="1">Order!J4</f>
        <v>School-Based Energy Education</v>
      </c>
      <c r="C59" s="481" t="str">
        <f ca="1">IF(ISERROR(VLOOKUP(B59,Data!$B$4:$N$23,2,FALSE)),"-",VLOOKUP(B59,Data!$B$4:$N$23,2,FALSE))</f>
        <v>Residential</v>
      </c>
      <c r="D59" s="490">
        <f ca="1">IF(ISERROR(VLOOKUP(B59,Data!$B$4:$N$23,10,FALSE)),"-",VLOOKUP(B59,Data!$B$4:$N$23,10,FALSE))</f>
        <v>16250</v>
      </c>
      <c r="E59" s="490">
        <f ca="1">IF(ISERROR(VLOOKUP(B59,Data!$B$29:$T$48,10,FALSE)),"-",VLOOKUP(B59,Data!$B$29:$T$48,10,FALSE))</f>
        <v>29581.94</v>
      </c>
      <c r="F59" s="484">
        <f ca="1">IF(ISERROR(VLOOKUP(B59,Data!$B$4:$N$23,12,FALSE)),"-",VLOOKUP(B59,Data!$B$4:$N$23,12,FALSE))</f>
        <v>47256</v>
      </c>
      <c r="G59" s="484">
        <f ca="1">IF(ISERROR(VLOOKUP(B59,Data!$B$29:$T$48,12,FALSE)),"-",VLOOKUP(B59,Data!$B$29:$T$48,12,FALSE))</f>
        <v>47256</v>
      </c>
      <c r="H59" s="484">
        <f ca="1">IF(ISERROR(VLOOKUP(B59,Data!$B$4:$N$23,13,FALSE)),"-",VLOOKUP(B59,Data!$B$4:$N$23,13,FALSE))</f>
        <v>793</v>
      </c>
      <c r="I59" s="484">
        <f ca="1">IF(ISERROR(VLOOKUP(B59,Data!$B$29:$T$48,13,FALSE)),"-",VLOOKUP(B59,Data!$B$29:$T$48,13,FALSE))</f>
        <v>793</v>
      </c>
      <c r="J59" s="491">
        <f ca="1">IF(ISERROR(VLOOKUP(B59,Data!$B$29:$T$48,18,FALSE)),"-",VLOOKUP(B59,Data!$B$29:$T$48,18,FALSE))</f>
        <v>40.304347826086961</v>
      </c>
      <c r="K59" s="490">
        <f ca="1">IF(ISERROR(VLOOKUP(B59,Data!$B$29:$T$48,15,FALSE)),"-",VLOOKUP(B59,Data!$B$29:$T$48,15,FALSE))</f>
        <v>2.2999999999999998</v>
      </c>
      <c r="L59" s="490">
        <f ca="1">IF(ISERROR(VLOOKUP(B59,Data!$B$29:$T$48,16,FALSE)),"-",VLOOKUP(B59,Data!$B$29:$T$48,16,FALSE))</f>
        <v>92.7</v>
      </c>
      <c r="M59" s="175">
        <f t="shared" ref="M59:M77" ca="1" si="1">IF(E59="-",0,E59)</f>
        <v>29581.94</v>
      </c>
      <c r="N59" s="235">
        <f ca="1">COUNT($M$58:$M$77)-(RANK(M59,$M$58:$M$77)+COUNTIF($M$58:M59,M59)-1)+1</f>
        <v>20</v>
      </c>
      <c r="O59" t="str">
        <f t="shared" ref="O59:O77" ca="1" si="2">OFFSET(B$58,MATCH(LARGE(N$58:N$77,ROW()-ROW(N$58)+1),N$58:N$77,0)-1,0)</f>
        <v>EM&amp;V</v>
      </c>
    </row>
    <row r="60" spans="2:15" x14ac:dyDescent="0.25">
      <c r="B60" s="481" t="str">
        <f ca="1">Order!J5</f>
        <v>Weatherization</v>
      </c>
      <c r="C60" s="481" t="str">
        <f ca="1">IF(ISERROR(VLOOKUP(B60,Data!$B$4:$N$23,2,FALSE)),"-",VLOOKUP(B60,Data!$B$4:$N$23,2,FALSE))</f>
        <v>Residential</v>
      </c>
      <c r="D60" s="490">
        <f ca="1">IF(ISERROR(VLOOKUP(B60,Data!$B$4:$N$23,10,FALSE)),"-",VLOOKUP(B60,Data!$B$4:$N$23,10,FALSE))</f>
        <v>24454</v>
      </c>
      <c r="E60" s="490">
        <f ca="1">IF(ISERROR(VLOOKUP(B60,Data!$B$29:$T$48,10,FALSE)),"-",VLOOKUP(B60,Data!$B$29:$T$48,10,FALSE))</f>
        <v>0</v>
      </c>
      <c r="F60" s="484">
        <f ca="1">IF(ISERROR(VLOOKUP(B60,Data!$B$4:$N$23,12,FALSE)),"-",VLOOKUP(B60,Data!$B$4:$N$23,12,FALSE))</f>
        <v>0</v>
      </c>
      <c r="G60" s="484">
        <f ca="1">IF(ISERROR(VLOOKUP(B60,Data!$B$29:$T$48,12,FALSE)),"-",VLOOKUP(B60,Data!$B$29:$T$48,12,FALSE))</f>
        <v>0</v>
      </c>
      <c r="H60" s="484">
        <f ca="1">IF(ISERROR(VLOOKUP(B60,Data!$B$4:$N$23,13,FALSE)),"-",VLOOKUP(B60,Data!$B$4:$N$23,13,FALSE))</f>
        <v>0</v>
      </c>
      <c r="I60" s="484">
        <f ca="1">IF(ISERROR(VLOOKUP(B60,Data!$B$29:$T$48,13,FALSE)),"-",VLOOKUP(B60,Data!$B$29:$T$48,13,FALSE))</f>
        <v>6</v>
      </c>
      <c r="J60" s="491" t="str">
        <f ca="1">IF(ISERROR(VLOOKUP(B60,Data!$B$29:$T$48,18,FALSE)),"-",VLOOKUP(B60,Data!$B$29:$T$48,18,FALSE))</f>
        <v>n/a</v>
      </c>
      <c r="K60" s="490">
        <f ca="1">IF(ISERROR(VLOOKUP(B60,Data!$B$29:$T$48,15,FALSE)),"-",VLOOKUP(B60,Data!$B$29:$T$48,15,FALSE))</f>
        <v>0</v>
      </c>
      <c r="L60" s="490">
        <f ca="1">IF(ISERROR(VLOOKUP(B60,Data!$B$29:$T$48,16,FALSE)),"-",VLOOKUP(B60,Data!$B$29:$T$48,16,FALSE))</f>
        <v>0</v>
      </c>
      <c r="M60" s="175">
        <f t="shared" ca="1" si="1"/>
        <v>0</v>
      </c>
      <c r="N60" s="235">
        <f ca="1">COUNT($M$58:$M$77)-(RANK(M60,$M$58:$M$77)+COUNTIF($M$58:M60,M60)-1)+1</f>
        <v>16</v>
      </c>
      <c r="O60" t="str">
        <f t="shared" ca="1" si="2"/>
        <v>Administration</v>
      </c>
    </row>
    <row r="61" spans="2:15" x14ac:dyDescent="0.25">
      <c r="B61" s="481" t="str">
        <f ca="1">Order!J6</f>
        <v>Commercial and Industrial (Custom)</v>
      </c>
      <c r="C61" s="481" t="str">
        <f ca="1">IF(ISERROR(VLOOKUP(B61,Data!$B$4:$N$23,2,FALSE)),"-",VLOOKUP(B61,Data!$B$4:$N$23,2,FALSE))</f>
        <v>Commercial &amp; Industrial</v>
      </c>
      <c r="D61" s="490">
        <f ca="1">IF(ISERROR(VLOOKUP(B61,Data!$B$4:$N$23,10,FALSE)),"-",VLOOKUP(B61,Data!$B$4:$N$23,10,FALSE))</f>
        <v>5812</v>
      </c>
      <c r="E61" s="490">
        <f ca="1">IF(ISERROR(VLOOKUP(B61,Data!$B$29:$T$48,10,FALSE)),"-",VLOOKUP(B61,Data!$B$29:$T$48,10,FALSE))</f>
        <v>0</v>
      </c>
      <c r="F61" s="484">
        <f ca="1">IF(ISERROR(VLOOKUP(B61,Data!$B$4:$N$23,12,FALSE)),"-",VLOOKUP(B61,Data!$B$4:$N$23,12,FALSE))</f>
        <v>0</v>
      </c>
      <c r="G61" s="484">
        <f ca="1">IF(ISERROR(VLOOKUP(B61,Data!$B$29:$T$48,12,FALSE)),"-",VLOOKUP(B61,Data!$B$29:$T$48,12,FALSE))</f>
        <v>0</v>
      </c>
      <c r="H61" s="484">
        <v>2</v>
      </c>
      <c r="I61" s="484">
        <f ca="1">IF(ISERROR(VLOOKUP(B61,Data!$B$29:$T$48,13,FALSE)),"-",VLOOKUP(B61,Data!$B$29:$T$48,13,FALSE))</f>
        <v>0</v>
      </c>
      <c r="J61" s="491" t="str">
        <f ca="1">IF(ISERROR(VLOOKUP(B61,Data!$B$29:$T$48,18,FALSE)),"-",VLOOKUP(B61,Data!$B$29:$T$48,18,FALSE))</f>
        <v>n/a</v>
      </c>
      <c r="K61" s="490">
        <f ca="1">IF(ISERROR(VLOOKUP(B61,Data!$B$29:$T$48,15,FALSE)),"-",VLOOKUP(B61,Data!$B$29:$T$48,15,FALSE))</f>
        <v>0</v>
      </c>
      <c r="L61" s="490">
        <f ca="1">IF(ISERROR(VLOOKUP(B61,Data!$B$29:$T$48,16,FALSE)),"-",VLOOKUP(B61,Data!$B$29:$T$48,16,FALSE))</f>
        <v>0</v>
      </c>
      <c r="M61" s="175">
        <f t="shared" ca="1" si="1"/>
        <v>0</v>
      </c>
      <c r="N61" s="235">
        <f ca="1">COUNT($M$58:$M$77)-(RANK(M61,$M$58:$M$77)+COUNTIF($M$58:M61,M61)-1)+1</f>
        <v>15</v>
      </c>
      <c r="O61" t="str">
        <f t="shared" ca="1" si="2"/>
        <v>Residential Products</v>
      </c>
    </row>
    <row r="62" spans="2:15" x14ac:dyDescent="0.25">
      <c r="B62" s="481" t="str">
        <f ca="1">Order!J7</f>
        <v>Commercial and Industrial (Prescriptive)</v>
      </c>
      <c r="C62" s="481" t="str">
        <f ca="1">IF(ISERROR(VLOOKUP(B62,Data!$B$4:$N$23,2,FALSE)),"-",VLOOKUP(B62,Data!$B$4:$N$23,2,FALSE))</f>
        <v>Commercial &amp; Industrial</v>
      </c>
      <c r="D62" s="490">
        <f ca="1">IF(ISERROR(VLOOKUP(B62,Data!$B$4:$N$23,10,FALSE)),"-",VLOOKUP(B62,Data!$B$4:$N$23,10,FALSE))</f>
        <v>5000</v>
      </c>
      <c r="E62" s="490">
        <f ca="1">IF(ISERROR(VLOOKUP(B62,Data!$B$29:$T$48,10,FALSE)),"-",VLOOKUP(B62,Data!$B$29:$T$48,10,FALSE))</f>
        <v>0</v>
      </c>
      <c r="F62" s="484">
        <f ca="1">IF(ISERROR(VLOOKUP(B62,Data!$B$4:$N$23,12,FALSE)),"-",VLOOKUP(B62,Data!$B$4:$N$23,12,FALSE))</f>
        <v>0</v>
      </c>
      <c r="G62" s="484">
        <f ca="1">IF(ISERROR(VLOOKUP(B62,Data!$B$29:$T$48,12,FALSE)),"-",VLOOKUP(B62,Data!$B$29:$T$48,12,FALSE))</f>
        <v>0</v>
      </c>
      <c r="H62" s="484">
        <v>2</v>
      </c>
      <c r="I62" s="484">
        <f ca="1">IF(ISERROR(VLOOKUP(B62,Data!$B$29:$T$48,13,FALSE)),"-",VLOOKUP(B62,Data!$B$29:$T$48,13,FALSE))</f>
        <v>0</v>
      </c>
      <c r="J62" s="491" t="str">
        <f ca="1">IF(ISERROR(VLOOKUP(B62,Data!$B$29:$T$48,18,FALSE)),"-",VLOOKUP(B62,Data!$B$29:$T$48,18,FALSE))</f>
        <v>n/a</v>
      </c>
      <c r="K62" s="490">
        <f ca="1">IF(ISERROR(VLOOKUP(B62,Data!$B$29:$T$48,15,FALSE)),"-",VLOOKUP(B62,Data!$B$29:$T$48,15,FALSE))</f>
        <v>0</v>
      </c>
      <c r="L62" s="490">
        <f ca="1">IF(ISERROR(VLOOKUP(B62,Data!$B$29:$T$48,16,FALSE)),"-",VLOOKUP(B62,Data!$B$29:$T$48,16,FALSE))</f>
        <v>0</v>
      </c>
      <c r="M62" s="175">
        <f t="shared" ca="1" si="1"/>
        <v>0</v>
      </c>
      <c r="N62" s="235">
        <f ca="1">COUNT($M$58:$M$77)-(RANK(M62,$M$58:$M$77)+COUNTIF($M$58:M62,M62)-1)+1</f>
        <v>14</v>
      </c>
      <c r="O62" t="str">
        <f t="shared" ca="1" si="2"/>
        <v>Weatherization</v>
      </c>
    </row>
    <row r="63" spans="2:15" x14ac:dyDescent="0.25">
      <c r="B63" s="481" t="str">
        <f ca="1">Order!J8</f>
        <v>Administration</v>
      </c>
      <c r="C63" s="481" t="str">
        <f ca="1">IF(ISERROR(VLOOKUP(B63,Data!$B$4:$N$23,2,FALSE)),"-",VLOOKUP(B63,Data!$B$4:$N$23,2,FALSE))</f>
        <v>All Classes</v>
      </c>
      <c r="D63" s="490">
        <f ca="1">IF(ISERROR(VLOOKUP(B63,Data!$B$4:$N$23,10,FALSE)),"-",VLOOKUP(B63,Data!$B$4:$N$23,10,FALSE))</f>
        <v>10000</v>
      </c>
      <c r="E63" s="490">
        <f ca="1">IF(ISERROR(VLOOKUP(B63,Data!$B$29:$T$48,10,FALSE)),"-",VLOOKUP(B63,Data!$B$29:$T$48,10,FALSE))</f>
        <v>1000</v>
      </c>
      <c r="F63" s="484">
        <f ca="1">IF(ISERROR(VLOOKUP(B63,Data!$B$4:$N$23,12,FALSE)),"-",VLOOKUP(B63,Data!$B$4:$N$23,12,FALSE))</f>
        <v>0</v>
      </c>
      <c r="G63" s="484">
        <f ca="1">IF(ISERROR(VLOOKUP(B63,Data!$B$29:$T$48,12,FALSE)),"-",VLOOKUP(B63,Data!$B$29:$T$48,12,FALSE))</f>
        <v>0</v>
      </c>
      <c r="H63" s="484">
        <f ca="1">IF(ISERROR(VLOOKUP(B63,Data!$B$4:$N$23,13,FALSE)),"-",VLOOKUP(B63,Data!$B$4:$N$23,13,FALSE))</f>
        <v>0</v>
      </c>
      <c r="I63" s="484">
        <f ca="1">IF(ISERROR(VLOOKUP(B63,Data!$B$29:$T$48,13,FALSE)),"-",VLOOKUP(B63,Data!$B$29:$T$48,13,FALSE))</f>
        <v>0</v>
      </c>
      <c r="J63" s="491" t="str">
        <f ca="1">IF(ISERROR(VLOOKUP(B63,Data!$B$29:$T$48,18,FALSE)),"-",VLOOKUP(B63,Data!$B$29:$T$48,18,FALSE))</f>
        <v>n/a</v>
      </c>
      <c r="K63" s="490">
        <f ca="1">IF(ISERROR(VLOOKUP(B63,Data!$B$29:$T$48,15,FALSE)),"-",VLOOKUP(B63,Data!$B$29:$T$48,15,FALSE))</f>
        <v>0</v>
      </c>
      <c r="L63" s="490">
        <f ca="1">IF(ISERROR(VLOOKUP(B63,Data!$B$29:$T$48,16,FALSE)),"-",VLOOKUP(B63,Data!$B$29:$T$48,16,FALSE))</f>
        <v>0</v>
      </c>
      <c r="M63" s="175">
        <f t="shared" ca="1" si="1"/>
        <v>1000</v>
      </c>
      <c r="N63" s="235">
        <f ca="1">COUNT($M$58:$M$77)-(RANK(M63,$M$58:$M$77)+COUNTIF($M$58:M63,M63)-1)+1</f>
        <v>18</v>
      </c>
      <c r="O63" t="str">
        <f t="shared" ca="1" si="2"/>
        <v>Commercial and Industrial (Custom)</v>
      </c>
    </row>
    <row r="64" spans="2:15" x14ac:dyDescent="0.25">
      <c r="B64" s="481" t="str">
        <f ca="1">Order!J9</f>
        <v>Marketing</v>
      </c>
      <c r="C64" s="481" t="str">
        <f ca="1">IF(ISERROR(VLOOKUP(B64,Data!$B$4:$N$23,2,FALSE)),"-",VLOOKUP(B64,Data!$B$4:$N$23,2,FALSE))</f>
        <v>All Classes</v>
      </c>
      <c r="D64" s="490">
        <f ca="1">IF(ISERROR(VLOOKUP(B64,Data!$B$4:$N$23,10,FALSE)),"-",VLOOKUP(B64,Data!$B$4:$N$23,10,FALSE))</f>
        <v>1200</v>
      </c>
      <c r="E64" s="490">
        <f ca="1">IF(ISERROR(VLOOKUP(B64,Data!$B$29:$T$48,10,FALSE)),"-",VLOOKUP(B64,Data!$B$29:$T$48,10,FALSE))</f>
        <v>0</v>
      </c>
      <c r="F64" s="484">
        <f ca="1">IF(ISERROR(VLOOKUP(B64,Data!$B$4:$N$23,12,FALSE)),"-",VLOOKUP(B64,Data!$B$4:$N$23,12,FALSE))</f>
        <v>0</v>
      </c>
      <c r="G64" s="484">
        <f ca="1">IF(ISERROR(VLOOKUP(B64,Data!$B$29:$T$48,12,FALSE)),"-",VLOOKUP(B64,Data!$B$29:$T$48,12,FALSE))</f>
        <v>0</v>
      </c>
      <c r="H64" s="484">
        <f ca="1">IF(ISERROR(VLOOKUP(B64,Data!$B$4:$N$23,13,FALSE)),"-",VLOOKUP(B64,Data!$B$4:$N$23,13,FALSE))</f>
        <v>0</v>
      </c>
      <c r="I64" s="484">
        <f ca="1">IF(ISERROR(VLOOKUP(B64,Data!$B$29:$T$48,13,FALSE)),"-",VLOOKUP(B64,Data!$B$29:$T$48,13,FALSE))</f>
        <v>0</v>
      </c>
      <c r="J64" s="491" t="str">
        <f ca="1">IF(ISERROR(VLOOKUP(B64,Data!$B$29:$T$48,18,FALSE)),"-",VLOOKUP(B64,Data!$B$29:$T$48,18,FALSE))</f>
        <v>n/a</v>
      </c>
      <c r="K64" s="490">
        <f ca="1">IF(ISERROR(VLOOKUP(B64,Data!$B$29:$T$48,15,FALSE)),"-",VLOOKUP(B64,Data!$B$29:$T$48,15,FALSE))</f>
        <v>0</v>
      </c>
      <c r="L64" s="490">
        <f ca="1">IF(ISERROR(VLOOKUP(B64,Data!$B$29:$T$48,16,FALSE)),"-",VLOOKUP(B64,Data!$B$29:$T$48,16,FALSE))</f>
        <v>0</v>
      </c>
      <c r="M64" s="175">
        <f t="shared" ca="1" si="1"/>
        <v>0</v>
      </c>
      <c r="N64" s="235">
        <f ca="1">COUNT($M$58:$M$77)-(RANK(M64,$M$58:$M$77)+COUNTIF($M$58:M64,M64)-1)+1</f>
        <v>13</v>
      </c>
      <c r="O64" t="str">
        <f t="shared" ca="1" si="2"/>
        <v>Commercial and Industrial (Prescriptive)</v>
      </c>
    </row>
    <row r="65" spans="2:15" x14ac:dyDescent="0.25">
      <c r="B65" s="481" t="str">
        <f ca="1">Order!J10</f>
        <v>Online Energy Calculator</v>
      </c>
      <c r="C65" s="481" t="str">
        <f ca="1">IF(ISERROR(VLOOKUP(B65,Data!$B$4:$N$23,2,FALSE)),"-",VLOOKUP(B65,Data!$B$4:$N$23,2,FALSE))</f>
        <v>All Classes</v>
      </c>
      <c r="D65" s="490">
        <f ca="1">IF(ISERROR(VLOOKUP(B65,Data!$B$4:$N$23,10,FALSE)),"-",VLOOKUP(B65,Data!$B$4:$N$23,10,FALSE))</f>
        <v>4000</v>
      </c>
      <c r="E65" s="490">
        <f ca="1">IF(ISERROR(VLOOKUP(B65,Data!$B$29:$T$48,10,FALSE)),"-",VLOOKUP(B65,Data!$B$29:$T$48,10,FALSE))</f>
        <v>0</v>
      </c>
      <c r="F65" s="484">
        <f ca="1">IF(ISERROR(VLOOKUP(B65,Data!$B$4:$N$23,12,FALSE)),"-",VLOOKUP(B65,Data!$B$4:$N$23,12,FALSE))</f>
        <v>0</v>
      </c>
      <c r="G65" s="484">
        <f ca="1">IF(ISERROR(VLOOKUP(B65,Data!$B$29:$T$48,12,FALSE)),"-",VLOOKUP(B65,Data!$B$29:$T$48,12,FALSE))</f>
        <v>0</v>
      </c>
      <c r="H65" s="484">
        <f ca="1">IF(ISERROR(VLOOKUP(B65,Data!$B$4:$N$23,13,FALSE)),"-",VLOOKUP(B65,Data!$B$4:$N$23,13,FALSE))</f>
        <v>0</v>
      </c>
      <c r="I65" s="484">
        <f ca="1">IF(ISERROR(VLOOKUP(B65,Data!$B$29:$T$48,13,FALSE)),"-",VLOOKUP(B65,Data!$B$29:$T$48,13,FALSE))</f>
        <v>0</v>
      </c>
      <c r="J65" s="491" t="str">
        <f ca="1">IF(ISERROR(VLOOKUP(B65,Data!$B$29:$T$48,18,FALSE)),"-",VLOOKUP(B65,Data!$B$29:$T$48,18,FALSE))</f>
        <v>n/a</v>
      </c>
      <c r="K65" s="490">
        <f ca="1">IF(ISERROR(VLOOKUP(B65,Data!$B$29:$T$48,15,FALSE)),"-",VLOOKUP(B65,Data!$B$29:$T$48,15,FALSE))</f>
        <v>0</v>
      </c>
      <c r="L65" s="490">
        <f ca="1">IF(ISERROR(VLOOKUP(B65,Data!$B$29:$T$48,16,FALSE)),"-",VLOOKUP(B65,Data!$B$29:$T$48,16,FALSE))</f>
        <v>0</v>
      </c>
      <c r="M65" s="175">
        <f t="shared" ca="1" si="1"/>
        <v>0</v>
      </c>
      <c r="N65" s="235">
        <f ca="1">COUNT($M$58:$M$77)-(RANK(M65,$M$58:$M$77)+COUNTIF($M$58:M65,M65)-1)+1</f>
        <v>12</v>
      </c>
      <c r="O65" t="str">
        <f t="shared" ca="1" si="2"/>
        <v>Marketing</v>
      </c>
    </row>
    <row r="66" spans="2:15" x14ac:dyDescent="0.25">
      <c r="B66" s="481" t="str">
        <f ca="1">Order!J11</f>
        <v>EM&amp;V</v>
      </c>
      <c r="C66" s="481" t="str">
        <f ca="1">IF(ISERROR(VLOOKUP(B66,Data!$B$4:$N$23,2,FALSE)),"-",VLOOKUP(B66,Data!$B$4:$N$23,2,FALSE))</f>
        <v>All Classes</v>
      </c>
      <c r="D66" s="490">
        <f ca="1">IF(ISERROR(VLOOKUP(B66,Data!$B$4:$N$23,10,FALSE)),"-",VLOOKUP(B66,Data!$B$4:$N$23,10,FALSE))</f>
        <v>2500</v>
      </c>
      <c r="E66" s="490">
        <f ca="1">IF(ISERROR(VLOOKUP(B66,Data!$B$29:$T$48,10,FALSE)),"-",VLOOKUP(B66,Data!$B$29:$T$48,10,FALSE))</f>
        <v>2687.5</v>
      </c>
      <c r="F66" s="484">
        <f ca="1">IF(ISERROR(VLOOKUP(B66,Data!$B$4:$N$23,12,FALSE)),"-",VLOOKUP(B66,Data!$B$4:$N$23,12,FALSE))</f>
        <v>0</v>
      </c>
      <c r="G66" s="484">
        <f ca="1">IF(ISERROR(VLOOKUP(B66,Data!$B$29:$T$48,12,FALSE)),"-",VLOOKUP(B66,Data!$B$29:$T$48,12,FALSE))</f>
        <v>0</v>
      </c>
      <c r="H66" s="484">
        <f ca="1">IF(ISERROR(VLOOKUP(B66,Data!$B$4:$N$23,13,FALSE)),"-",VLOOKUP(B66,Data!$B$4:$N$23,13,FALSE))</f>
        <v>0</v>
      </c>
      <c r="I66" s="484">
        <f ca="1">IF(ISERROR(VLOOKUP(B66,Data!$B$29:$T$48,13,FALSE)),"-",VLOOKUP(B66,Data!$B$29:$T$48,13,FALSE))</f>
        <v>0</v>
      </c>
      <c r="J66" s="491">
        <f ca="1">IF(ISERROR(VLOOKUP(B66,Data!$B$29:$T$48,18,FALSE)),"-",VLOOKUP(B66,Data!$B$29:$T$48,18,FALSE))</f>
        <v>0</v>
      </c>
      <c r="K66" s="490">
        <f ca="1">IF(ISERROR(VLOOKUP(B66,Data!$B$29:$T$48,15,FALSE)),"-",VLOOKUP(B66,Data!$B$29:$T$48,15,FALSE))</f>
        <v>2.6875</v>
      </c>
      <c r="L66" s="490">
        <f ca="1">IF(ISERROR(VLOOKUP(B66,Data!$B$29:$T$48,16,FALSE)),"-",VLOOKUP(B66,Data!$B$29:$T$48,16,FALSE))</f>
        <v>0</v>
      </c>
      <c r="M66" s="175">
        <f t="shared" ca="1" si="1"/>
        <v>2687.5</v>
      </c>
      <c r="N66" s="235">
        <f ca="1">COUNT($M$58:$M$77)-(RANK(M66,$M$58:$M$77)+COUNTIF($M$58:M66,M66)-1)+1</f>
        <v>19</v>
      </c>
      <c r="O66" t="str">
        <f t="shared" ca="1" si="2"/>
        <v>Online Energy Calculator</v>
      </c>
    </row>
    <row r="67" spans="2:15" x14ac:dyDescent="0.25">
      <c r="B67" s="481" t="str">
        <f ca="1">Order!J12</f>
        <v>*Hide*</v>
      </c>
      <c r="C67" s="481" t="str">
        <f ca="1">IF(ISERROR(VLOOKUP(B67,Data!$B$4:$N$23,2,FALSE)),"-",VLOOKUP(B67,Data!$B$4:$N$23,2,FALSE))</f>
        <v>-</v>
      </c>
      <c r="D67" s="490" t="str">
        <f ca="1">IF(ISERROR(VLOOKUP(B67,Data!$B$4:$N$23,10,FALSE)),"-",VLOOKUP(B67,Data!$B$4:$N$23,10,FALSE))</f>
        <v>-</v>
      </c>
      <c r="E67" s="490" t="str">
        <f ca="1">IF(ISERROR(VLOOKUP(B67,Data!$B$29:$T$48,10,FALSE)),"-",VLOOKUP(B67,Data!$B$29:$T$48,10,FALSE))</f>
        <v>-</v>
      </c>
      <c r="F67" s="484" t="str">
        <f ca="1">IF(ISERROR(VLOOKUP(B67,Data!$B$4:$N$23,12,FALSE)),"-",VLOOKUP(B67,Data!$B$4:$N$23,12,FALSE))</f>
        <v>-</v>
      </c>
      <c r="G67" s="484" t="str">
        <f ca="1">IF(ISERROR(VLOOKUP(B67,Data!$B$29:$T$48,12,FALSE)),"-",VLOOKUP(B67,Data!$B$29:$T$48,12,FALSE))</f>
        <v>-</v>
      </c>
      <c r="H67" s="484" t="str">
        <f ca="1">IF(ISERROR(VLOOKUP(B67,Data!$B$4:$N$23,13,FALSE)),"-",VLOOKUP(B67,Data!$B$4:$N$23,13,FALSE))</f>
        <v>-</v>
      </c>
      <c r="I67" s="484" t="str">
        <f ca="1">IF(ISERROR(VLOOKUP(B67,Data!$B$29:$T$48,13,FALSE)),"-",VLOOKUP(B67,Data!$B$29:$T$48,13,FALSE))</f>
        <v>-</v>
      </c>
      <c r="J67" s="491" t="str">
        <f ca="1">IF(ISERROR(VLOOKUP(B67,Data!$B$29:$T$48,18,FALSE)),"-",VLOOKUP(B67,Data!$B$29:$T$48,18,FALSE))</f>
        <v>-</v>
      </c>
      <c r="K67" s="490" t="str">
        <f ca="1">IF(ISERROR(VLOOKUP(B67,Data!$B$29:$T$48,15,FALSE)),"-",VLOOKUP(B67,Data!$B$29:$T$48,15,FALSE))</f>
        <v>-</v>
      </c>
      <c r="L67" s="490" t="str">
        <f ca="1">IF(ISERROR(VLOOKUP(B67,Data!$B$29:$T$48,16,FALSE)),"-",VLOOKUP(B67,Data!$B$29:$T$48,16,FALSE))</f>
        <v>-</v>
      </c>
      <c r="M67" s="175">
        <f t="shared" ca="1" si="1"/>
        <v>0</v>
      </c>
      <c r="N67" s="235">
        <f ca="1">COUNT($M$58:$M$77)-(RANK(M67,$M$58:$M$77)+COUNTIF($M$58:M67,M67)-1)+1</f>
        <v>11</v>
      </c>
      <c r="O67" t="str">
        <f t="shared" ca="1" si="2"/>
        <v>*Hide*</v>
      </c>
    </row>
    <row r="68" spans="2:15" x14ac:dyDescent="0.25">
      <c r="B68" s="481" t="str">
        <f ca="1">Order!J13</f>
        <v>*Hide*</v>
      </c>
      <c r="C68" s="481" t="str">
        <f ca="1">IF(ISERROR(VLOOKUP(B68,Data!$B$4:$N$23,2,FALSE)),"-",VLOOKUP(B68,Data!$B$4:$N$23,2,FALSE))</f>
        <v>-</v>
      </c>
      <c r="D68" s="490" t="str">
        <f ca="1">IF(ISERROR(VLOOKUP(B68,Data!$B$4:$N$23,10,FALSE)),"-",VLOOKUP(B68,Data!$B$4:$N$23,10,FALSE))</f>
        <v>-</v>
      </c>
      <c r="E68" s="490" t="str">
        <f ca="1">IF(ISERROR(VLOOKUP(B68,Data!$B$29:$T$48,10,FALSE)),"-",VLOOKUP(B68,Data!$B$29:$T$48,10,FALSE))</f>
        <v>-</v>
      </c>
      <c r="F68" s="484" t="str">
        <f ca="1">IF(ISERROR(VLOOKUP(B68,Data!$B$4:$N$23,12,FALSE)),"-",VLOOKUP(B68,Data!$B$4:$N$23,12,FALSE))</f>
        <v>-</v>
      </c>
      <c r="G68" s="484" t="str">
        <f ca="1">IF(ISERROR(VLOOKUP(B68,Data!$B$29:$T$48,12,FALSE)),"-",VLOOKUP(B68,Data!$B$29:$T$48,12,FALSE))</f>
        <v>-</v>
      </c>
      <c r="H68" s="484" t="str">
        <f ca="1">IF(ISERROR(VLOOKUP(B68,Data!$B$4:$N$23,13,FALSE)),"-",VLOOKUP(B68,Data!$B$4:$N$23,13,FALSE))</f>
        <v>-</v>
      </c>
      <c r="I68" s="484" t="str">
        <f ca="1">IF(ISERROR(VLOOKUP(B68,Data!$B$29:$T$48,13,FALSE)),"-",VLOOKUP(B68,Data!$B$29:$T$48,13,FALSE))</f>
        <v>-</v>
      </c>
      <c r="J68" s="491" t="str">
        <f ca="1">IF(ISERROR(VLOOKUP(B68,Data!$B$29:$T$48,18,FALSE)),"-",VLOOKUP(B68,Data!$B$29:$T$48,18,FALSE))</f>
        <v>-</v>
      </c>
      <c r="K68" s="490" t="str">
        <f ca="1">IF(ISERROR(VLOOKUP(B68,Data!$B$29:$T$48,15,FALSE)),"-",VLOOKUP(B68,Data!$B$29:$T$48,15,FALSE))</f>
        <v>-</v>
      </c>
      <c r="L68" s="490" t="str">
        <f ca="1">IF(ISERROR(VLOOKUP(B68,Data!$B$29:$T$48,16,FALSE)),"-",VLOOKUP(B68,Data!$B$29:$T$48,16,FALSE))</f>
        <v>-</v>
      </c>
      <c r="M68" s="175">
        <f t="shared" ca="1" si="1"/>
        <v>0</v>
      </c>
      <c r="N68" s="235">
        <f ca="1">COUNT($M$58:$M$77)-(RANK(M68,$M$58:$M$77)+COUNTIF($M$58:M68,M68)-1)+1</f>
        <v>10</v>
      </c>
      <c r="O68" t="str">
        <f t="shared" ca="1" si="2"/>
        <v>*Hide*</v>
      </c>
    </row>
    <row r="69" spans="2:15" x14ac:dyDescent="0.25">
      <c r="B69" s="481" t="str">
        <f ca="1">Order!J14</f>
        <v>*Hide*</v>
      </c>
      <c r="C69" s="481" t="str">
        <f ca="1">IF(ISERROR(VLOOKUP(B69,Data!$B$4:$N$23,2,FALSE)),"-",VLOOKUP(B69,Data!$B$4:$N$23,2,FALSE))</f>
        <v>-</v>
      </c>
      <c r="D69" s="490" t="str">
        <f ca="1">IF(ISERROR(VLOOKUP(B69,Data!$B$4:$N$23,10,FALSE)),"-",VLOOKUP(B69,Data!$B$4:$N$23,10,FALSE))</f>
        <v>-</v>
      </c>
      <c r="E69" s="490" t="str">
        <f ca="1">IF(ISERROR(VLOOKUP(B69,Data!$B$29:$T$48,10,FALSE)),"-",VLOOKUP(B69,Data!$B$29:$T$48,10,FALSE))</f>
        <v>-</v>
      </c>
      <c r="F69" s="484" t="str">
        <f ca="1">IF(ISERROR(VLOOKUP(B69,Data!$B$4:$N$23,12,FALSE)),"-",VLOOKUP(B69,Data!$B$4:$N$23,12,FALSE))</f>
        <v>-</v>
      </c>
      <c r="G69" s="484" t="str">
        <f ca="1">IF(ISERROR(VLOOKUP(B69,Data!$B$29:$T$48,12,FALSE)),"-",VLOOKUP(B69,Data!$B$29:$T$48,12,FALSE))</f>
        <v>-</v>
      </c>
      <c r="H69" s="484" t="str">
        <f ca="1">IF(ISERROR(VLOOKUP(B69,Data!$B$4:$N$23,13,FALSE)),"-",VLOOKUP(B69,Data!$B$4:$N$23,13,FALSE))</f>
        <v>-</v>
      </c>
      <c r="I69" s="484" t="str">
        <f ca="1">IF(ISERROR(VLOOKUP(B69,Data!$B$29:$T$48,13,FALSE)),"-",VLOOKUP(B69,Data!$B$29:$T$48,13,FALSE))</f>
        <v>-</v>
      </c>
      <c r="J69" s="491" t="str">
        <f ca="1">IF(ISERROR(VLOOKUP(B69,Data!$B$29:$T$48,18,FALSE)),"-",VLOOKUP(B69,Data!$B$29:$T$48,18,FALSE))</f>
        <v>-</v>
      </c>
      <c r="K69" s="490" t="str">
        <f ca="1">IF(ISERROR(VLOOKUP(B69,Data!$B$29:$T$48,15,FALSE)),"-",VLOOKUP(B69,Data!$B$29:$T$48,15,FALSE))</f>
        <v>-</v>
      </c>
      <c r="L69" s="490" t="str">
        <f ca="1">IF(ISERROR(VLOOKUP(B69,Data!$B$29:$T$48,16,FALSE)),"-",VLOOKUP(B69,Data!$B$29:$T$48,16,FALSE))</f>
        <v>-</v>
      </c>
      <c r="M69" s="175">
        <f t="shared" ca="1" si="1"/>
        <v>0</v>
      </c>
      <c r="N69" s="235">
        <f ca="1">COUNT($M$58:$M$77)-(RANK(M69,$M$58:$M$77)+COUNTIF($M$58:M69,M69)-1)+1</f>
        <v>9</v>
      </c>
      <c r="O69" t="str">
        <f t="shared" ca="1" si="2"/>
        <v>*Hide*</v>
      </c>
    </row>
    <row r="70" spans="2:15" x14ac:dyDescent="0.25">
      <c r="B70" s="481" t="str">
        <f ca="1">Order!J15</f>
        <v>*Hide*</v>
      </c>
      <c r="C70" s="481" t="str">
        <f ca="1">IF(ISERROR(VLOOKUP(B70,Data!$B$4:$N$23,2,FALSE)),"-",VLOOKUP(B70,Data!$B$4:$N$23,2,FALSE))</f>
        <v>-</v>
      </c>
      <c r="D70" s="490" t="str">
        <f ca="1">IF(ISERROR(VLOOKUP(B70,Data!$B$4:$N$23,10,FALSE)),"-",VLOOKUP(B70,Data!$B$4:$N$23,10,FALSE))</f>
        <v>-</v>
      </c>
      <c r="E70" s="490" t="str">
        <f ca="1">IF(ISERROR(VLOOKUP(B70,Data!$B$29:$T$48,10,FALSE)),"-",VLOOKUP(B70,Data!$B$29:$T$48,10,FALSE))</f>
        <v>-</v>
      </c>
      <c r="F70" s="484" t="str">
        <f ca="1">IF(ISERROR(VLOOKUP(B70,Data!$B$4:$N$23,12,FALSE)),"-",VLOOKUP(B70,Data!$B$4:$N$23,12,FALSE))</f>
        <v>-</v>
      </c>
      <c r="G70" s="484" t="str">
        <f ca="1">IF(ISERROR(VLOOKUP(B70,Data!$B$29:$T$48,12,FALSE)),"-",VLOOKUP(B70,Data!$B$29:$T$48,12,FALSE))</f>
        <v>-</v>
      </c>
      <c r="H70" s="484" t="str">
        <f ca="1">IF(ISERROR(VLOOKUP(B70,Data!$B$4:$N$23,13,FALSE)),"-",VLOOKUP(B70,Data!$B$4:$N$23,13,FALSE))</f>
        <v>-</v>
      </c>
      <c r="I70" s="484" t="str">
        <f ca="1">IF(ISERROR(VLOOKUP(B70,Data!$B$29:$T$48,13,FALSE)),"-",VLOOKUP(B70,Data!$B$29:$T$48,13,FALSE))</f>
        <v>-</v>
      </c>
      <c r="J70" s="491" t="str">
        <f ca="1">IF(ISERROR(VLOOKUP(B70,Data!$B$29:$T$48,18,FALSE)),"-",VLOOKUP(B70,Data!$B$29:$T$48,18,FALSE))</f>
        <v>-</v>
      </c>
      <c r="K70" s="490" t="str">
        <f ca="1">IF(ISERROR(VLOOKUP(B70,Data!$B$29:$T$48,15,FALSE)),"-",VLOOKUP(B70,Data!$B$29:$T$48,15,FALSE))</f>
        <v>-</v>
      </c>
      <c r="L70" s="490" t="str">
        <f ca="1">IF(ISERROR(VLOOKUP(B70,Data!$B$29:$T$48,16,FALSE)),"-",VLOOKUP(B70,Data!$B$29:$T$48,16,FALSE))</f>
        <v>-</v>
      </c>
      <c r="M70" s="175">
        <f t="shared" ca="1" si="1"/>
        <v>0</v>
      </c>
      <c r="N70" s="235">
        <f ca="1">COUNT($M$58:$M$77)-(RANK(M70,$M$58:$M$77)+COUNTIF($M$58:M70,M70)-1)+1</f>
        <v>8</v>
      </c>
      <c r="O70" t="str">
        <f t="shared" ca="1" si="2"/>
        <v>*Hide*</v>
      </c>
    </row>
    <row r="71" spans="2:15" x14ac:dyDescent="0.25">
      <c r="B71" s="481" t="str">
        <f ca="1">Order!J16</f>
        <v>*Hide*</v>
      </c>
      <c r="C71" s="481" t="str">
        <f ca="1">IF(ISERROR(VLOOKUP(B71,Data!$B$4:$N$23,2,FALSE)),"-",VLOOKUP(B71,Data!$B$4:$N$23,2,FALSE))</f>
        <v>-</v>
      </c>
      <c r="D71" s="490" t="str">
        <f ca="1">IF(ISERROR(VLOOKUP(B71,Data!$B$4:$N$23,10,FALSE)),"-",VLOOKUP(B71,Data!$B$4:$N$23,10,FALSE))</f>
        <v>-</v>
      </c>
      <c r="E71" s="490" t="str">
        <f ca="1">IF(ISERROR(VLOOKUP(B71,Data!$B$29:$T$48,10,FALSE)),"-",VLOOKUP(B71,Data!$B$29:$T$48,10,FALSE))</f>
        <v>-</v>
      </c>
      <c r="F71" s="484" t="str">
        <f ca="1">IF(ISERROR(VLOOKUP(B71,Data!$B$4:$N$23,12,FALSE)),"-",VLOOKUP(B71,Data!$B$4:$N$23,12,FALSE))</f>
        <v>-</v>
      </c>
      <c r="G71" s="484" t="str">
        <f ca="1">IF(ISERROR(VLOOKUP(B71,Data!$B$29:$T$48,12,FALSE)),"-",VLOOKUP(B71,Data!$B$29:$T$48,12,FALSE))</f>
        <v>-</v>
      </c>
      <c r="H71" s="484" t="str">
        <f ca="1">IF(ISERROR(VLOOKUP(B71,Data!$B$4:$N$23,13,FALSE)),"-",VLOOKUP(B71,Data!$B$4:$N$23,13,FALSE))</f>
        <v>-</v>
      </c>
      <c r="I71" s="484" t="str">
        <f ca="1">IF(ISERROR(VLOOKUP(B71,Data!$B$29:$T$48,13,FALSE)),"-",VLOOKUP(B71,Data!$B$29:$T$48,13,FALSE))</f>
        <v>-</v>
      </c>
      <c r="J71" s="491" t="str">
        <f ca="1">IF(ISERROR(VLOOKUP(B71,Data!$B$29:$T$48,18,FALSE)),"-",VLOOKUP(B71,Data!$B$29:$T$48,18,FALSE))</f>
        <v>-</v>
      </c>
      <c r="K71" s="490" t="str">
        <f ca="1">IF(ISERROR(VLOOKUP(B71,Data!$B$29:$T$48,15,FALSE)),"-",VLOOKUP(B71,Data!$B$29:$T$48,15,FALSE))</f>
        <v>-</v>
      </c>
      <c r="L71" s="490" t="str">
        <f ca="1">IF(ISERROR(VLOOKUP(B71,Data!$B$29:$T$48,16,FALSE)),"-",VLOOKUP(B71,Data!$B$29:$T$48,16,FALSE))</f>
        <v>-</v>
      </c>
      <c r="M71" s="175">
        <f t="shared" ca="1" si="1"/>
        <v>0</v>
      </c>
      <c r="N71" s="235">
        <f ca="1">COUNT($M$58:$M$77)-(RANK(M71,$M$58:$M$77)+COUNTIF($M$58:M71,M71)-1)+1</f>
        <v>7</v>
      </c>
      <c r="O71" t="str">
        <f t="shared" ca="1" si="2"/>
        <v>*Hide*</v>
      </c>
    </row>
    <row r="72" spans="2:15" x14ac:dyDescent="0.25">
      <c r="B72" s="481" t="str">
        <f ca="1">Order!J17</f>
        <v>*Hide*</v>
      </c>
      <c r="C72" s="481" t="str">
        <f ca="1">IF(ISERROR(VLOOKUP(B72,Data!$B$4:$N$23,2,FALSE)),"-",VLOOKUP(B72,Data!$B$4:$N$23,2,FALSE))</f>
        <v>-</v>
      </c>
      <c r="D72" s="490" t="str">
        <f ca="1">IF(ISERROR(VLOOKUP(B72,Data!$B$4:$N$23,10,FALSE)),"-",VLOOKUP(B72,Data!$B$4:$N$23,10,FALSE))</f>
        <v>-</v>
      </c>
      <c r="E72" s="490" t="str">
        <f ca="1">IF(ISERROR(VLOOKUP(B72,Data!$B$29:$T$48,10,FALSE)),"-",VLOOKUP(B72,Data!$B$29:$T$48,10,FALSE))</f>
        <v>-</v>
      </c>
      <c r="F72" s="484" t="str">
        <f ca="1">IF(ISERROR(VLOOKUP(B72,Data!$B$4:$N$23,12,FALSE)),"-",VLOOKUP(B72,Data!$B$4:$N$23,12,FALSE))</f>
        <v>-</v>
      </c>
      <c r="G72" s="484" t="str">
        <f ca="1">IF(ISERROR(VLOOKUP(B72,Data!$B$29:$T$48,12,FALSE)),"-",VLOOKUP(B72,Data!$B$29:$T$48,12,FALSE))</f>
        <v>-</v>
      </c>
      <c r="H72" s="484" t="str">
        <f ca="1">IF(ISERROR(VLOOKUP(B72,Data!$B$4:$N$23,13,FALSE)),"-",VLOOKUP(B72,Data!$B$4:$N$23,13,FALSE))</f>
        <v>-</v>
      </c>
      <c r="I72" s="484" t="str">
        <f ca="1">IF(ISERROR(VLOOKUP(B72,Data!$B$29:$T$48,13,FALSE)),"-",VLOOKUP(B72,Data!$B$29:$T$48,13,FALSE))</f>
        <v>-</v>
      </c>
      <c r="J72" s="491" t="str">
        <f ca="1">IF(ISERROR(VLOOKUP(B72,Data!$B$29:$T$48,18,FALSE)),"-",VLOOKUP(B72,Data!$B$29:$T$48,18,FALSE))</f>
        <v>-</v>
      </c>
      <c r="K72" s="490" t="str">
        <f ca="1">IF(ISERROR(VLOOKUP(B72,Data!$B$29:$T$48,15,FALSE)),"-",VLOOKUP(B72,Data!$B$29:$T$48,15,FALSE))</f>
        <v>-</v>
      </c>
      <c r="L72" s="490" t="str">
        <f ca="1">IF(ISERROR(VLOOKUP(B72,Data!$B$29:$T$48,16,FALSE)),"-",VLOOKUP(B72,Data!$B$29:$T$48,16,FALSE))</f>
        <v>-</v>
      </c>
      <c r="M72" s="175">
        <f t="shared" ca="1" si="1"/>
        <v>0</v>
      </c>
      <c r="N72" s="235">
        <f ca="1">COUNT($M$58:$M$77)-(RANK(M72,$M$58:$M$77)+COUNTIF($M$58:M72,M72)-1)+1</f>
        <v>6</v>
      </c>
      <c r="O72" t="str">
        <f t="shared" ca="1" si="2"/>
        <v>*Hide*</v>
      </c>
    </row>
    <row r="73" spans="2:15" x14ac:dyDescent="0.25">
      <c r="B73" s="481" t="str">
        <f ca="1">Order!J18</f>
        <v>*Hide*</v>
      </c>
      <c r="C73" s="481" t="str">
        <f ca="1">IF(ISERROR(VLOOKUP(B73,Data!$B$4:$N$23,2,FALSE)),"-",VLOOKUP(B73,Data!$B$4:$N$23,2,FALSE))</f>
        <v>-</v>
      </c>
      <c r="D73" s="490" t="str">
        <f ca="1">IF(ISERROR(VLOOKUP(B73,Data!$B$4:$N$23,10,FALSE)),"-",VLOOKUP(B73,Data!$B$4:$N$23,10,FALSE))</f>
        <v>-</v>
      </c>
      <c r="E73" s="490" t="str">
        <f ca="1">IF(ISERROR(VLOOKUP(B73,Data!$B$29:$T$48,10,FALSE)),"-",VLOOKUP(B73,Data!$B$29:$T$48,10,FALSE))</f>
        <v>-</v>
      </c>
      <c r="F73" s="484" t="str">
        <f ca="1">IF(ISERROR(VLOOKUP(B73,Data!$B$4:$N$23,12,FALSE)),"-",VLOOKUP(B73,Data!$B$4:$N$23,12,FALSE))</f>
        <v>-</v>
      </c>
      <c r="G73" s="484" t="str">
        <f ca="1">IF(ISERROR(VLOOKUP(B73,Data!$B$29:$T$48,12,FALSE)),"-",VLOOKUP(B73,Data!$B$29:$T$48,12,FALSE))</f>
        <v>-</v>
      </c>
      <c r="H73" s="484" t="str">
        <f ca="1">IF(ISERROR(VLOOKUP(B73,Data!$B$4:$N$23,13,FALSE)),"-",VLOOKUP(B73,Data!$B$4:$N$23,13,FALSE))</f>
        <v>-</v>
      </c>
      <c r="I73" s="484" t="str">
        <f ca="1">IF(ISERROR(VLOOKUP(B73,Data!$B$29:$T$48,13,FALSE)),"-",VLOOKUP(B73,Data!$B$29:$T$48,13,FALSE))</f>
        <v>-</v>
      </c>
      <c r="J73" s="491" t="str">
        <f ca="1">IF(ISERROR(VLOOKUP(B73,Data!$B$29:$T$48,18,FALSE)),"-",VLOOKUP(B73,Data!$B$29:$T$48,18,FALSE))</f>
        <v>-</v>
      </c>
      <c r="K73" s="490" t="str">
        <f ca="1">IF(ISERROR(VLOOKUP(B73,Data!$B$29:$T$48,15,FALSE)),"-",VLOOKUP(B73,Data!$B$29:$T$48,15,FALSE))</f>
        <v>-</v>
      </c>
      <c r="L73" s="490" t="str">
        <f ca="1">IF(ISERROR(VLOOKUP(B73,Data!$B$29:$T$48,16,FALSE)),"-",VLOOKUP(B73,Data!$B$29:$T$48,16,FALSE))</f>
        <v>-</v>
      </c>
      <c r="M73" s="175">
        <f t="shared" ca="1" si="1"/>
        <v>0</v>
      </c>
      <c r="N73" s="235">
        <f ca="1">COUNT($M$58:$M$77)-(RANK(M73,$M$58:$M$77)+COUNTIF($M$58:M73,M73)-1)+1</f>
        <v>5</v>
      </c>
      <c r="O73" t="str">
        <f t="shared" ca="1" si="2"/>
        <v>*Hide*</v>
      </c>
    </row>
    <row r="74" spans="2:15" x14ac:dyDescent="0.25">
      <c r="B74" s="481" t="str">
        <f ca="1">Order!J19</f>
        <v>*Hide*</v>
      </c>
      <c r="C74" s="481" t="str">
        <f ca="1">IF(ISERROR(VLOOKUP(B74,Data!$B$4:$N$23,2,FALSE)),"-",VLOOKUP(B74,Data!$B$4:$N$23,2,FALSE))</f>
        <v>-</v>
      </c>
      <c r="D74" s="490" t="str">
        <f ca="1">IF(ISERROR(VLOOKUP(B74,Data!$B$4:$N$23,10,FALSE)),"-",VLOOKUP(B74,Data!$B$4:$N$23,10,FALSE))</f>
        <v>-</v>
      </c>
      <c r="E74" s="490" t="str">
        <f ca="1">IF(ISERROR(VLOOKUP(B74,Data!$B$29:$T$48,10,FALSE)),"-",VLOOKUP(B74,Data!$B$29:$T$48,10,FALSE))</f>
        <v>-</v>
      </c>
      <c r="F74" s="484" t="str">
        <f ca="1">IF(ISERROR(VLOOKUP(B74,Data!$B$4:$N$23,12,FALSE)),"-",VLOOKUP(B74,Data!$B$4:$N$23,12,FALSE))</f>
        <v>-</v>
      </c>
      <c r="G74" s="484" t="str">
        <f ca="1">IF(ISERROR(VLOOKUP(B74,Data!$B$29:$T$48,12,FALSE)),"-",VLOOKUP(B74,Data!$B$29:$T$48,12,FALSE))</f>
        <v>-</v>
      </c>
      <c r="H74" s="484" t="str">
        <f ca="1">IF(ISERROR(VLOOKUP(B74,Data!$B$4:$N$23,13,FALSE)),"-",VLOOKUP(B74,Data!$B$4:$N$23,13,FALSE))</f>
        <v>-</v>
      </c>
      <c r="I74" s="484" t="str">
        <f ca="1">IF(ISERROR(VLOOKUP(B74,Data!$B$29:$T$48,13,FALSE)),"-",VLOOKUP(B74,Data!$B$29:$T$48,13,FALSE))</f>
        <v>-</v>
      </c>
      <c r="J74" s="491" t="str">
        <f ca="1">IF(ISERROR(VLOOKUP(B74,Data!$B$29:$T$48,18,FALSE)),"-",VLOOKUP(B74,Data!$B$29:$T$48,18,FALSE))</f>
        <v>-</v>
      </c>
      <c r="K74" s="490" t="str">
        <f ca="1">IF(ISERROR(VLOOKUP(B74,Data!$B$29:$T$48,15,FALSE)),"-",VLOOKUP(B74,Data!$B$29:$T$48,15,FALSE))</f>
        <v>-</v>
      </c>
      <c r="L74" s="490" t="str">
        <f ca="1">IF(ISERROR(VLOOKUP(B74,Data!$B$29:$T$48,16,FALSE)),"-",VLOOKUP(B74,Data!$B$29:$T$48,16,FALSE))</f>
        <v>-</v>
      </c>
      <c r="M74" s="175">
        <f t="shared" ca="1" si="1"/>
        <v>0</v>
      </c>
      <c r="N74" s="235">
        <f ca="1">COUNT($M$58:$M$77)-(RANK(M74,$M$58:$M$77)+COUNTIF($M$58:M74,M74)-1)+1</f>
        <v>4</v>
      </c>
      <c r="O74" t="str">
        <f t="shared" ca="1" si="2"/>
        <v>*Hide*</v>
      </c>
    </row>
    <row r="75" spans="2:15" x14ac:dyDescent="0.25">
      <c r="B75" s="481" t="str">
        <f ca="1">Order!J20</f>
        <v>*Hide*</v>
      </c>
      <c r="C75" s="481" t="str">
        <f ca="1">IF(ISERROR(VLOOKUP(B75,Data!$B$4:$N$23,2,FALSE)),"-",VLOOKUP(B75,Data!$B$4:$N$23,2,FALSE))</f>
        <v>-</v>
      </c>
      <c r="D75" s="490" t="str">
        <f ca="1">IF(ISERROR(VLOOKUP(B75,Data!$B$4:$N$23,10,FALSE)),"-",VLOOKUP(B75,Data!$B$4:$N$23,10,FALSE))</f>
        <v>-</v>
      </c>
      <c r="E75" s="490" t="str">
        <f ca="1">IF(ISERROR(VLOOKUP(B75,Data!$B$29:$T$48,10,FALSE)),"-",VLOOKUP(B75,Data!$B$29:$T$48,10,FALSE))</f>
        <v>-</v>
      </c>
      <c r="F75" s="484" t="str">
        <f ca="1">IF(ISERROR(VLOOKUP(B75,Data!$B$4:$N$23,12,FALSE)),"-",VLOOKUP(B75,Data!$B$4:$N$23,12,FALSE))</f>
        <v>-</v>
      </c>
      <c r="G75" s="484" t="str">
        <f ca="1">IF(ISERROR(VLOOKUP(B75,Data!$B$29:$T$48,12,FALSE)),"-",VLOOKUP(B75,Data!$B$29:$T$48,12,FALSE))</f>
        <v>-</v>
      </c>
      <c r="H75" s="484" t="str">
        <f ca="1">IF(ISERROR(VLOOKUP(B75,Data!$B$4:$N$23,13,FALSE)),"-",VLOOKUP(B75,Data!$B$4:$N$23,13,FALSE))</f>
        <v>-</v>
      </c>
      <c r="I75" s="484" t="str">
        <f ca="1">IF(ISERROR(VLOOKUP(B75,Data!$B$29:$T$48,13,FALSE)),"-",VLOOKUP(B75,Data!$B$29:$T$48,13,FALSE))</f>
        <v>-</v>
      </c>
      <c r="J75" s="491" t="str">
        <f ca="1">IF(ISERROR(VLOOKUP(B75,Data!$B$29:$T$48,18,FALSE)),"-",VLOOKUP(B75,Data!$B$29:$T$48,18,FALSE))</f>
        <v>-</v>
      </c>
      <c r="K75" s="490" t="str">
        <f ca="1">IF(ISERROR(VLOOKUP(B75,Data!$B$29:$T$48,15,FALSE)),"-",VLOOKUP(B75,Data!$B$29:$T$48,15,FALSE))</f>
        <v>-</v>
      </c>
      <c r="L75" s="490" t="str">
        <f ca="1">IF(ISERROR(VLOOKUP(B75,Data!$B$29:$T$48,16,FALSE)),"-",VLOOKUP(B75,Data!$B$29:$T$48,16,FALSE))</f>
        <v>-</v>
      </c>
      <c r="M75" s="175">
        <f t="shared" ca="1" si="1"/>
        <v>0</v>
      </c>
      <c r="N75" s="235">
        <f ca="1">COUNT($M$58:$M$77)-(RANK(M75,$M$58:$M$77)+COUNTIF($M$58:M75,M75)-1)+1</f>
        <v>3</v>
      </c>
      <c r="O75" t="str">
        <f t="shared" ca="1" si="2"/>
        <v>*Hide*</v>
      </c>
    </row>
    <row r="76" spans="2:15" x14ac:dyDescent="0.25">
      <c r="B76" s="481" t="str">
        <f ca="1">Order!J21</f>
        <v>*Hide*</v>
      </c>
      <c r="C76" s="481" t="str">
        <f ca="1">IF(ISERROR(VLOOKUP(B76,Data!$B$4:$N$23,2,FALSE)),"-",VLOOKUP(B76,Data!$B$4:$N$23,2,FALSE))</f>
        <v>-</v>
      </c>
      <c r="D76" s="490" t="str">
        <f ca="1">IF(ISERROR(VLOOKUP(B76,Data!$B$4:$N$23,10,FALSE)),"-",VLOOKUP(B76,Data!$B$4:$N$23,10,FALSE))</f>
        <v>-</v>
      </c>
      <c r="E76" s="490" t="str">
        <f ca="1">IF(ISERROR(VLOOKUP(B76,Data!$B$29:$T$48,10,FALSE)),"-",VLOOKUP(B76,Data!$B$29:$T$48,10,FALSE))</f>
        <v>-</v>
      </c>
      <c r="F76" s="484" t="str">
        <f ca="1">IF(ISERROR(VLOOKUP(B76,Data!$B$4:$N$23,12,FALSE)),"-",VLOOKUP(B76,Data!$B$4:$N$23,12,FALSE))</f>
        <v>-</v>
      </c>
      <c r="G76" s="484" t="str">
        <f ca="1">IF(ISERROR(VLOOKUP(B76,Data!$B$29:$T$48,12,FALSE)),"-",VLOOKUP(B76,Data!$B$29:$T$48,12,FALSE))</f>
        <v>-</v>
      </c>
      <c r="H76" s="484" t="str">
        <f ca="1">IF(ISERROR(VLOOKUP(B76,Data!$B$4:$N$23,13,FALSE)),"-",VLOOKUP(B76,Data!$B$4:$N$23,13,FALSE))</f>
        <v>-</v>
      </c>
      <c r="I76" s="484" t="str">
        <f ca="1">IF(ISERROR(VLOOKUP(B76,Data!$B$29:$T$48,13,FALSE)),"-",VLOOKUP(B76,Data!$B$29:$T$48,13,FALSE))</f>
        <v>-</v>
      </c>
      <c r="J76" s="491" t="str">
        <f ca="1">IF(ISERROR(VLOOKUP(B76,Data!$B$29:$T$48,18,FALSE)),"-",VLOOKUP(B76,Data!$B$29:$T$48,18,FALSE))</f>
        <v>-</v>
      </c>
      <c r="K76" s="490" t="str">
        <f ca="1">IF(ISERROR(VLOOKUP(B76,Data!$B$29:$T$48,15,FALSE)),"-",VLOOKUP(B76,Data!$B$29:$T$48,15,FALSE))</f>
        <v>-</v>
      </c>
      <c r="L76" s="490" t="str">
        <f ca="1">IF(ISERROR(VLOOKUP(B76,Data!$B$29:$T$48,16,FALSE)),"-",VLOOKUP(B76,Data!$B$29:$T$48,16,FALSE))</f>
        <v>-</v>
      </c>
      <c r="M76" s="175">
        <f t="shared" ca="1" si="1"/>
        <v>0</v>
      </c>
      <c r="N76" s="235">
        <f ca="1">COUNT($M$58:$M$77)-(RANK(M76,$M$58:$M$77)+COUNTIF($M$58:M76,M76)-1)+1</f>
        <v>2</v>
      </c>
      <c r="O76" t="str">
        <f t="shared" ca="1" si="2"/>
        <v>*Hide*</v>
      </c>
    </row>
    <row r="77" spans="2:15" x14ac:dyDescent="0.25">
      <c r="B77" s="481" t="str">
        <f ca="1">Order!J22</f>
        <v>*Hide*</v>
      </c>
      <c r="C77" s="481" t="str">
        <f ca="1">IF(ISERROR(VLOOKUP(B77,Data!$B$4:$N$23,2,FALSE)),"-",VLOOKUP(B77,Data!$B$4:$N$23,2,FALSE))</f>
        <v>-</v>
      </c>
      <c r="D77" s="490" t="str">
        <f ca="1">IF(ISERROR(VLOOKUP(B77,Data!$B$4:$N$23,10,FALSE)),"-",VLOOKUP(B77,Data!$B$4:$N$23,10,FALSE))</f>
        <v>-</v>
      </c>
      <c r="E77" s="490" t="str">
        <f ca="1">IF(ISERROR(VLOOKUP(B77,Data!$B$29:$T$48,10,FALSE)),"-",VLOOKUP(B77,Data!$B$29:$T$48,10,FALSE))</f>
        <v>-</v>
      </c>
      <c r="F77" s="484" t="str">
        <f ca="1">IF(ISERROR(VLOOKUP(B77,Data!$B$4:$N$23,12,FALSE)),"-",VLOOKUP(B77,Data!$B$4:$N$23,12,FALSE))</f>
        <v>-</v>
      </c>
      <c r="G77" s="484" t="str">
        <f ca="1">IF(ISERROR(VLOOKUP(B77,Data!$B$29:$T$48,12,FALSE)),"-",VLOOKUP(B77,Data!$B$29:$T$48,12,FALSE))</f>
        <v>-</v>
      </c>
      <c r="H77" s="484" t="str">
        <f ca="1">IF(ISERROR(VLOOKUP(B77,Data!$B$4:$N$23,13,FALSE)),"-",VLOOKUP(B77,Data!$B$4:$N$23,13,FALSE))</f>
        <v>-</v>
      </c>
      <c r="I77" s="484" t="str">
        <f ca="1">IF(ISERROR(VLOOKUP(B77,Data!$B$29:$T$48,13,FALSE)),"-",VLOOKUP(B77,Data!$B$29:$T$48,13,FALSE))</f>
        <v>-</v>
      </c>
      <c r="J77" s="491" t="str">
        <f ca="1">IF(ISERROR(VLOOKUP(B77,Data!$B$29:$T$48,18,FALSE)),"-",VLOOKUP(B77,Data!$B$29:$T$48,18,FALSE))</f>
        <v>-</v>
      </c>
      <c r="K77" s="490" t="str">
        <f ca="1">IF(ISERROR(VLOOKUP(B77,Data!$B$29:$T$48,15,FALSE)),"-",VLOOKUP(B77,Data!$B$29:$T$48,15,FALSE))</f>
        <v>-</v>
      </c>
      <c r="L77" s="490" t="str">
        <f ca="1">IF(ISERROR(VLOOKUP(B77,Data!$B$29:$T$48,16,FALSE)),"-",VLOOKUP(B77,Data!$B$29:$T$48,16,FALSE))</f>
        <v>-</v>
      </c>
      <c r="M77" s="175">
        <f t="shared" ca="1" si="1"/>
        <v>0</v>
      </c>
      <c r="N77" s="235">
        <f ca="1">COUNT($M$58:$M$77)-(RANK(M77,$M$58:$M$77)+COUNTIF($M$58:M77,M77)-1)+1</f>
        <v>1</v>
      </c>
      <c r="O77" t="str">
        <f t="shared" ca="1" si="2"/>
        <v>*Hide*</v>
      </c>
    </row>
    <row r="80" spans="2:15" x14ac:dyDescent="0.25">
      <c r="D80" s="83" t="s">
        <v>552</v>
      </c>
    </row>
    <row r="81" spans="2:15" x14ac:dyDescent="0.25">
      <c r="C81" s="448" t="s">
        <v>551</v>
      </c>
      <c r="D81" s="488" t="s">
        <v>517</v>
      </c>
      <c r="E81" s="488" t="s">
        <v>518</v>
      </c>
      <c r="F81" s="488" t="s">
        <v>519</v>
      </c>
      <c r="G81" s="488" t="s">
        <v>520</v>
      </c>
      <c r="H81" s="488" t="s">
        <v>519</v>
      </c>
      <c r="I81" s="488" t="s">
        <v>518</v>
      </c>
      <c r="J81" s="488" t="s">
        <v>177</v>
      </c>
      <c r="K81" s="488" t="s">
        <v>550</v>
      </c>
      <c r="L81" s="488" t="s">
        <v>553</v>
      </c>
      <c r="M81" s="488" t="s">
        <v>223</v>
      </c>
      <c r="O81" s="130" t="s">
        <v>499</v>
      </c>
    </row>
    <row r="82" spans="2:15" x14ac:dyDescent="0.25">
      <c r="B82" t="str">
        <f>List!B7</f>
        <v>Residential</v>
      </c>
      <c r="C82" s="235">
        <f ca="1">COUNT($D$82:$D$91)-(RANK(D82,$D$82:$D$91)+COUNTIF($D$82:D82,D82)-1)+1</f>
        <v>10</v>
      </c>
      <c r="D82" s="490">
        <f ca="1">SUMIF($C$58:$C$77,$B82,D$58:D$77)</f>
        <v>75589</v>
      </c>
      <c r="E82" s="490">
        <f ca="1">SUMIF($C$58:$C$77,$B82,E$58:E$77)</f>
        <v>30271.94</v>
      </c>
      <c r="F82" s="484">
        <f ca="1">SUMIF($C$58:$C$77,$B82,F$58:F$77)</f>
        <v>64059</v>
      </c>
      <c r="G82" s="484">
        <f t="shared" ref="G82:I91" ca="1" si="3">SUMIF($C$58:$C$77,$B82,G$58:G$77)</f>
        <v>60720</v>
      </c>
      <c r="H82" s="484">
        <f t="shared" ca="1" si="3"/>
        <v>805</v>
      </c>
      <c r="I82" s="484">
        <f t="shared" ca="1" si="3"/>
        <v>809</v>
      </c>
      <c r="J82" s="490">
        <f t="shared" ref="J82:K91" ca="1" si="4">SUMIF($C$58:$C$77,$B82,K$58:K$77)</f>
        <v>3.05</v>
      </c>
      <c r="K82" s="490">
        <f t="shared" ca="1" si="4"/>
        <v>94.100000000000009</v>
      </c>
      <c r="L82" s="490">
        <f ca="1">K82-J82</f>
        <v>91.050000000000011</v>
      </c>
      <c r="M82" s="491">
        <f ca="1">IF(ISERROR(K82/J82),"n/a",K82/J82)</f>
        <v>30.852459016393446</v>
      </c>
      <c r="O82" t="str">
        <f ca="1">OFFSET(B$82,MATCH(LARGE(C$82:C$91,ROW()-ROW(C$82)+1),C$82:C$91,0)-1,0)</f>
        <v>Residential</v>
      </c>
    </row>
    <row r="83" spans="2:15" x14ac:dyDescent="0.25">
      <c r="B83" t="str">
        <f>List!B8</f>
        <v>Small Business</v>
      </c>
      <c r="C83" s="235">
        <f ca="1">COUNT($D$82:$D$91)-(RANK(D83,$D$82:$D$91)+COUNTIF($D$82:D83,D83)-1)+1</f>
        <v>7</v>
      </c>
      <c r="D83" s="490">
        <f t="shared" ref="D83:F91" ca="1" si="5">SUMIF($C$58:$C$77,$B83,D$58:D$77)</f>
        <v>0</v>
      </c>
      <c r="E83" s="490">
        <f t="shared" ca="1" si="5"/>
        <v>0</v>
      </c>
      <c r="F83" s="484">
        <f t="shared" ca="1" si="5"/>
        <v>0</v>
      </c>
      <c r="G83" s="484">
        <f t="shared" ca="1" si="3"/>
        <v>0</v>
      </c>
      <c r="H83" s="484">
        <f t="shared" ca="1" si="3"/>
        <v>0</v>
      </c>
      <c r="I83" s="484">
        <f t="shared" ca="1" si="3"/>
        <v>0</v>
      </c>
      <c r="J83" s="490">
        <f t="shared" ca="1" si="4"/>
        <v>0</v>
      </c>
      <c r="K83" s="490">
        <f t="shared" ca="1" si="4"/>
        <v>0</v>
      </c>
      <c r="L83" s="490">
        <f t="shared" ref="L83:L91" ca="1" si="6">K83-J83</f>
        <v>0</v>
      </c>
      <c r="M83" s="491" t="str">
        <f t="shared" ref="M83:M91" ca="1" si="7">IF(ISERROR(K83/J83),"n/a",K83/J83)</f>
        <v>n/a</v>
      </c>
      <c r="O83" t="str">
        <f t="shared" ref="O83:O91" ca="1" si="8">OFFSET(B$82,MATCH(LARGE(C$82:C$91,ROW()-ROW(C$82)+1),C$82:C$91,0)-1,0)</f>
        <v>All Classes</v>
      </c>
    </row>
    <row r="84" spans="2:15" x14ac:dyDescent="0.25">
      <c r="B84" t="str">
        <f>List!B9</f>
        <v>Commercial &amp; Industrial</v>
      </c>
      <c r="C84" s="235">
        <f ca="1">COUNT($D$82:$D$91)-(RANK(D84,$D$82:$D$91)+COUNTIF($D$82:D84,D84)-1)+1</f>
        <v>8</v>
      </c>
      <c r="D84" s="490">
        <f t="shared" ca="1" si="5"/>
        <v>10812</v>
      </c>
      <c r="E84" s="490">
        <f t="shared" ca="1" si="5"/>
        <v>0</v>
      </c>
      <c r="F84" s="484">
        <f t="shared" ca="1" si="5"/>
        <v>0</v>
      </c>
      <c r="G84" s="484">
        <f t="shared" ca="1" si="3"/>
        <v>0</v>
      </c>
      <c r="H84" s="484">
        <f t="shared" ca="1" si="3"/>
        <v>4</v>
      </c>
      <c r="I84" s="484">
        <f t="shared" ca="1" si="3"/>
        <v>0</v>
      </c>
      <c r="J84" s="490">
        <f t="shared" ca="1" si="4"/>
        <v>0</v>
      </c>
      <c r="K84" s="490">
        <f t="shared" ca="1" si="4"/>
        <v>0</v>
      </c>
      <c r="L84" s="490">
        <f t="shared" ca="1" si="6"/>
        <v>0</v>
      </c>
      <c r="M84" s="491" t="str">
        <f t="shared" ca="1" si="7"/>
        <v>n/a</v>
      </c>
      <c r="O84" t="str">
        <f t="shared" ca="1" si="8"/>
        <v>Commercial &amp; Industrial</v>
      </c>
    </row>
    <row r="85" spans="2:15" x14ac:dyDescent="0.25">
      <c r="B85" t="str">
        <f>List!B10</f>
        <v>Municipalities/Schools</v>
      </c>
      <c r="C85" s="235">
        <f ca="1">COUNT($D$82:$D$91)-(RANK(D85,$D$82:$D$91)+COUNTIF($D$82:D85,D85)-1)+1</f>
        <v>6</v>
      </c>
      <c r="D85" s="490">
        <f t="shared" ca="1" si="5"/>
        <v>0</v>
      </c>
      <c r="E85" s="490">
        <f t="shared" ca="1" si="5"/>
        <v>0</v>
      </c>
      <c r="F85" s="484">
        <f t="shared" ca="1" si="5"/>
        <v>0</v>
      </c>
      <c r="G85" s="484">
        <f t="shared" ca="1" si="3"/>
        <v>0</v>
      </c>
      <c r="H85" s="484">
        <f t="shared" ca="1" si="3"/>
        <v>0</v>
      </c>
      <c r="I85" s="484">
        <f t="shared" ca="1" si="3"/>
        <v>0</v>
      </c>
      <c r="J85" s="490">
        <f t="shared" ca="1" si="4"/>
        <v>0</v>
      </c>
      <c r="K85" s="490">
        <f t="shared" ca="1" si="4"/>
        <v>0</v>
      </c>
      <c r="L85" s="490">
        <f t="shared" ca="1" si="6"/>
        <v>0</v>
      </c>
      <c r="M85" s="491" t="str">
        <f t="shared" ca="1" si="7"/>
        <v>n/a</v>
      </c>
      <c r="O85" t="str">
        <f t="shared" ca="1" si="8"/>
        <v>Small Business</v>
      </c>
    </row>
    <row r="86" spans="2:15" x14ac:dyDescent="0.25">
      <c r="B86" t="str">
        <f>List!B11</f>
        <v>Agriculture</v>
      </c>
      <c r="C86" s="235">
        <f ca="1">COUNT($D$82:$D$91)-(RANK(D86,$D$82:$D$91)+COUNTIF($D$82:D86,D86)-1)+1</f>
        <v>5</v>
      </c>
      <c r="D86" s="490">
        <f t="shared" ca="1" si="5"/>
        <v>0</v>
      </c>
      <c r="E86" s="490">
        <f t="shared" ca="1" si="5"/>
        <v>0</v>
      </c>
      <c r="F86" s="484">
        <f t="shared" ca="1" si="5"/>
        <v>0</v>
      </c>
      <c r="G86" s="484">
        <f t="shared" ca="1" si="3"/>
        <v>0</v>
      </c>
      <c r="H86" s="484">
        <f t="shared" ca="1" si="3"/>
        <v>0</v>
      </c>
      <c r="I86" s="484">
        <f t="shared" ca="1" si="3"/>
        <v>0</v>
      </c>
      <c r="J86" s="490">
        <f t="shared" ca="1" si="4"/>
        <v>0</v>
      </c>
      <c r="K86" s="490">
        <f t="shared" ca="1" si="4"/>
        <v>0</v>
      </c>
      <c r="L86" s="490">
        <f t="shared" ca="1" si="6"/>
        <v>0</v>
      </c>
      <c r="M86" s="491" t="str">
        <f t="shared" ca="1" si="7"/>
        <v>n/a</v>
      </c>
      <c r="O86" t="str">
        <f t="shared" ca="1" si="8"/>
        <v>Municipalities/Schools</v>
      </c>
    </row>
    <row r="87" spans="2:15" x14ac:dyDescent="0.25">
      <c r="B87" t="str">
        <f>List!B12</f>
        <v>Other</v>
      </c>
      <c r="C87" s="235">
        <f ca="1">COUNT($D$82:$D$91)-(RANK(D87,$D$82:$D$91)+COUNTIF($D$82:D87,D87)-1)+1</f>
        <v>4</v>
      </c>
      <c r="D87" s="490">
        <f t="shared" ca="1" si="5"/>
        <v>0</v>
      </c>
      <c r="E87" s="490">
        <f t="shared" ca="1" si="5"/>
        <v>0</v>
      </c>
      <c r="F87" s="484">
        <f t="shared" ca="1" si="5"/>
        <v>0</v>
      </c>
      <c r="G87" s="484">
        <f t="shared" ca="1" si="3"/>
        <v>0</v>
      </c>
      <c r="H87" s="484">
        <f t="shared" ca="1" si="3"/>
        <v>0</v>
      </c>
      <c r="I87" s="484">
        <f t="shared" ca="1" si="3"/>
        <v>0</v>
      </c>
      <c r="J87" s="490">
        <f t="shared" ca="1" si="4"/>
        <v>0</v>
      </c>
      <c r="K87" s="490">
        <f t="shared" ca="1" si="4"/>
        <v>0</v>
      </c>
      <c r="L87" s="490">
        <f t="shared" ca="1" si="6"/>
        <v>0</v>
      </c>
      <c r="M87" s="491" t="str">
        <f t="shared" ca="1" si="7"/>
        <v>n/a</v>
      </c>
      <c r="O87" t="str">
        <f t="shared" ca="1" si="8"/>
        <v>Agriculture</v>
      </c>
    </row>
    <row r="88" spans="2:15" x14ac:dyDescent="0.25">
      <c r="B88" t="str">
        <f>List!B14</f>
        <v>Res/Small Business</v>
      </c>
      <c r="C88" s="235">
        <f ca="1">COUNT($D$82:$D$91)-(RANK(D88,$D$82:$D$91)+COUNTIF($D$82:D88,D88)-1)+1</f>
        <v>3</v>
      </c>
      <c r="D88" s="490">
        <f t="shared" ca="1" si="5"/>
        <v>0</v>
      </c>
      <c r="E88" s="490">
        <f t="shared" ca="1" si="5"/>
        <v>0</v>
      </c>
      <c r="F88" s="484">
        <f t="shared" ca="1" si="5"/>
        <v>0</v>
      </c>
      <c r="G88" s="484">
        <f t="shared" ca="1" si="3"/>
        <v>0</v>
      </c>
      <c r="H88" s="484">
        <f t="shared" ca="1" si="3"/>
        <v>0</v>
      </c>
      <c r="I88" s="484">
        <f t="shared" ca="1" si="3"/>
        <v>0</v>
      </c>
      <c r="J88" s="490">
        <f t="shared" ca="1" si="4"/>
        <v>0</v>
      </c>
      <c r="K88" s="490">
        <f t="shared" ca="1" si="4"/>
        <v>0</v>
      </c>
      <c r="L88" s="490">
        <f t="shared" ca="1" si="6"/>
        <v>0</v>
      </c>
      <c r="M88" s="491" t="str">
        <f t="shared" ca="1" si="7"/>
        <v>n/a</v>
      </c>
      <c r="O88" t="str">
        <f t="shared" ca="1" si="8"/>
        <v>Other</v>
      </c>
    </row>
    <row r="89" spans="2:15" x14ac:dyDescent="0.25">
      <c r="B89" t="str">
        <f>List!B15</f>
        <v>Res/C&amp;I</v>
      </c>
      <c r="C89" s="235">
        <f ca="1">COUNT($D$82:$D$91)-(RANK(D89,$D$82:$D$91)+COUNTIF($D$82:D89,D89)-1)+1</f>
        <v>2</v>
      </c>
      <c r="D89" s="490">
        <f t="shared" ca="1" si="5"/>
        <v>0</v>
      </c>
      <c r="E89" s="490">
        <f t="shared" ca="1" si="5"/>
        <v>0</v>
      </c>
      <c r="F89" s="484">
        <f t="shared" ca="1" si="5"/>
        <v>0</v>
      </c>
      <c r="G89" s="484">
        <f t="shared" ca="1" si="3"/>
        <v>0</v>
      </c>
      <c r="H89" s="484">
        <f t="shared" ca="1" si="3"/>
        <v>0</v>
      </c>
      <c r="I89" s="484">
        <f t="shared" ca="1" si="3"/>
        <v>0</v>
      </c>
      <c r="J89" s="490">
        <f t="shared" ca="1" si="4"/>
        <v>0</v>
      </c>
      <c r="K89" s="490">
        <f t="shared" ca="1" si="4"/>
        <v>0</v>
      </c>
      <c r="L89" s="490">
        <f t="shared" ca="1" si="6"/>
        <v>0</v>
      </c>
      <c r="M89" s="491" t="str">
        <f t="shared" ca="1" si="7"/>
        <v>n/a</v>
      </c>
      <c r="O89" t="str">
        <f t="shared" ca="1" si="8"/>
        <v>Res/Small Business</v>
      </c>
    </row>
    <row r="90" spans="2:15" x14ac:dyDescent="0.25">
      <c r="B90" t="str">
        <f>List!B16</f>
        <v>Small Business/C&amp;I</v>
      </c>
      <c r="C90" s="235">
        <f ca="1">COUNT($D$82:$D$91)-(RANK(D90,$D$82:$D$91)+COUNTIF($D$82:D90,D90)-1)+1</f>
        <v>1</v>
      </c>
      <c r="D90" s="490">
        <f t="shared" ca="1" si="5"/>
        <v>0</v>
      </c>
      <c r="E90" s="490">
        <f t="shared" ca="1" si="5"/>
        <v>0</v>
      </c>
      <c r="F90" s="484">
        <f t="shared" ca="1" si="5"/>
        <v>0</v>
      </c>
      <c r="G90" s="484">
        <f t="shared" ca="1" si="3"/>
        <v>0</v>
      </c>
      <c r="H90" s="484">
        <f t="shared" ca="1" si="3"/>
        <v>0</v>
      </c>
      <c r="I90" s="484">
        <f t="shared" ca="1" si="3"/>
        <v>0</v>
      </c>
      <c r="J90" s="490">
        <f t="shared" ca="1" si="4"/>
        <v>0</v>
      </c>
      <c r="K90" s="490">
        <f t="shared" ca="1" si="4"/>
        <v>0</v>
      </c>
      <c r="L90" s="490">
        <f t="shared" ca="1" si="6"/>
        <v>0</v>
      </c>
      <c r="M90" s="491" t="str">
        <f t="shared" ca="1" si="7"/>
        <v>n/a</v>
      </c>
      <c r="O90" t="str">
        <f t="shared" ca="1" si="8"/>
        <v>Res/C&amp;I</v>
      </c>
    </row>
    <row r="91" spans="2:15" x14ac:dyDescent="0.25">
      <c r="B91" t="str">
        <f>List!B17</f>
        <v>All Classes</v>
      </c>
      <c r="C91" s="235">
        <f ca="1">COUNT($D$82:$D$91)-(RANK(D91,$D$82:$D$91)+COUNTIF($D$82:D91,D91)-1)+1</f>
        <v>9</v>
      </c>
      <c r="D91" s="490">
        <f t="shared" ca="1" si="5"/>
        <v>17700</v>
      </c>
      <c r="E91" s="490">
        <f t="shared" ca="1" si="5"/>
        <v>3687.5</v>
      </c>
      <c r="F91" s="484">
        <f t="shared" ca="1" si="5"/>
        <v>0</v>
      </c>
      <c r="G91" s="484">
        <f t="shared" ca="1" si="3"/>
        <v>0</v>
      </c>
      <c r="H91" s="484">
        <f t="shared" ca="1" si="3"/>
        <v>0</v>
      </c>
      <c r="I91" s="484">
        <f t="shared" ca="1" si="3"/>
        <v>0</v>
      </c>
      <c r="J91" s="490">
        <f t="shared" ca="1" si="4"/>
        <v>2.6875</v>
      </c>
      <c r="K91" s="490">
        <f t="shared" ca="1" si="4"/>
        <v>0</v>
      </c>
      <c r="L91" s="490">
        <f t="shared" ca="1" si="6"/>
        <v>-2.6875</v>
      </c>
      <c r="M91" s="491">
        <f t="shared" ca="1" si="7"/>
        <v>0</v>
      </c>
      <c r="O91" t="str">
        <f t="shared" ca="1" si="8"/>
        <v>Small Business/C&amp;I</v>
      </c>
    </row>
    <row r="93" spans="2:15" x14ac:dyDescent="0.25">
      <c r="D93" s="488" t="s">
        <v>517</v>
      </c>
      <c r="E93" s="488" t="s">
        <v>518</v>
      </c>
      <c r="F93" s="488" t="s">
        <v>519</v>
      </c>
      <c r="G93" s="488" t="s">
        <v>520</v>
      </c>
      <c r="H93" s="235"/>
      <c r="I93" s="495" t="s">
        <v>554</v>
      </c>
    </row>
    <row r="94" spans="2:15" x14ac:dyDescent="0.25">
      <c r="B94" t="str">
        <f ca="1">O82</f>
        <v>Residential</v>
      </c>
      <c r="D94" s="490">
        <f ca="1">VLOOKUP($B94,$B$82:$E$91,3,FALSE)</f>
        <v>75589</v>
      </c>
      <c r="E94" s="490">
        <f ca="1">VLOOKUP($B94,$B$82:$E$91,4,FALSE)</f>
        <v>30271.94</v>
      </c>
      <c r="F94" s="484">
        <f ca="1">VLOOKUP($B94,$B$82:$G$91,5,FALSE)</f>
        <v>64059</v>
      </c>
      <c r="G94" s="484">
        <f ca="1">VLOOKUP($B94,$B$82:$G$91,6,FALSE)</f>
        <v>60720</v>
      </c>
      <c r="I94">
        <f ca="1">IF('Report 2'!$B$24='Report 2'!$D$24,Tables!E94,Tables!F94)</f>
        <v>64059</v>
      </c>
    </row>
    <row r="95" spans="2:15" x14ac:dyDescent="0.25">
      <c r="B95" t="str">
        <f t="shared" ref="B95:B102" ca="1" si="9">O83</f>
        <v>All Classes</v>
      </c>
      <c r="D95" s="490">
        <f t="shared" ref="D95:D103" ca="1" si="10">VLOOKUP($B95,$B$82:$E$91,3,FALSE)</f>
        <v>17700</v>
      </c>
      <c r="E95" s="490">
        <f t="shared" ref="E95:E103" ca="1" si="11">VLOOKUP($B95,$B$82:$E$91,4,FALSE)</f>
        <v>3687.5</v>
      </c>
      <c r="F95" s="484">
        <f t="shared" ref="F95:F103" ca="1" si="12">VLOOKUP($B95,$B$82:$G$91,5,FALSE)</f>
        <v>0</v>
      </c>
      <c r="G95" s="484">
        <f t="shared" ref="G95:G103" ca="1" si="13">VLOOKUP($B95,$B$82:$G$91,6,FALSE)</f>
        <v>0</v>
      </c>
      <c r="I95">
        <f ca="1">IF('Report 2'!$B$24='Report 2'!$D$24,Tables!E95,Tables!F95)</f>
        <v>0</v>
      </c>
      <c r="K95" s="274"/>
      <c r="L95" s="256"/>
    </row>
    <row r="96" spans="2:15" x14ac:dyDescent="0.25">
      <c r="B96" t="str">
        <f t="shared" ca="1" si="9"/>
        <v>Commercial &amp; Industrial</v>
      </c>
      <c r="D96" s="490">
        <f t="shared" ca="1" si="10"/>
        <v>10812</v>
      </c>
      <c r="E96" s="490">
        <f t="shared" ca="1" si="11"/>
        <v>0</v>
      </c>
      <c r="F96" s="484">
        <f t="shared" ca="1" si="12"/>
        <v>0</v>
      </c>
      <c r="G96" s="484">
        <f t="shared" ca="1" si="13"/>
        <v>0</v>
      </c>
      <c r="I96">
        <f ca="1">IF('Report 2'!$B$24='Report 2'!$D$24,Tables!E96,Tables!F96)</f>
        <v>0</v>
      </c>
    </row>
    <row r="97" spans="2:9" x14ac:dyDescent="0.25">
      <c r="B97" t="str">
        <f t="shared" ca="1" si="9"/>
        <v>Small Business</v>
      </c>
      <c r="D97" s="490">
        <f t="shared" ca="1" si="10"/>
        <v>0</v>
      </c>
      <c r="E97" s="490">
        <f t="shared" ca="1" si="11"/>
        <v>0</v>
      </c>
      <c r="F97" s="484">
        <f t="shared" ca="1" si="12"/>
        <v>0</v>
      </c>
      <c r="G97" s="484">
        <f t="shared" ca="1" si="13"/>
        <v>0</v>
      </c>
      <c r="I97">
        <f ca="1">IF('Report 2'!$B$24='Report 2'!$D$24,Tables!E97,Tables!F97)</f>
        <v>0</v>
      </c>
    </row>
    <row r="98" spans="2:9" x14ac:dyDescent="0.25">
      <c r="B98" t="str">
        <f t="shared" ca="1" si="9"/>
        <v>Municipalities/Schools</v>
      </c>
      <c r="D98" s="490">
        <f t="shared" ca="1" si="10"/>
        <v>0</v>
      </c>
      <c r="E98" s="490">
        <f t="shared" ca="1" si="11"/>
        <v>0</v>
      </c>
      <c r="F98" s="484">
        <f t="shared" ca="1" si="12"/>
        <v>0</v>
      </c>
      <c r="G98" s="484">
        <f t="shared" ca="1" si="13"/>
        <v>0</v>
      </c>
      <c r="I98">
        <f ca="1">IF('Report 2'!$B$24='Report 2'!$D$24,Tables!E98,Tables!F98)</f>
        <v>0</v>
      </c>
    </row>
    <row r="99" spans="2:9" x14ac:dyDescent="0.25">
      <c r="B99" t="str">
        <f t="shared" ca="1" si="9"/>
        <v>Agriculture</v>
      </c>
      <c r="D99" s="490">
        <f t="shared" ca="1" si="10"/>
        <v>0</v>
      </c>
      <c r="E99" s="490">
        <f t="shared" ca="1" si="11"/>
        <v>0</v>
      </c>
      <c r="F99" s="484">
        <f t="shared" ca="1" si="12"/>
        <v>0</v>
      </c>
      <c r="G99" s="484">
        <f t="shared" ca="1" si="13"/>
        <v>0</v>
      </c>
      <c r="I99">
        <f ca="1">IF('Report 2'!$B$24='Report 2'!$D$24,Tables!E99,Tables!F99)</f>
        <v>0</v>
      </c>
    </row>
    <row r="100" spans="2:9" x14ac:dyDescent="0.25">
      <c r="B100" t="str">
        <f t="shared" ca="1" si="9"/>
        <v>Other</v>
      </c>
      <c r="D100" s="490">
        <f t="shared" ca="1" si="10"/>
        <v>0</v>
      </c>
      <c r="E100" s="490">
        <f t="shared" ca="1" si="11"/>
        <v>0</v>
      </c>
      <c r="F100" s="484">
        <f t="shared" ca="1" si="12"/>
        <v>0</v>
      </c>
      <c r="G100" s="484">
        <f t="shared" ca="1" si="13"/>
        <v>0</v>
      </c>
      <c r="I100">
        <f ca="1">IF('Report 2'!$B$24='Report 2'!$D$24,Tables!E100,Tables!F100)</f>
        <v>0</v>
      </c>
    </row>
    <row r="101" spans="2:9" x14ac:dyDescent="0.25">
      <c r="B101" t="str">
        <f t="shared" ca="1" si="9"/>
        <v>Res/Small Business</v>
      </c>
      <c r="D101" s="490">
        <f t="shared" ca="1" si="10"/>
        <v>0</v>
      </c>
      <c r="E101" s="490">
        <f t="shared" ca="1" si="11"/>
        <v>0</v>
      </c>
      <c r="F101" s="484">
        <f t="shared" ca="1" si="12"/>
        <v>0</v>
      </c>
      <c r="G101" s="484">
        <f t="shared" ca="1" si="13"/>
        <v>0</v>
      </c>
      <c r="I101">
        <f ca="1">IF('Report 2'!$B$24='Report 2'!$D$24,Tables!E101,Tables!F101)</f>
        <v>0</v>
      </c>
    </row>
    <row r="102" spans="2:9" x14ac:dyDescent="0.25">
      <c r="B102" t="str">
        <f t="shared" ca="1" si="9"/>
        <v>Res/C&amp;I</v>
      </c>
      <c r="D102" s="490">
        <f t="shared" ca="1" si="10"/>
        <v>0</v>
      </c>
      <c r="E102" s="490">
        <f t="shared" ca="1" si="11"/>
        <v>0</v>
      </c>
      <c r="F102" s="484">
        <f t="shared" ca="1" si="12"/>
        <v>0</v>
      </c>
      <c r="G102" s="484">
        <f t="shared" ca="1" si="13"/>
        <v>0</v>
      </c>
      <c r="I102">
        <f ca="1">IF('Report 2'!$B$24='Report 2'!$D$24,Tables!E102,Tables!F102)</f>
        <v>0</v>
      </c>
    </row>
    <row r="103" spans="2:9" x14ac:dyDescent="0.25">
      <c r="B103" t="str">
        <f ca="1">O91</f>
        <v>Small Business/C&amp;I</v>
      </c>
      <c r="D103" s="490">
        <f t="shared" ca="1" si="10"/>
        <v>0</v>
      </c>
      <c r="E103" s="490">
        <f t="shared" ca="1" si="11"/>
        <v>0</v>
      </c>
      <c r="F103" s="484">
        <f t="shared" ca="1" si="12"/>
        <v>0</v>
      </c>
      <c r="G103" s="484">
        <f t="shared" ca="1" si="13"/>
        <v>0</v>
      </c>
      <c r="I103">
        <f ca="1">IF('Report 2'!$B$24='Report 2'!$D$24,Tables!E103,Tables!F103)</f>
        <v>0</v>
      </c>
    </row>
    <row r="106" spans="2:9" x14ac:dyDescent="0.25">
      <c r="D106" s="488" t="s">
        <v>517</v>
      </c>
      <c r="E106" s="488" t="s">
        <v>518</v>
      </c>
      <c r="F106" s="488" t="s">
        <v>519</v>
      </c>
      <c r="G106" s="488" t="s">
        <v>520</v>
      </c>
    </row>
    <row r="107" spans="2:9" x14ac:dyDescent="0.25">
      <c r="B107" t="str">
        <f ca="1">O58</f>
        <v>School-Based Energy Education</v>
      </c>
      <c r="D107" s="490">
        <f ca="1">VLOOKUP($B107,$B$58:$L$77,3,FALSE)</f>
        <v>16250</v>
      </c>
      <c r="E107" s="490">
        <f ca="1">VLOOKUP($B107,$B$58:$L$77,4,FALSE)</f>
        <v>29581.94</v>
      </c>
      <c r="F107" s="484">
        <f ca="1">VLOOKUP($B107,$B$58:$L$77,5,FALSE)</f>
        <v>47256</v>
      </c>
      <c r="G107" s="484">
        <f ca="1">VLOOKUP($B107,$B$58:$L$77,6,FALSE)</f>
        <v>47256</v>
      </c>
    </row>
    <row r="108" spans="2:9" x14ac:dyDescent="0.25">
      <c r="B108" t="str">
        <f t="shared" ref="B108:B126" ca="1" si="14">O59</f>
        <v>EM&amp;V</v>
      </c>
      <c r="D108" s="490">
        <f t="shared" ref="D108:D126" ca="1" si="15">VLOOKUP($B108,$B$58:$L$77,3,FALSE)</f>
        <v>2500</v>
      </c>
      <c r="E108" s="490">
        <f t="shared" ref="E108:E126" ca="1" si="16">VLOOKUP($B108,$B$58:$L$77,4,FALSE)</f>
        <v>2687.5</v>
      </c>
      <c r="F108" s="484">
        <f t="shared" ref="F108:F126" ca="1" si="17">VLOOKUP($B108,$B$58:$L$77,5,FALSE)</f>
        <v>0</v>
      </c>
      <c r="G108" s="484">
        <f t="shared" ref="G108:G126" ca="1" si="18">VLOOKUP($B108,$B$58:$L$77,6,FALSE)</f>
        <v>0</v>
      </c>
    </row>
    <row r="109" spans="2:9" x14ac:dyDescent="0.25">
      <c r="B109" t="str">
        <f t="shared" ca="1" si="14"/>
        <v>Administration</v>
      </c>
      <c r="D109" s="490">
        <f t="shared" ca="1" si="15"/>
        <v>10000</v>
      </c>
      <c r="E109" s="490">
        <f t="shared" ca="1" si="16"/>
        <v>1000</v>
      </c>
      <c r="F109" s="484">
        <f t="shared" ca="1" si="17"/>
        <v>0</v>
      </c>
      <c r="G109" s="484">
        <f t="shared" ca="1" si="18"/>
        <v>0</v>
      </c>
    </row>
    <row r="110" spans="2:9" x14ac:dyDescent="0.25">
      <c r="B110" t="str">
        <f t="shared" ca="1" si="14"/>
        <v>Residential Products</v>
      </c>
      <c r="D110" s="490">
        <f t="shared" ca="1" si="15"/>
        <v>34885</v>
      </c>
      <c r="E110" s="490">
        <f t="shared" ca="1" si="16"/>
        <v>690</v>
      </c>
      <c r="F110" s="484">
        <f t="shared" ca="1" si="17"/>
        <v>16803</v>
      </c>
      <c r="G110" s="484">
        <f t="shared" ca="1" si="18"/>
        <v>13464</v>
      </c>
    </row>
    <row r="111" spans="2:9" x14ac:dyDescent="0.25">
      <c r="B111" t="str">
        <f t="shared" ca="1" si="14"/>
        <v>Weatherization</v>
      </c>
      <c r="D111" s="490">
        <f t="shared" ca="1" si="15"/>
        <v>24454</v>
      </c>
      <c r="E111" s="490">
        <f t="shared" ca="1" si="16"/>
        <v>0</v>
      </c>
      <c r="F111" s="484">
        <f t="shared" ca="1" si="17"/>
        <v>0</v>
      </c>
      <c r="G111" s="484">
        <f t="shared" ca="1" si="18"/>
        <v>0</v>
      </c>
    </row>
    <row r="112" spans="2:9" x14ac:dyDescent="0.25">
      <c r="B112" t="str">
        <f t="shared" ca="1" si="14"/>
        <v>Commercial and Industrial (Custom)</v>
      </c>
      <c r="D112" s="490">
        <f t="shared" ca="1" si="15"/>
        <v>5812</v>
      </c>
      <c r="E112" s="490">
        <f t="shared" ca="1" si="16"/>
        <v>0</v>
      </c>
      <c r="F112" s="484">
        <f t="shared" ca="1" si="17"/>
        <v>0</v>
      </c>
      <c r="G112" s="484">
        <f t="shared" ca="1" si="18"/>
        <v>0</v>
      </c>
    </row>
    <row r="113" spans="2:7" x14ac:dyDescent="0.25">
      <c r="B113" t="str">
        <f t="shared" ca="1" si="14"/>
        <v>Commercial and Industrial (Prescriptive)</v>
      </c>
      <c r="D113" s="490">
        <f t="shared" ca="1" si="15"/>
        <v>5000</v>
      </c>
      <c r="E113" s="490">
        <f t="shared" ca="1" si="16"/>
        <v>0</v>
      </c>
      <c r="F113" s="484">
        <f t="shared" ca="1" si="17"/>
        <v>0</v>
      </c>
      <c r="G113" s="484">
        <f t="shared" ca="1" si="18"/>
        <v>0</v>
      </c>
    </row>
    <row r="114" spans="2:7" x14ac:dyDescent="0.25">
      <c r="B114" t="str">
        <f t="shared" ca="1" si="14"/>
        <v>Marketing</v>
      </c>
      <c r="D114" s="490">
        <f t="shared" ca="1" si="15"/>
        <v>1200</v>
      </c>
      <c r="E114" s="490">
        <f t="shared" ca="1" si="16"/>
        <v>0</v>
      </c>
      <c r="F114" s="484">
        <f t="shared" ca="1" si="17"/>
        <v>0</v>
      </c>
      <c r="G114" s="484">
        <f t="shared" ca="1" si="18"/>
        <v>0</v>
      </c>
    </row>
    <row r="115" spans="2:7" x14ac:dyDescent="0.25">
      <c r="B115" t="str">
        <f t="shared" ca="1" si="14"/>
        <v>Online Energy Calculator</v>
      </c>
      <c r="D115" s="490">
        <f t="shared" ca="1" si="15"/>
        <v>4000</v>
      </c>
      <c r="E115" s="490">
        <f t="shared" ca="1" si="16"/>
        <v>0</v>
      </c>
      <c r="F115" s="484">
        <f t="shared" ca="1" si="17"/>
        <v>0</v>
      </c>
      <c r="G115" s="484">
        <f t="shared" ca="1" si="18"/>
        <v>0</v>
      </c>
    </row>
    <row r="116" spans="2:7" x14ac:dyDescent="0.25">
      <c r="B116" t="str">
        <f t="shared" ca="1" si="14"/>
        <v>*Hide*</v>
      </c>
      <c r="D116" s="490" t="str">
        <f t="shared" ca="1" si="15"/>
        <v>-</v>
      </c>
      <c r="E116" s="490" t="str">
        <f t="shared" ca="1" si="16"/>
        <v>-</v>
      </c>
      <c r="F116" s="484" t="str">
        <f t="shared" ca="1" si="17"/>
        <v>-</v>
      </c>
      <c r="G116" s="484" t="str">
        <f t="shared" ca="1" si="18"/>
        <v>-</v>
      </c>
    </row>
    <row r="117" spans="2:7" x14ac:dyDescent="0.25">
      <c r="B117" t="str">
        <f t="shared" ca="1" si="14"/>
        <v>*Hide*</v>
      </c>
      <c r="D117" s="490" t="str">
        <f t="shared" ca="1" si="15"/>
        <v>-</v>
      </c>
      <c r="E117" s="490" t="str">
        <f t="shared" ca="1" si="16"/>
        <v>-</v>
      </c>
      <c r="F117" s="484" t="str">
        <f t="shared" ca="1" si="17"/>
        <v>-</v>
      </c>
      <c r="G117" s="484" t="str">
        <f t="shared" ca="1" si="18"/>
        <v>-</v>
      </c>
    </row>
    <row r="118" spans="2:7" x14ac:dyDescent="0.25">
      <c r="B118" t="str">
        <f t="shared" ca="1" si="14"/>
        <v>*Hide*</v>
      </c>
      <c r="D118" s="490" t="str">
        <f t="shared" ca="1" si="15"/>
        <v>-</v>
      </c>
      <c r="E118" s="490" t="str">
        <f t="shared" ca="1" si="16"/>
        <v>-</v>
      </c>
      <c r="F118" s="484" t="str">
        <f t="shared" ca="1" si="17"/>
        <v>-</v>
      </c>
      <c r="G118" s="484" t="str">
        <f t="shared" ca="1" si="18"/>
        <v>-</v>
      </c>
    </row>
    <row r="119" spans="2:7" x14ac:dyDescent="0.25">
      <c r="B119" t="str">
        <f t="shared" ca="1" si="14"/>
        <v>*Hide*</v>
      </c>
      <c r="D119" s="490" t="str">
        <f t="shared" ca="1" si="15"/>
        <v>-</v>
      </c>
      <c r="E119" s="490" t="str">
        <f t="shared" ca="1" si="16"/>
        <v>-</v>
      </c>
      <c r="F119" s="484" t="str">
        <f t="shared" ca="1" si="17"/>
        <v>-</v>
      </c>
      <c r="G119" s="484" t="str">
        <f t="shared" ca="1" si="18"/>
        <v>-</v>
      </c>
    </row>
    <row r="120" spans="2:7" x14ac:dyDescent="0.25">
      <c r="B120" t="str">
        <f t="shared" ca="1" si="14"/>
        <v>*Hide*</v>
      </c>
      <c r="D120" s="490" t="str">
        <f t="shared" ca="1" si="15"/>
        <v>-</v>
      </c>
      <c r="E120" s="490" t="str">
        <f t="shared" ca="1" si="16"/>
        <v>-</v>
      </c>
      <c r="F120" s="484" t="str">
        <f t="shared" ca="1" si="17"/>
        <v>-</v>
      </c>
      <c r="G120" s="484" t="str">
        <f t="shared" ca="1" si="18"/>
        <v>-</v>
      </c>
    </row>
    <row r="121" spans="2:7" x14ac:dyDescent="0.25">
      <c r="B121" t="str">
        <f t="shared" ca="1" si="14"/>
        <v>*Hide*</v>
      </c>
      <c r="D121" s="490" t="str">
        <f t="shared" ca="1" si="15"/>
        <v>-</v>
      </c>
      <c r="E121" s="490" t="str">
        <f t="shared" ca="1" si="16"/>
        <v>-</v>
      </c>
      <c r="F121" s="484" t="str">
        <f t="shared" ca="1" si="17"/>
        <v>-</v>
      </c>
      <c r="G121" s="484" t="str">
        <f t="shared" ca="1" si="18"/>
        <v>-</v>
      </c>
    </row>
    <row r="122" spans="2:7" x14ac:dyDescent="0.25">
      <c r="B122" t="str">
        <f t="shared" ca="1" si="14"/>
        <v>*Hide*</v>
      </c>
      <c r="D122" s="490" t="str">
        <f t="shared" ca="1" si="15"/>
        <v>-</v>
      </c>
      <c r="E122" s="490" t="str">
        <f t="shared" ca="1" si="16"/>
        <v>-</v>
      </c>
      <c r="F122" s="484" t="str">
        <f t="shared" ca="1" si="17"/>
        <v>-</v>
      </c>
      <c r="G122" s="484" t="str">
        <f t="shared" ca="1" si="18"/>
        <v>-</v>
      </c>
    </row>
    <row r="123" spans="2:7" x14ac:dyDescent="0.25">
      <c r="B123" t="str">
        <f ca="1">O74</f>
        <v>*Hide*</v>
      </c>
      <c r="D123" s="490" t="str">
        <f t="shared" ca="1" si="15"/>
        <v>-</v>
      </c>
      <c r="E123" s="490" t="str">
        <f t="shared" ca="1" si="16"/>
        <v>-</v>
      </c>
      <c r="F123" s="484" t="str">
        <f t="shared" ca="1" si="17"/>
        <v>-</v>
      </c>
      <c r="G123" s="484" t="str">
        <f t="shared" ca="1" si="18"/>
        <v>-</v>
      </c>
    </row>
    <row r="124" spans="2:7" x14ac:dyDescent="0.25">
      <c r="B124" t="str">
        <f t="shared" ca="1" si="14"/>
        <v>*Hide*</v>
      </c>
      <c r="D124" s="490" t="str">
        <f t="shared" ca="1" si="15"/>
        <v>-</v>
      </c>
      <c r="E124" s="490" t="str">
        <f t="shared" ca="1" si="16"/>
        <v>-</v>
      </c>
      <c r="F124" s="484" t="str">
        <f t="shared" ca="1" si="17"/>
        <v>-</v>
      </c>
      <c r="G124" s="484" t="str">
        <f t="shared" ca="1" si="18"/>
        <v>-</v>
      </c>
    </row>
    <row r="125" spans="2:7" x14ac:dyDescent="0.25">
      <c r="B125" t="str">
        <f t="shared" ca="1" si="14"/>
        <v>*Hide*</v>
      </c>
      <c r="D125" s="490" t="str">
        <f t="shared" ca="1" si="15"/>
        <v>-</v>
      </c>
      <c r="E125" s="490" t="str">
        <f t="shared" ca="1" si="16"/>
        <v>-</v>
      </c>
      <c r="F125" s="484" t="str">
        <f t="shared" ca="1" si="17"/>
        <v>-</v>
      </c>
      <c r="G125" s="484" t="str">
        <f t="shared" ca="1" si="18"/>
        <v>-</v>
      </c>
    </row>
    <row r="126" spans="2:7" x14ac:dyDescent="0.25">
      <c r="B126" t="str">
        <f t="shared" ca="1" si="14"/>
        <v>*Hide*</v>
      </c>
      <c r="D126" s="490" t="str">
        <f t="shared" ca="1" si="15"/>
        <v>-</v>
      </c>
      <c r="E126" s="490" t="str">
        <f t="shared" ca="1" si="16"/>
        <v>-</v>
      </c>
      <c r="F126" s="484" t="str">
        <f t="shared" ca="1" si="17"/>
        <v>-</v>
      </c>
      <c r="G126" s="484" t="str">
        <f t="shared" ca="1" si="18"/>
        <v>-</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FF0000"/>
  </sheetPr>
  <dimension ref="B2:T74"/>
  <sheetViews>
    <sheetView topLeftCell="B1" zoomScale="75" zoomScaleNormal="75" workbookViewId="0">
      <selection activeCell="P31" sqref="P31"/>
    </sheetView>
  </sheetViews>
  <sheetFormatPr defaultRowHeight="13.2" x14ac:dyDescent="0.25"/>
  <cols>
    <col min="1" max="1" width="1.77734375" customWidth="1"/>
    <col min="2" max="2" width="39" bestFit="1" customWidth="1"/>
    <col min="3" max="3" width="21" bestFit="1" customWidth="1"/>
    <col min="4" max="4" width="26.88671875" bestFit="1" customWidth="1"/>
    <col min="5" max="5" width="26.88671875" customWidth="1"/>
    <col min="6" max="6" width="12.21875" bestFit="1" customWidth="1"/>
    <col min="7" max="7" width="13.44140625" bestFit="1" customWidth="1"/>
    <col min="8" max="8" width="14.88671875" bestFit="1" customWidth="1"/>
    <col min="9" max="9" width="11.21875" bestFit="1" customWidth="1"/>
    <col min="10" max="10" width="16.109375" customWidth="1"/>
    <col min="11" max="11" width="13.21875" customWidth="1"/>
    <col min="12" max="12" width="10.88671875" customWidth="1"/>
    <col min="13" max="13" width="12" customWidth="1"/>
    <col min="14" max="14" width="14.44140625" customWidth="1"/>
    <col min="15" max="15" width="12.109375" bestFit="1" customWidth="1"/>
    <col min="16" max="16" width="10.88671875" customWidth="1"/>
    <col min="17" max="17" width="9.44140625" customWidth="1"/>
    <col min="18" max="18" width="14.109375" customWidth="1"/>
    <col min="19" max="19" width="9.77734375" bestFit="1" customWidth="1"/>
    <col min="20" max="21" width="11.21875" bestFit="1" customWidth="1"/>
    <col min="23" max="23" width="11.109375" bestFit="1" customWidth="1"/>
    <col min="25" max="25" width="11.109375" bestFit="1" customWidth="1"/>
  </cols>
  <sheetData>
    <row r="2" spans="2:14" x14ac:dyDescent="0.25">
      <c r="B2" s="83" t="s">
        <v>555</v>
      </c>
    </row>
    <row r="3" spans="2:14" ht="39.6" x14ac:dyDescent="0.25">
      <c r="B3" s="479" t="s">
        <v>82</v>
      </c>
      <c r="C3" s="479" t="s">
        <v>541</v>
      </c>
      <c r="D3" s="479" t="s">
        <v>542</v>
      </c>
      <c r="E3" s="479" t="s">
        <v>556</v>
      </c>
      <c r="F3" s="480" t="str">
        <f>Budgets!D4</f>
        <v>Planning / Design</v>
      </c>
      <c r="G3" s="480" t="str">
        <f>Budgets!E4</f>
        <v>Marketing &amp; Delivery</v>
      </c>
      <c r="H3" s="480" t="str">
        <f>Budgets!F4</f>
        <v>Incentives / Direct Install Costs</v>
      </c>
      <c r="I3" s="480" t="str">
        <f>Budgets!G4</f>
        <v>EM&amp;V</v>
      </c>
      <c r="J3" s="480" t="str">
        <f>Budgets!H4</f>
        <v>Administration</v>
      </c>
      <c r="K3" s="480" t="str">
        <f>Budgets!I4</f>
        <v>Total</v>
      </c>
      <c r="L3" s="480" t="str">
        <f>'Savings &amp; Participants'!D4</f>
        <v>Demand 
Savings</v>
      </c>
      <c r="M3" s="480" t="str">
        <f>'Savings &amp; Participants'!E4</f>
        <v>Energy 
Savings</v>
      </c>
      <c r="N3" s="480" t="str">
        <f>'Savings &amp; Participants'!G5</f>
        <v>Participants</v>
      </c>
    </row>
    <row r="4" spans="2:14" x14ac:dyDescent="0.25">
      <c r="B4" s="481" t="str">
        <f>'Program Descriptions'!D5</f>
        <v>Residential Products</v>
      </c>
      <c r="C4" s="481" t="str">
        <f>'Program Descriptions'!E5</f>
        <v>Residential</v>
      </c>
      <c r="D4" s="481" t="str">
        <f>'Program Descriptions'!F5</f>
        <v>Consumer Product Rebate</v>
      </c>
      <c r="E4" s="481" t="str">
        <f>'Program Descriptions'!G5</f>
        <v>Trade Ally</v>
      </c>
      <c r="F4" s="482">
        <f>Budgets!D5</f>
        <v>0</v>
      </c>
      <c r="G4" s="482">
        <f>Budgets!E5</f>
        <v>0</v>
      </c>
      <c r="H4" s="482">
        <f>Budgets!F5</f>
        <v>34885</v>
      </c>
      <c r="I4" s="482">
        <f>Budgets!G5</f>
        <v>0</v>
      </c>
      <c r="J4" s="482">
        <f>Budgets!H5</f>
        <v>0</v>
      </c>
      <c r="K4" s="483">
        <f>SUM(F4:J4)</f>
        <v>34885</v>
      </c>
      <c r="L4" s="484">
        <f>IF(Demand_1=NG_Demand,"n/a",'Savings &amp; Participants'!D6)</f>
        <v>0</v>
      </c>
      <c r="M4" s="484">
        <f>'Savings &amp; Participants'!E6</f>
        <v>16803</v>
      </c>
      <c r="N4" s="484">
        <f>'Savings &amp; Participants'!G6</f>
        <v>12</v>
      </c>
    </row>
    <row r="5" spans="2:14" x14ac:dyDescent="0.25">
      <c r="B5" s="481" t="str">
        <f>'Program Descriptions'!D6</f>
        <v>School-Based Energy Education</v>
      </c>
      <c r="C5" s="481" t="str">
        <f>'Program Descriptions'!E6</f>
        <v>Residential</v>
      </c>
      <c r="D5" s="481" t="str">
        <f>'Program Descriptions'!F6</f>
        <v>Consumer Product Rebate</v>
      </c>
      <c r="E5" s="481" t="str">
        <f>'Program Descriptions'!G6</f>
        <v>Self-Install</v>
      </c>
      <c r="F5" s="482">
        <f>Budgets!D6</f>
        <v>0</v>
      </c>
      <c r="G5" s="482">
        <f>Budgets!E6</f>
        <v>0</v>
      </c>
      <c r="H5" s="482">
        <f>Budgets!F6</f>
        <v>16250</v>
      </c>
      <c r="I5" s="482">
        <f>Budgets!G6</f>
        <v>0</v>
      </c>
      <c r="J5" s="482">
        <f>Budgets!H6</f>
        <v>0</v>
      </c>
      <c r="K5" s="483">
        <f t="shared" ref="K5:K23" si="0">SUM(F5:J5)</f>
        <v>16250</v>
      </c>
      <c r="L5" s="484">
        <f>IF(Demand_1=NG_Demand,"n/a",'Savings &amp; Participants'!D7)</f>
        <v>5.1100000000000003</v>
      </c>
      <c r="M5" s="484">
        <f>'Savings &amp; Participants'!E7</f>
        <v>47256</v>
      </c>
      <c r="N5" s="484">
        <f>'Savings &amp; Participants'!G7</f>
        <v>793</v>
      </c>
    </row>
    <row r="6" spans="2:14" x14ac:dyDescent="0.25">
      <c r="B6" s="481" t="str">
        <f>'Program Descriptions'!D7</f>
        <v>Weatherization</v>
      </c>
      <c r="C6" s="481" t="str">
        <f>'Program Descriptions'!E7</f>
        <v>Residential</v>
      </c>
      <c r="D6" s="481" t="str">
        <f>'Program Descriptions'!F7</f>
        <v>Whole Home</v>
      </c>
      <c r="E6" s="481" t="str">
        <f>'Program Descriptions'!G7</f>
        <v>Trade Ally</v>
      </c>
      <c r="F6" s="482">
        <f>Budgets!D7</f>
        <v>0</v>
      </c>
      <c r="G6" s="482">
        <f>Budgets!E7</f>
        <v>0</v>
      </c>
      <c r="H6" s="482">
        <f>Budgets!F7</f>
        <v>24454</v>
      </c>
      <c r="I6" s="482">
        <f>Budgets!G7</f>
        <v>0</v>
      </c>
      <c r="J6" s="482">
        <f>Budgets!H7</f>
        <v>0</v>
      </c>
      <c r="K6" s="483">
        <f t="shared" si="0"/>
        <v>24454</v>
      </c>
      <c r="L6" s="484">
        <f>IF(Demand_1=NG_Demand,"n/a",'Savings &amp; Participants'!D8)</f>
        <v>0</v>
      </c>
      <c r="M6" s="484">
        <f>'Savings &amp; Participants'!E8</f>
        <v>0</v>
      </c>
      <c r="N6" s="484">
        <f>'Savings &amp; Participants'!G8</f>
        <v>0</v>
      </c>
    </row>
    <row r="7" spans="2:14" x14ac:dyDescent="0.25">
      <c r="B7" s="481" t="str">
        <f>'Program Descriptions'!D8</f>
        <v>Commercial and Industrial (Custom)</v>
      </c>
      <c r="C7" s="481" t="str">
        <f>'Program Descriptions'!E8</f>
        <v>Commercial &amp; Industrial</v>
      </c>
      <c r="D7" s="481" t="str">
        <f>'Program Descriptions'!F8</f>
        <v>Custom</v>
      </c>
      <c r="E7" s="481" t="str">
        <f>'Program Descriptions'!G8</f>
        <v>Trade Ally</v>
      </c>
      <c r="F7" s="482">
        <f>Budgets!D8</f>
        <v>0</v>
      </c>
      <c r="G7" s="482">
        <f>Budgets!E8</f>
        <v>0</v>
      </c>
      <c r="H7" s="482">
        <f>Budgets!F8</f>
        <v>5812</v>
      </c>
      <c r="I7" s="482">
        <f>Budgets!G8</f>
        <v>0</v>
      </c>
      <c r="J7" s="482">
        <f>Budgets!H8</f>
        <v>0</v>
      </c>
      <c r="K7" s="483">
        <f t="shared" si="0"/>
        <v>5812</v>
      </c>
      <c r="L7" s="484">
        <f>IF(Demand_1=NG_Demand,"n/a",'Savings &amp; Participants'!D9)</f>
        <v>0</v>
      </c>
      <c r="M7" s="484">
        <f>'Savings &amp; Participants'!E9</f>
        <v>0</v>
      </c>
      <c r="N7" s="484">
        <f>'Savings &amp; Participants'!G9</f>
        <v>0</v>
      </c>
    </row>
    <row r="8" spans="2:14" x14ac:dyDescent="0.25">
      <c r="B8" s="481" t="str">
        <f>'Program Descriptions'!D9</f>
        <v>Commercial and Industrial (Prescriptive)</v>
      </c>
      <c r="C8" s="481" t="str">
        <f>'Program Descriptions'!E9</f>
        <v>Commercial &amp; Industrial</v>
      </c>
      <c r="D8" s="481" t="str">
        <f>'Program Descriptions'!F9</f>
        <v>Prescriptive/Standard Offer</v>
      </c>
      <c r="E8" s="481" t="str">
        <f>'Program Descriptions'!G9</f>
        <v>Trade Ally</v>
      </c>
      <c r="F8" s="482">
        <f>Budgets!D9</f>
        <v>0</v>
      </c>
      <c r="G8" s="482">
        <f>Budgets!E9</f>
        <v>0</v>
      </c>
      <c r="H8" s="482">
        <f>Budgets!F9</f>
        <v>5000</v>
      </c>
      <c r="I8" s="482">
        <f>Budgets!G9</f>
        <v>0</v>
      </c>
      <c r="J8" s="482">
        <f>Budgets!H9</f>
        <v>0</v>
      </c>
      <c r="K8" s="483">
        <f t="shared" si="0"/>
        <v>5000</v>
      </c>
      <c r="L8" s="484">
        <f>IF(Demand_1=NG_Demand,"n/a",'Savings &amp; Participants'!D10)</f>
        <v>0</v>
      </c>
      <c r="M8" s="484">
        <f>'Savings &amp; Participants'!E10</f>
        <v>0</v>
      </c>
      <c r="N8" s="484">
        <f>'Savings &amp; Participants'!G10</f>
        <v>0</v>
      </c>
    </row>
    <row r="9" spans="2:14" x14ac:dyDescent="0.25">
      <c r="B9" s="481" t="str">
        <f>'Program Descriptions'!D10</f>
        <v>Online Energy Calculator</v>
      </c>
      <c r="C9" s="481" t="str">
        <f>'Program Descriptions'!E10</f>
        <v>All Classes</v>
      </c>
      <c r="D9" s="481" t="str">
        <f>'Program Descriptions'!F10</f>
        <v>Behavior/Education</v>
      </c>
      <c r="E9" s="481" t="str">
        <f>'Program Descriptions'!G10</f>
        <v>Trade Ally</v>
      </c>
      <c r="F9" s="482">
        <f>Budgets!D10</f>
        <v>0</v>
      </c>
      <c r="G9" s="482">
        <f>Budgets!E10</f>
        <v>4000</v>
      </c>
      <c r="H9" s="482">
        <f>Budgets!F10</f>
        <v>0</v>
      </c>
      <c r="I9" s="482">
        <f>Budgets!G10</f>
        <v>0</v>
      </c>
      <c r="J9" s="482">
        <f>Budgets!H10</f>
        <v>0</v>
      </c>
      <c r="K9" s="483">
        <f t="shared" si="0"/>
        <v>4000</v>
      </c>
      <c r="L9" s="484">
        <f>IF(Demand_1=NG_Demand,"n/a",'Savings &amp; Participants'!D11)</f>
        <v>0</v>
      </c>
      <c r="M9" s="484">
        <f>'Savings &amp; Participants'!E11</f>
        <v>0</v>
      </c>
      <c r="N9" s="484">
        <f>'Savings &amp; Participants'!G11</f>
        <v>0</v>
      </c>
    </row>
    <row r="10" spans="2:14" x14ac:dyDescent="0.25">
      <c r="B10" s="481" t="str">
        <f>'Program Descriptions'!C11</f>
        <v>Administration</v>
      </c>
      <c r="C10" s="481" t="str">
        <f>IF(B10="Empty","",'Program Descriptions'!E11)</f>
        <v>All Classes</v>
      </c>
      <c r="D10" s="481" t="str">
        <f>IF(B10="Empty","",'Program Descriptions'!F11)</f>
        <v>Other</v>
      </c>
      <c r="E10" s="481" t="str">
        <f>IF(B10="Empty","",'Program Descriptions'!G11)</f>
        <v>Utility Outreach (email/direct mail)</v>
      </c>
      <c r="F10" s="482">
        <f>Budgets!D11</f>
        <v>0</v>
      </c>
      <c r="G10" s="482">
        <f>Budgets!E11</f>
        <v>0</v>
      </c>
      <c r="H10" s="482">
        <f>Budgets!F11</f>
        <v>0</v>
      </c>
      <c r="I10" s="482">
        <f>Budgets!G11</f>
        <v>0</v>
      </c>
      <c r="J10" s="482">
        <f>Budgets!H11</f>
        <v>10000</v>
      </c>
      <c r="K10" s="483">
        <f t="shared" si="0"/>
        <v>10000</v>
      </c>
      <c r="L10" s="484">
        <f>IF(Demand_1=NG_Demand,"n/a",'Savings &amp; Participants'!D12)</f>
        <v>0</v>
      </c>
      <c r="M10" s="484">
        <f>'Savings &amp; Participants'!E12</f>
        <v>0</v>
      </c>
      <c r="N10" s="484">
        <f>'Savings &amp; Participants'!G12</f>
        <v>0</v>
      </c>
    </row>
    <row r="11" spans="2:14" x14ac:dyDescent="0.25">
      <c r="B11" s="481" t="str">
        <f>'Program Descriptions'!C12</f>
        <v>Marketing</v>
      </c>
      <c r="C11" s="481" t="str">
        <f>IF(B11="Empty","",'Program Descriptions'!E12)</f>
        <v>All Classes</v>
      </c>
      <c r="D11" s="481" t="str">
        <f>IF(B11="Empty","",'Program Descriptions'!F12)</f>
        <v>Other</v>
      </c>
      <c r="E11" s="481" t="str">
        <f>IF(B11="Empty","",'Program Descriptions'!G12)</f>
        <v>Utility Outreach (email/direct mail)</v>
      </c>
      <c r="F11" s="482">
        <f>Budgets!D12</f>
        <v>0</v>
      </c>
      <c r="G11" s="482">
        <f>Budgets!E12</f>
        <v>1200</v>
      </c>
      <c r="H11" s="482">
        <f>Budgets!F12</f>
        <v>0</v>
      </c>
      <c r="I11" s="482">
        <f>Budgets!G12</f>
        <v>0</v>
      </c>
      <c r="J11" s="482">
        <f>Budgets!H12</f>
        <v>0</v>
      </c>
      <c r="K11" s="483">
        <f t="shared" si="0"/>
        <v>1200</v>
      </c>
      <c r="L11" s="484">
        <f>IF(Demand_1=NG_Demand,"n/a",'Savings &amp; Participants'!D13)</f>
        <v>0</v>
      </c>
      <c r="M11" s="484">
        <f>'Savings &amp; Participants'!E13</f>
        <v>0</v>
      </c>
      <c r="N11" s="484">
        <f>'Savings &amp; Participants'!G13</f>
        <v>0</v>
      </c>
    </row>
    <row r="12" spans="2:14" x14ac:dyDescent="0.25">
      <c r="B12" s="481" t="str">
        <f>'Program Descriptions'!C13</f>
        <v>EM&amp;V</v>
      </c>
      <c r="C12" s="481" t="str">
        <f>IF(B12="Empty","",'Program Descriptions'!E13)</f>
        <v>All Classes</v>
      </c>
      <c r="D12" s="481" t="str">
        <f>IF(B12="Empty","",'Program Descriptions'!F13)</f>
        <v>Other</v>
      </c>
      <c r="E12" s="481" t="str">
        <f>IF(B12="Empty","",'Program Descriptions'!G13)</f>
        <v>Statewide Administrator</v>
      </c>
      <c r="F12" s="482">
        <f>Budgets!D13</f>
        <v>0</v>
      </c>
      <c r="G12" s="482">
        <f>Budgets!E13</f>
        <v>0</v>
      </c>
      <c r="H12" s="482">
        <f>Budgets!F13</f>
        <v>0</v>
      </c>
      <c r="I12" s="482">
        <f>Budgets!G13</f>
        <v>2500</v>
      </c>
      <c r="J12" s="482">
        <f>Budgets!H13</f>
        <v>0</v>
      </c>
      <c r="K12" s="483">
        <f t="shared" si="0"/>
        <v>2500</v>
      </c>
      <c r="L12" s="484">
        <f>IF(Demand_1=NG_Demand,"n/a",'Savings &amp; Participants'!D14)</f>
        <v>0</v>
      </c>
      <c r="M12" s="484">
        <f>'Savings &amp; Participants'!E14</f>
        <v>0</v>
      </c>
      <c r="N12" s="484">
        <f>'Savings &amp; Participants'!G14</f>
        <v>0</v>
      </c>
    </row>
    <row r="13" spans="2:14" x14ac:dyDescent="0.25">
      <c r="B13" s="481" t="str">
        <f>'Program Descriptions'!C14</f>
        <v>Empty</v>
      </c>
      <c r="C13" s="481" t="str">
        <f>IF(B13="Empty","",'Program Descriptions'!E14)</f>
        <v/>
      </c>
      <c r="D13" s="481" t="str">
        <f>IF(B13="Empty","",'Program Descriptions'!F14)</f>
        <v/>
      </c>
      <c r="E13" s="481" t="str">
        <f>IF(B13="Empty","",'Program Descriptions'!G14)</f>
        <v/>
      </c>
      <c r="F13" s="482">
        <f>Budgets!D14</f>
        <v>0</v>
      </c>
      <c r="G13" s="482">
        <f>Budgets!E14</f>
        <v>0</v>
      </c>
      <c r="H13" s="482">
        <f>Budgets!F14</f>
        <v>0</v>
      </c>
      <c r="I13" s="482">
        <f>Budgets!G14</f>
        <v>0</v>
      </c>
      <c r="J13" s="482">
        <f>Budgets!H14</f>
        <v>0</v>
      </c>
      <c r="K13" s="483">
        <f t="shared" si="0"/>
        <v>0</v>
      </c>
      <c r="L13" s="484">
        <f>IF(Demand_1=NG_Demand,"n/a",'Savings &amp; Participants'!D15)</f>
        <v>0</v>
      </c>
      <c r="M13" s="484">
        <f>'Savings &amp; Participants'!E15</f>
        <v>0</v>
      </c>
      <c r="N13" s="484">
        <f>'Savings &amp; Participants'!G15</f>
        <v>0</v>
      </c>
    </row>
    <row r="14" spans="2:14" x14ac:dyDescent="0.25">
      <c r="B14" s="481" t="str">
        <f>'Program Descriptions'!C15</f>
        <v>Empty</v>
      </c>
      <c r="C14" s="481" t="str">
        <f>IF(B14="Empty","",'Program Descriptions'!E15)</f>
        <v/>
      </c>
      <c r="D14" s="481" t="str">
        <f>IF(B14="Empty","",'Program Descriptions'!F15)</f>
        <v/>
      </c>
      <c r="E14" s="481" t="str">
        <f>IF(B14="Empty","",'Program Descriptions'!G15)</f>
        <v/>
      </c>
      <c r="F14" s="482">
        <f>Budgets!D15</f>
        <v>0</v>
      </c>
      <c r="G14" s="482">
        <f>Budgets!E15</f>
        <v>0</v>
      </c>
      <c r="H14" s="482">
        <f>Budgets!F15</f>
        <v>0</v>
      </c>
      <c r="I14" s="482">
        <f>Budgets!G15</f>
        <v>0</v>
      </c>
      <c r="J14" s="482">
        <f>Budgets!H15</f>
        <v>0</v>
      </c>
      <c r="K14" s="483">
        <f t="shared" si="0"/>
        <v>0</v>
      </c>
      <c r="L14" s="484">
        <f>IF(Demand_1=NG_Demand,"n/a",'Savings &amp; Participants'!D16)</f>
        <v>0</v>
      </c>
      <c r="M14" s="484">
        <f>'Savings &amp; Participants'!E16</f>
        <v>0</v>
      </c>
      <c r="N14" s="484">
        <f>'Savings &amp; Participants'!G16</f>
        <v>0</v>
      </c>
    </row>
    <row r="15" spans="2:14" x14ac:dyDescent="0.25">
      <c r="B15" s="481" t="str">
        <f>'Program Descriptions'!C16</f>
        <v>Empty</v>
      </c>
      <c r="C15" s="481" t="str">
        <f>IF(B15="Empty","",'Program Descriptions'!E16)</f>
        <v/>
      </c>
      <c r="D15" s="481" t="str">
        <f>IF(B15="Empty","",'Program Descriptions'!F16)</f>
        <v/>
      </c>
      <c r="E15" s="481" t="str">
        <f>IF(B15="Empty","",'Program Descriptions'!G16)</f>
        <v/>
      </c>
      <c r="F15" s="482">
        <f>Budgets!D16</f>
        <v>0</v>
      </c>
      <c r="G15" s="482">
        <f>Budgets!E16</f>
        <v>0</v>
      </c>
      <c r="H15" s="482">
        <f>Budgets!F16</f>
        <v>0</v>
      </c>
      <c r="I15" s="482">
        <f>Budgets!G16</f>
        <v>0</v>
      </c>
      <c r="J15" s="482">
        <f>Budgets!H16</f>
        <v>0</v>
      </c>
      <c r="K15" s="483">
        <f t="shared" si="0"/>
        <v>0</v>
      </c>
      <c r="L15" s="484">
        <f>IF(Demand_1=NG_Demand,"n/a",'Savings &amp; Participants'!D17)</f>
        <v>0</v>
      </c>
      <c r="M15" s="484">
        <f>'Savings &amp; Participants'!E17</f>
        <v>0</v>
      </c>
      <c r="N15" s="484">
        <f>'Savings &amp; Participants'!G17</f>
        <v>0</v>
      </c>
    </row>
    <row r="16" spans="2:14" x14ac:dyDescent="0.25">
      <c r="B16" s="481" t="str">
        <f>'Program Descriptions'!C17</f>
        <v>Empty</v>
      </c>
      <c r="C16" s="481" t="str">
        <f>IF(B16="Empty","",'Program Descriptions'!E17)</f>
        <v/>
      </c>
      <c r="D16" s="481" t="str">
        <f>IF(B16="Empty","",'Program Descriptions'!F17)</f>
        <v/>
      </c>
      <c r="E16" s="481" t="str">
        <f>IF(B16="Empty","",'Program Descriptions'!G17)</f>
        <v/>
      </c>
      <c r="F16" s="482">
        <f>Budgets!D17</f>
        <v>0</v>
      </c>
      <c r="G16" s="482">
        <f>Budgets!E17</f>
        <v>0</v>
      </c>
      <c r="H16" s="482">
        <f>Budgets!F17</f>
        <v>0</v>
      </c>
      <c r="I16" s="482">
        <f>Budgets!G17</f>
        <v>0</v>
      </c>
      <c r="J16" s="482">
        <f>Budgets!H17</f>
        <v>0</v>
      </c>
      <c r="K16" s="483">
        <f t="shared" si="0"/>
        <v>0</v>
      </c>
      <c r="L16" s="484">
        <f>IF(Demand_1=NG_Demand,"n/a",'Savings &amp; Participants'!D18)</f>
        <v>0</v>
      </c>
      <c r="M16" s="484">
        <f>'Savings &amp; Participants'!E18</f>
        <v>0</v>
      </c>
      <c r="N16" s="484">
        <f>'Savings &amp; Participants'!G18</f>
        <v>0</v>
      </c>
    </row>
    <row r="17" spans="2:20" x14ac:dyDescent="0.25">
      <c r="B17" s="481" t="str">
        <f>'Program Descriptions'!C18</f>
        <v>Empty</v>
      </c>
      <c r="C17" s="481" t="str">
        <f>IF(B17="Empty","",'Program Descriptions'!E18)</f>
        <v/>
      </c>
      <c r="D17" s="481" t="str">
        <f>IF(B17="Empty","",'Program Descriptions'!F18)</f>
        <v/>
      </c>
      <c r="E17" s="481" t="str">
        <f>IF(B17="Empty","",'Program Descriptions'!G18)</f>
        <v/>
      </c>
      <c r="F17" s="482">
        <f>Budgets!D18</f>
        <v>0</v>
      </c>
      <c r="G17" s="482">
        <f>Budgets!E18</f>
        <v>0</v>
      </c>
      <c r="H17" s="482">
        <f>Budgets!F18</f>
        <v>0</v>
      </c>
      <c r="I17" s="482">
        <f>Budgets!G18</f>
        <v>0</v>
      </c>
      <c r="J17" s="482">
        <f>Budgets!H18</f>
        <v>0</v>
      </c>
      <c r="K17" s="483">
        <f t="shared" si="0"/>
        <v>0</v>
      </c>
      <c r="L17" s="484">
        <f>IF(Demand_1=NG_Demand,"n/a",'Savings &amp; Participants'!D19)</f>
        <v>0</v>
      </c>
      <c r="M17" s="484">
        <f>'Savings &amp; Participants'!E19</f>
        <v>0</v>
      </c>
      <c r="N17" s="484">
        <f>'Savings &amp; Participants'!G19</f>
        <v>0</v>
      </c>
    </row>
    <row r="18" spans="2:20" x14ac:dyDescent="0.25">
      <c r="B18" s="481" t="str">
        <f>'Program Descriptions'!C19</f>
        <v>Empty</v>
      </c>
      <c r="C18" s="481" t="str">
        <f>IF(B18="Empty","",'Program Descriptions'!E19)</f>
        <v/>
      </c>
      <c r="D18" s="481" t="str">
        <f>IF(B18="Empty","",'Program Descriptions'!F19)</f>
        <v/>
      </c>
      <c r="E18" s="481" t="str">
        <f>IF(B18="Empty","",'Program Descriptions'!G19)</f>
        <v/>
      </c>
      <c r="F18" s="482">
        <f>Budgets!D19</f>
        <v>0</v>
      </c>
      <c r="G18" s="482">
        <f>Budgets!E19</f>
        <v>0</v>
      </c>
      <c r="H18" s="482">
        <f>Budgets!F19</f>
        <v>0</v>
      </c>
      <c r="I18" s="482">
        <f>Budgets!G19</f>
        <v>0</v>
      </c>
      <c r="J18" s="482">
        <f>Budgets!H19</f>
        <v>0</v>
      </c>
      <c r="K18" s="483">
        <f t="shared" si="0"/>
        <v>0</v>
      </c>
      <c r="L18" s="484">
        <f>IF(Demand_1=NG_Demand,"n/a",'Savings &amp; Participants'!D20)</f>
        <v>0</v>
      </c>
      <c r="M18" s="484">
        <f>'Savings &amp; Participants'!E20</f>
        <v>0</v>
      </c>
      <c r="N18" s="484">
        <f>'Savings &amp; Participants'!G20</f>
        <v>0</v>
      </c>
    </row>
    <row r="19" spans="2:20" x14ac:dyDescent="0.25">
      <c r="B19" s="481" t="str">
        <f>'Program Descriptions'!C20</f>
        <v>Empty</v>
      </c>
      <c r="C19" s="481" t="str">
        <f>IF(B19="Empty","",'Program Descriptions'!E20)</f>
        <v/>
      </c>
      <c r="D19" s="481" t="str">
        <f>IF(B19="Empty","",'Program Descriptions'!F20)</f>
        <v/>
      </c>
      <c r="E19" s="481" t="str">
        <f>IF(B19="Empty","",'Program Descriptions'!G20)</f>
        <v/>
      </c>
      <c r="F19" s="482">
        <f>Budgets!D20</f>
        <v>0</v>
      </c>
      <c r="G19" s="482">
        <f>Budgets!E20</f>
        <v>0</v>
      </c>
      <c r="H19" s="482">
        <f>Budgets!F20</f>
        <v>0</v>
      </c>
      <c r="I19" s="482">
        <f>Budgets!G20</f>
        <v>0</v>
      </c>
      <c r="J19" s="482">
        <f>Budgets!H20</f>
        <v>0</v>
      </c>
      <c r="K19" s="483">
        <f t="shared" si="0"/>
        <v>0</v>
      </c>
      <c r="L19" s="484">
        <f>IF(Demand_1=NG_Demand,"n/a",'Savings &amp; Participants'!D21)</f>
        <v>0</v>
      </c>
      <c r="M19" s="484">
        <f>'Savings &amp; Participants'!E21</f>
        <v>0</v>
      </c>
      <c r="N19" s="484">
        <f>'Savings &amp; Participants'!G21</f>
        <v>0</v>
      </c>
    </row>
    <row r="20" spans="2:20" x14ac:dyDescent="0.25">
      <c r="B20" s="481" t="str">
        <f>'Program Descriptions'!C21</f>
        <v>Empty</v>
      </c>
      <c r="C20" s="481" t="str">
        <f>IF(B20="Empty","",'Program Descriptions'!E21)</f>
        <v/>
      </c>
      <c r="D20" s="481" t="str">
        <f>IF(B20="Empty","",'Program Descriptions'!F21)</f>
        <v/>
      </c>
      <c r="E20" s="481" t="str">
        <f>IF(B20="Empty","",'Program Descriptions'!G21)</f>
        <v/>
      </c>
      <c r="F20" s="482">
        <f>Budgets!D21</f>
        <v>0</v>
      </c>
      <c r="G20" s="482">
        <f>Budgets!E21</f>
        <v>0</v>
      </c>
      <c r="H20" s="482">
        <f>Budgets!F21</f>
        <v>0</v>
      </c>
      <c r="I20" s="482">
        <f>Budgets!G21</f>
        <v>0</v>
      </c>
      <c r="J20" s="482">
        <f>Budgets!H21</f>
        <v>0</v>
      </c>
      <c r="K20" s="483">
        <f t="shared" si="0"/>
        <v>0</v>
      </c>
      <c r="L20" s="484">
        <f>IF(Demand_1=NG_Demand,"n/a",'Savings &amp; Participants'!D22)</f>
        <v>0</v>
      </c>
      <c r="M20" s="484">
        <f>'Savings &amp; Participants'!E22</f>
        <v>0</v>
      </c>
      <c r="N20" s="484">
        <f>'Savings &amp; Participants'!G22</f>
        <v>0</v>
      </c>
    </row>
    <row r="21" spans="2:20" x14ac:dyDescent="0.25">
      <c r="B21" s="481" t="str">
        <f>'Program Descriptions'!C22</f>
        <v>Empty</v>
      </c>
      <c r="C21" s="481" t="str">
        <f>IF(B21="Empty","",'Program Descriptions'!E22)</f>
        <v/>
      </c>
      <c r="D21" s="481" t="str">
        <f>IF(B21="Empty","",'Program Descriptions'!F22)</f>
        <v/>
      </c>
      <c r="E21" s="481" t="str">
        <f>IF(B21="Empty","",'Program Descriptions'!G22)</f>
        <v/>
      </c>
      <c r="F21" s="482">
        <f>Budgets!D22</f>
        <v>0</v>
      </c>
      <c r="G21" s="482">
        <f>Budgets!E22</f>
        <v>0</v>
      </c>
      <c r="H21" s="482">
        <f>Budgets!F22</f>
        <v>0</v>
      </c>
      <c r="I21" s="482">
        <f>Budgets!G22</f>
        <v>0</v>
      </c>
      <c r="J21" s="482">
        <f>Budgets!H22</f>
        <v>0</v>
      </c>
      <c r="K21" s="483">
        <f t="shared" si="0"/>
        <v>0</v>
      </c>
      <c r="L21" s="484">
        <f>IF(Demand_1=NG_Demand,"n/a",'Savings &amp; Participants'!D23)</f>
        <v>0</v>
      </c>
      <c r="M21" s="484">
        <f>'Savings &amp; Participants'!E23</f>
        <v>0</v>
      </c>
      <c r="N21" s="484">
        <f>'Savings &amp; Participants'!G23</f>
        <v>0</v>
      </c>
    </row>
    <row r="22" spans="2:20" x14ac:dyDescent="0.25">
      <c r="B22" s="481" t="str">
        <f>'Program Descriptions'!C23</f>
        <v>Empty</v>
      </c>
      <c r="C22" s="481" t="str">
        <f>IF(B22="Empty","",'Program Descriptions'!E23)</f>
        <v/>
      </c>
      <c r="D22" s="481" t="str">
        <f>IF(B22="Empty","",'Program Descriptions'!F23)</f>
        <v/>
      </c>
      <c r="E22" s="481" t="str">
        <f>IF(B22="Empty","",'Program Descriptions'!G23)</f>
        <v/>
      </c>
      <c r="F22" s="482">
        <f>Budgets!D23</f>
        <v>0</v>
      </c>
      <c r="G22" s="482">
        <f>Budgets!E23</f>
        <v>0</v>
      </c>
      <c r="H22" s="482">
        <f>Budgets!F23</f>
        <v>0</v>
      </c>
      <c r="I22" s="482">
        <f>Budgets!G23</f>
        <v>0</v>
      </c>
      <c r="J22" s="482">
        <f>Budgets!H23</f>
        <v>0</v>
      </c>
      <c r="K22" s="483">
        <f t="shared" si="0"/>
        <v>0</v>
      </c>
      <c r="L22" s="484">
        <f>IF(Demand_1=NG_Demand,"n/a",'Savings &amp; Participants'!D24)</f>
        <v>0</v>
      </c>
      <c r="M22" s="484">
        <f>'Savings &amp; Participants'!E24</f>
        <v>0</v>
      </c>
      <c r="N22" s="484">
        <f>'Savings &amp; Participants'!G24</f>
        <v>0</v>
      </c>
    </row>
    <row r="23" spans="2:20" x14ac:dyDescent="0.25">
      <c r="B23" s="481" t="str">
        <f>'Program Descriptions'!C24</f>
        <v>Empty</v>
      </c>
      <c r="C23" s="481" t="str">
        <f>IF(B23="Empty","",'Program Descriptions'!E24)</f>
        <v/>
      </c>
      <c r="D23" s="481" t="str">
        <f>IF(B23="Empty","",'Program Descriptions'!F24)</f>
        <v/>
      </c>
      <c r="E23" s="481" t="str">
        <f>IF(B23="Empty","",'Program Descriptions'!G24)</f>
        <v/>
      </c>
      <c r="F23" s="482">
        <f>Budgets!D24</f>
        <v>0</v>
      </c>
      <c r="G23" s="482">
        <f>Budgets!E24</f>
        <v>0</v>
      </c>
      <c r="H23" s="482">
        <f>Budgets!F24</f>
        <v>0</v>
      </c>
      <c r="I23" s="482">
        <f>Budgets!G24</f>
        <v>0</v>
      </c>
      <c r="J23" s="482">
        <f>Budgets!H24</f>
        <v>0</v>
      </c>
      <c r="K23" s="483">
        <f t="shared" si="0"/>
        <v>0</v>
      </c>
      <c r="L23" s="484">
        <f>IF(Demand_1=NG_Demand,"n/a",'Savings &amp; Participants'!D25)</f>
        <v>0</v>
      </c>
      <c r="M23" s="484">
        <f>'Savings &amp; Participants'!E25</f>
        <v>0</v>
      </c>
      <c r="N23" s="484">
        <f>'Savings &amp; Participants'!G25</f>
        <v>0</v>
      </c>
    </row>
    <row r="24" spans="2:20" x14ac:dyDescent="0.25">
      <c r="B24" s="256" t="str">
        <f>Budgets!H26</f>
        <v>Regulatory</v>
      </c>
      <c r="C24" s="485" t="s">
        <v>557</v>
      </c>
      <c r="D24" s="485" t="s">
        <v>557</v>
      </c>
      <c r="E24" s="485" t="s">
        <v>557</v>
      </c>
      <c r="F24" s="482"/>
      <c r="G24" s="482"/>
      <c r="H24" s="482"/>
      <c r="I24" s="482"/>
      <c r="J24" s="482"/>
      <c r="K24" s="483">
        <f>Budgets!I26</f>
        <v>3000</v>
      </c>
      <c r="L24" s="484"/>
      <c r="M24" s="484"/>
      <c r="N24" s="484"/>
    </row>
    <row r="25" spans="2:20" x14ac:dyDescent="0.25">
      <c r="F25" s="482">
        <f t="shared" ref="F25:N25" si="1">SUM(F4:F23)</f>
        <v>0</v>
      </c>
      <c r="G25" s="482">
        <f t="shared" si="1"/>
        <v>5200</v>
      </c>
      <c r="H25" s="482">
        <f t="shared" si="1"/>
        <v>86401</v>
      </c>
      <c r="I25" s="482">
        <f t="shared" si="1"/>
        <v>2500</v>
      </c>
      <c r="J25" s="482">
        <f t="shared" si="1"/>
        <v>10000</v>
      </c>
      <c r="K25" s="483">
        <f>SUM(K4:K24)</f>
        <v>107101</v>
      </c>
      <c r="L25" s="484">
        <f t="shared" si="1"/>
        <v>5.1100000000000003</v>
      </c>
      <c r="M25" s="484">
        <f t="shared" si="1"/>
        <v>64059</v>
      </c>
      <c r="N25" s="484">
        <f t="shared" si="1"/>
        <v>805</v>
      </c>
    </row>
    <row r="27" spans="2:20" x14ac:dyDescent="0.25">
      <c r="B27" s="83" t="s">
        <v>558</v>
      </c>
    </row>
    <row r="28" spans="2:20" ht="39.6" x14ac:dyDescent="0.25">
      <c r="B28" s="479" t="str">
        <f t="shared" ref="B28:B49" si="2">B3</f>
        <v>Program Name</v>
      </c>
      <c r="C28" s="479" t="str">
        <f t="shared" ref="C28:N28" si="3">C3</f>
        <v>Sector</v>
      </c>
      <c r="D28" s="479" t="str">
        <f t="shared" si="3"/>
        <v>Type</v>
      </c>
      <c r="E28" s="479" t="str">
        <f t="shared" si="3"/>
        <v>Channel</v>
      </c>
      <c r="F28" s="480" t="str">
        <f t="shared" si="3"/>
        <v>Planning / Design</v>
      </c>
      <c r="G28" s="480" t="str">
        <f t="shared" si="3"/>
        <v>Marketing &amp; Delivery</v>
      </c>
      <c r="H28" s="480" t="str">
        <f t="shared" si="3"/>
        <v>Incentives / Direct Install Costs</v>
      </c>
      <c r="I28" s="480" t="str">
        <f t="shared" si="3"/>
        <v>EM&amp;V</v>
      </c>
      <c r="J28" s="480" t="str">
        <f t="shared" si="3"/>
        <v>Administration</v>
      </c>
      <c r="K28" s="480" t="str">
        <f t="shared" si="3"/>
        <v>Total</v>
      </c>
      <c r="L28" s="480" t="str">
        <f t="shared" si="3"/>
        <v>Demand 
Savings</v>
      </c>
      <c r="M28" s="480" t="str">
        <f t="shared" si="3"/>
        <v>Energy 
Savings</v>
      </c>
      <c r="N28" s="480" t="str">
        <f t="shared" si="3"/>
        <v>Participants</v>
      </c>
      <c r="O28" s="480" t="s">
        <v>559</v>
      </c>
      <c r="P28" s="480" t="s">
        <v>560</v>
      </c>
      <c r="Q28" s="480" t="s">
        <v>561</v>
      </c>
      <c r="R28" s="480" t="s">
        <v>562</v>
      </c>
      <c r="S28" s="480" t="s">
        <v>534</v>
      </c>
      <c r="T28" s="480" t="s">
        <v>222</v>
      </c>
    </row>
    <row r="29" spans="2:20" x14ac:dyDescent="0.25">
      <c r="B29" s="481" t="str">
        <f t="shared" si="2"/>
        <v>Residential Products</v>
      </c>
      <c r="C29" s="481" t="str">
        <f t="shared" ref="C29:E48" si="4">C4</f>
        <v>Residential</v>
      </c>
      <c r="D29" s="481" t="str">
        <f t="shared" si="4"/>
        <v>Consumer Product Rebate</v>
      </c>
      <c r="E29" s="481" t="str">
        <f t="shared" si="4"/>
        <v>Trade Ally</v>
      </c>
      <c r="F29" s="482">
        <f>'Actual Expenses'!D5</f>
        <v>0</v>
      </c>
      <c r="G29" s="482">
        <f>'Actual Expenses'!E5</f>
        <v>0</v>
      </c>
      <c r="H29" s="482">
        <f>'Actual Expenses'!F5</f>
        <v>690</v>
      </c>
      <c r="I29" s="482">
        <f>'Actual Expenses'!G5</f>
        <v>0</v>
      </c>
      <c r="J29" s="482">
        <f>'Actual Expenses'!H5</f>
        <v>0</v>
      </c>
      <c r="K29" s="483">
        <f>SUM(F29:J29)</f>
        <v>690</v>
      </c>
      <c r="L29" s="484">
        <f>IF(Demand_1=NG_Demand,"n/a",'Evaluated Savings'!D6)</f>
        <v>0</v>
      </c>
      <c r="M29" s="484">
        <f>'Evaluated Savings'!E6</f>
        <v>13464</v>
      </c>
      <c r="N29" s="484">
        <f>'Evaluated Savings'!G6</f>
        <v>10</v>
      </c>
      <c r="O29" s="484">
        <f>'Cost-Benefits'!F7</f>
        <v>135</v>
      </c>
      <c r="P29" s="482">
        <f>'Cost-Benefits'!G7</f>
        <v>0.75</v>
      </c>
      <c r="Q29" s="482">
        <f>'Cost-Benefits'!H7</f>
        <v>1.4</v>
      </c>
      <c r="R29" s="482">
        <f>'Cost-Benefits'!I7</f>
        <v>0.64999999999999991</v>
      </c>
      <c r="S29" s="486">
        <f>'Cost-Benefits'!J7</f>
        <v>1.8666666666666665</v>
      </c>
      <c r="T29" s="487">
        <f>'Cost-Benefits'!L7</f>
        <v>7.6254234911556588E-3</v>
      </c>
    </row>
    <row r="30" spans="2:20" x14ac:dyDescent="0.25">
      <c r="B30" s="481" t="str">
        <f t="shared" si="2"/>
        <v>School-Based Energy Education</v>
      </c>
      <c r="C30" s="481" t="str">
        <f t="shared" si="4"/>
        <v>Residential</v>
      </c>
      <c r="D30" s="481" t="str">
        <f t="shared" si="4"/>
        <v>Consumer Product Rebate</v>
      </c>
      <c r="E30" s="481" t="str">
        <f t="shared" si="4"/>
        <v>Self-Install</v>
      </c>
      <c r="F30" s="482">
        <f>'Actual Expenses'!D9</f>
        <v>0</v>
      </c>
      <c r="G30" s="482">
        <f>'Actual Expenses'!E9</f>
        <v>0</v>
      </c>
      <c r="H30" s="482">
        <f>'Actual Expenses'!F9</f>
        <v>29581.94</v>
      </c>
      <c r="I30" s="482">
        <f>'Actual Expenses'!G9</f>
        <v>0</v>
      </c>
      <c r="J30" s="482">
        <f>'Actual Expenses'!H9</f>
        <v>0</v>
      </c>
      <c r="K30" s="483">
        <f t="shared" ref="K30:K48" si="5">SUM(F30:J30)</f>
        <v>29581.94</v>
      </c>
      <c r="L30" s="484">
        <f>IF(Demand_1=NG_Demand,"n/a",'Evaluated Savings'!D7)</f>
        <v>5.1100000000000003</v>
      </c>
      <c r="M30" s="484">
        <f>'Evaluated Savings'!E7</f>
        <v>47256</v>
      </c>
      <c r="N30" s="484">
        <f>'Evaluated Savings'!G7</f>
        <v>793</v>
      </c>
      <c r="O30" s="484">
        <f>'Cost-Benefits'!F8</f>
        <v>473</v>
      </c>
      <c r="P30" s="482">
        <f>'Cost-Benefits'!G8</f>
        <v>2.2999999999999998</v>
      </c>
      <c r="Q30" s="482">
        <f>'Cost-Benefits'!H8</f>
        <v>92.7</v>
      </c>
      <c r="R30" s="482">
        <f>'Cost-Benefits'!I8</f>
        <v>90.4</v>
      </c>
      <c r="S30" s="486">
        <f>'Cost-Benefits'!J8</f>
        <v>40.304347826086961</v>
      </c>
      <c r="T30" s="487">
        <f>'Cost-Benefits'!L8</f>
        <v>6.671112407893507E-3</v>
      </c>
    </row>
    <row r="31" spans="2:20" x14ac:dyDescent="0.25">
      <c r="B31" s="481" t="str">
        <f t="shared" si="2"/>
        <v>Weatherization</v>
      </c>
      <c r="C31" s="481" t="str">
        <f t="shared" si="4"/>
        <v>Residential</v>
      </c>
      <c r="D31" s="481" t="str">
        <f t="shared" si="4"/>
        <v>Whole Home</v>
      </c>
      <c r="E31" s="481" t="str">
        <f t="shared" si="4"/>
        <v>Trade Ally</v>
      </c>
      <c r="F31" s="482">
        <f>'Actual Expenses'!D13</f>
        <v>0</v>
      </c>
      <c r="G31" s="482">
        <f>'Actual Expenses'!E13</f>
        <v>0</v>
      </c>
      <c r="H31" s="482">
        <f>'Actual Expenses'!F13</f>
        <v>0</v>
      </c>
      <c r="I31" s="482">
        <f>'Actual Expenses'!G13</f>
        <v>0</v>
      </c>
      <c r="J31" s="482">
        <f>'Actual Expenses'!H13</f>
        <v>0</v>
      </c>
      <c r="K31" s="483">
        <f t="shared" si="5"/>
        <v>0</v>
      </c>
      <c r="L31" s="484">
        <f>IF(Demand_1=NG_Demand,"n/a",'Evaluated Savings'!D8)</f>
        <v>0</v>
      </c>
      <c r="M31" s="484">
        <f>'Evaluated Savings'!E8</f>
        <v>0</v>
      </c>
      <c r="N31" s="484">
        <f>'Evaluated Savings'!G8</f>
        <v>6</v>
      </c>
      <c r="O31" s="484">
        <f>'Cost-Benefits'!F9</f>
        <v>0</v>
      </c>
      <c r="P31" s="482">
        <f>'Cost-Benefits'!G9</f>
        <v>0</v>
      </c>
      <c r="Q31" s="482">
        <f>'Cost-Benefits'!H9</f>
        <v>0</v>
      </c>
      <c r="R31" s="482">
        <f>'Cost-Benefits'!I9</f>
        <v>0</v>
      </c>
      <c r="S31" s="486" t="str">
        <f>'Cost-Benefits'!J9</f>
        <v>n/a</v>
      </c>
      <c r="T31" s="487" t="str">
        <f>'Cost-Benefits'!L9</f>
        <v>n/a</v>
      </c>
    </row>
    <row r="32" spans="2:20" x14ac:dyDescent="0.25">
      <c r="B32" s="481" t="str">
        <f t="shared" si="2"/>
        <v>Commercial and Industrial (Custom)</v>
      </c>
      <c r="C32" s="481" t="str">
        <f t="shared" si="4"/>
        <v>Commercial &amp; Industrial</v>
      </c>
      <c r="D32" s="481" t="str">
        <f t="shared" si="4"/>
        <v>Custom</v>
      </c>
      <c r="E32" s="481" t="str">
        <f t="shared" si="4"/>
        <v>Trade Ally</v>
      </c>
      <c r="F32" s="482">
        <f>'Actual Expenses'!D17</f>
        <v>0</v>
      </c>
      <c r="G32" s="482">
        <f>'Actual Expenses'!E17</f>
        <v>0</v>
      </c>
      <c r="H32" s="482">
        <f>'Actual Expenses'!F17</f>
        <v>0</v>
      </c>
      <c r="I32" s="482">
        <f>'Actual Expenses'!G17</f>
        <v>0</v>
      </c>
      <c r="J32" s="482">
        <f>'Actual Expenses'!H17</f>
        <v>0</v>
      </c>
      <c r="K32" s="483">
        <f t="shared" si="5"/>
        <v>0</v>
      </c>
      <c r="L32" s="484">
        <f>IF(Demand_1=NG_Demand,"n/a",'Evaluated Savings'!D9)</f>
        <v>0</v>
      </c>
      <c r="M32" s="484">
        <f>'Evaluated Savings'!E9</f>
        <v>0</v>
      </c>
      <c r="N32" s="484">
        <f>'Evaluated Savings'!G9</f>
        <v>0</v>
      </c>
      <c r="O32" s="484">
        <f>'Cost-Benefits'!F10</f>
        <v>0</v>
      </c>
      <c r="P32" s="482">
        <f>'Cost-Benefits'!G10</f>
        <v>0</v>
      </c>
      <c r="Q32" s="482">
        <f>'Cost-Benefits'!H10</f>
        <v>0</v>
      </c>
      <c r="R32" s="482">
        <f>'Cost-Benefits'!I10</f>
        <v>0</v>
      </c>
      <c r="S32" s="486" t="str">
        <f>'Cost-Benefits'!J10</f>
        <v>n/a</v>
      </c>
      <c r="T32" s="487" t="str">
        <f>'Cost-Benefits'!L10</f>
        <v>n/a</v>
      </c>
    </row>
    <row r="33" spans="2:20" x14ac:dyDescent="0.25">
      <c r="B33" s="481" t="str">
        <f t="shared" si="2"/>
        <v>Commercial and Industrial (Prescriptive)</v>
      </c>
      <c r="C33" s="481" t="str">
        <f t="shared" si="4"/>
        <v>Commercial &amp; Industrial</v>
      </c>
      <c r="D33" s="481" t="str">
        <f t="shared" si="4"/>
        <v>Prescriptive/Standard Offer</v>
      </c>
      <c r="E33" s="481" t="str">
        <f t="shared" si="4"/>
        <v>Trade Ally</v>
      </c>
      <c r="F33" s="482">
        <f>'Actual Expenses'!D21</f>
        <v>0</v>
      </c>
      <c r="G33" s="482">
        <f>'Actual Expenses'!E21</f>
        <v>0</v>
      </c>
      <c r="H33" s="482">
        <f>'Actual Expenses'!F21</f>
        <v>0</v>
      </c>
      <c r="I33" s="482">
        <f>'Actual Expenses'!G21</f>
        <v>0</v>
      </c>
      <c r="J33" s="482">
        <f>'Actual Expenses'!H21</f>
        <v>0</v>
      </c>
      <c r="K33" s="483">
        <f t="shared" si="5"/>
        <v>0</v>
      </c>
      <c r="L33" s="484">
        <f>IF(Demand_1=NG_Demand,"n/a",'Evaluated Savings'!D10)</f>
        <v>0</v>
      </c>
      <c r="M33" s="484">
        <f>'Evaluated Savings'!E10</f>
        <v>0</v>
      </c>
      <c r="N33" s="484">
        <f>'Evaluated Savings'!G10</f>
        <v>0</v>
      </c>
      <c r="O33" s="484">
        <f>'Cost-Benefits'!F11</f>
        <v>0</v>
      </c>
      <c r="P33" s="482">
        <f>'Cost-Benefits'!G11</f>
        <v>0</v>
      </c>
      <c r="Q33" s="482">
        <f>'Cost-Benefits'!H11</f>
        <v>0</v>
      </c>
      <c r="R33" s="482">
        <f>'Cost-Benefits'!I11</f>
        <v>0</v>
      </c>
      <c r="S33" s="486" t="str">
        <f>'Cost-Benefits'!J11</f>
        <v>n/a</v>
      </c>
      <c r="T33" s="487" t="str">
        <f>'Cost-Benefits'!L11</f>
        <v>n/a</v>
      </c>
    </row>
    <row r="34" spans="2:20" x14ac:dyDescent="0.25">
      <c r="B34" s="481" t="str">
        <f t="shared" si="2"/>
        <v>Online Energy Calculator</v>
      </c>
      <c r="C34" s="481" t="str">
        <f t="shared" si="4"/>
        <v>All Classes</v>
      </c>
      <c r="D34" s="481" t="str">
        <f t="shared" si="4"/>
        <v>Behavior/Education</v>
      </c>
      <c r="E34" s="481" t="str">
        <f t="shared" si="4"/>
        <v>Trade Ally</v>
      </c>
      <c r="F34" s="482">
        <f>'Actual Expenses'!D25</f>
        <v>0</v>
      </c>
      <c r="G34" s="482">
        <f>'Actual Expenses'!E25</f>
        <v>0</v>
      </c>
      <c r="H34" s="482">
        <f>'Actual Expenses'!F25</f>
        <v>0</v>
      </c>
      <c r="I34" s="482">
        <f>'Actual Expenses'!G25</f>
        <v>0</v>
      </c>
      <c r="J34" s="482">
        <f>'Actual Expenses'!H25</f>
        <v>0</v>
      </c>
      <c r="K34" s="483">
        <f t="shared" si="5"/>
        <v>0</v>
      </c>
      <c r="L34" s="484">
        <f>IF(Demand_1=NG_Demand,"n/a",'Evaluated Savings'!D11)</f>
        <v>0</v>
      </c>
      <c r="M34" s="484">
        <f>'Evaluated Savings'!E11</f>
        <v>0</v>
      </c>
      <c r="N34" s="484">
        <f>'Evaluated Savings'!G11</f>
        <v>0</v>
      </c>
      <c r="O34" s="484">
        <f>'Cost-Benefits'!F12</f>
        <v>0</v>
      </c>
      <c r="P34" s="482">
        <f>'Cost-Benefits'!G12</f>
        <v>0</v>
      </c>
      <c r="Q34" s="482">
        <f>'Cost-Benefits'!H12</f>
        <v>0</v>
      </c>
      <c r="R34" s="482">
        <f>'Cost-Benefits'!I12</f>
        <v>0</v>
      </c>
      <c r="S34" s="486" t="str">
        <f>'Cost-Benefits'!J12</f>
        <v>n/a</v>
      </c>
      <c r="T34" s="487" t="str">
        <f>'Cost-Benefits'!L12</f>
        <v>n/a</v>
      </c>
    </row>
    <row r="35" spans="2:20" x14ac:dyDescent="0.25">
      <c r="B35" s="481" t="str">
        <f t="shared" si="2"/>
        <v>Administration</v>
      </c>
      <c r="C35" s="481" t="str">
        <f t="shared" si="4"/>
        <v>All Classes</v>
      </c>
      <c r="D35" s="481" t="str">
        <f t="shared" si="4"/>
        <v>Other</v>
      </c>
      <c r="E35" s="481" t="str">
        <f t="shared" si="4"/>
        <v>Utility Outreach (email/direct mail)</v>
      </c>
      <c r="F35" s="482">
        <f>'Actual Expenses'!D29</f>
        <v>0</v>
      </c>
      <c r="G35" s="482">
        <f>'Actual Expenses'!E29</f>
        <v>0</v>
      </c>
      <c r="H35" s="482">
        <f>'Actual Expenses'!F29</f>
        <v>0</v>
      </c>
      <c r="I35" s="482">
        <f>'Actual Expenses'!G29</f>
        <v>0</v>
      </c>
      <c r="J35" s="482">
        <f>'Actual Expenses'!H29</f>
        <v>1000</v>
      </c>
      <c r="K35" s="483">
        <f t="shared" si="5"/>
        <v>1000</v>
      </c>
      <c r="L35" s="484">
        <f>IF(Demand_1=NG_Demand,"n/a",'Evaluated Savings'!D12)</f>
        <v>0</v>
      </c>
      <c r="M35" s="484">
        <f>'Evaluated Savings'!E12</f>
        <v>0</v>
      </c>
      <c r="N35" s="484">
        <f>'Evaluated Savings'!G12</f>
        <v>0</v>
      </c>
      <c r="O35" s="484">
        <f>'Cost-Benefits'!F13</f>
        <v>0</v>
      </c>
      <c r="P35" s="482">
        <f>'Cost-Benefits'!G13</f>
        <v>0</v>
      </c>
      <c r="Q35" s="482">
        <f>'Cost-Benefits'!H13</f>
        <v>0</v>
      </c>
      <c r="R35" s="482">
        <f>'Cost-Benefits'!I13</f>
        <v>0</v>
      </c>
      <c r="S35" s="486" t="str">
        <f>'Cost-Benefits'!J13</f>
        <v>n/a</v>
      </c>
      <c r="T35" s="487" t="str">
        <f>'Cost-Benefits'!L13</f>
        <v>n/a</v>
      </c>
    </row>
    <row r="36" spans="2:20" x14ac:dyDescent="0.25">
      <c r="B36" s="481" t="str">
        <f t="shared" si="2"/>
        <v>Marketing</v>
      </c>
      <c r="C36" s="481" t="str">
        <f t="shared" si="4"/>
        <v>All Classes</v>
      </c>
      <c r="D36" s="481" t="str">
        <f t="shared" si="4"/>
        <v>Other</v>
      </c>
      <c r="E36" s="481" t="str">
        <f t="shared" si="4"/>
        <v>Utility Outreach (email/direct mail)</v>
      </c>
      <c r="F36" s="482">
        <f>'Actual Expenses'!D33</f>
        <v>0</v>
      </c>
      <c r="G36" s="482">
        <f>'Actual Expenses'!E33</f>
        <v>0</v>
      </c>
      <c r="H36" s="482">
        <f>'Actual Expenses'!F33</f>
        <v>0</v>
      </c>
      <c r="I36" s="482">
        <f>'Actual Expenses'!G33</f>
        <v>0</v>
      </c>
      <c r="J36" s="482">
        <f>'Actual Expenses'!H33</f>
        <v>0</v>
      </c>
      <c r="K36" s="483">
        <f t="shared" si="5"/>
        <v>0</v>
      </c>
      <c r="L36" s="484">
        <f>IF(Demand_1=NG_Demand,"n/a",'Evaluated Savings'!D13)</f>
        <v>0</v>
      </c>
      <c r="M36" s="484">
        <f>'Evaluated Savings'!E13</f>
        <v>0</v>
      </c>
      <c r="N36" s="484">
        <f>'Evaluated Savings'!G13</f>
        <v>0</v>
      </c>
      <c r="O36" s="484">
        <f>'Cost-Benefits'!F14</f>
        <v>0</v>
      </c>
      <c r="P36" s="482">
        <f>'Cost-Benefits'!G14</f>
        <v>0</v>
      </c>
      <c r="Q36" s="482">
        <f>'Cost-Benefits'!H14</f>
        <v>0</v>
      </c>
      <c r="R36" s="482">
        <f>'Cost-Benefits'!I14</f>
        <v>0</v>
      </c>
      <c r="S36" s="486" t="str">
        <f>'Cost-Benefits'!J14</f>
        <v>n/a</v>
      </c>
      <c r="T36" s="487" t="str">
        <f>'Cost-Benefits'!L14</f>
        <v>n/a</v>
      </c>
    </row>
    <row r="37" spans="2:20" x14ac:dyDescent="0.25">
      <c r="B37" s="481" t="str">
        <f t="shared" si="2"/>
        <v>EM&amp;V</v>
      </c>
      <c r="C37" s="481" t="str">
        <f t="shared" si="4"/>
        <v>All Classes</v>
      </c>
      <c r="D37" s="481" t="str">
        <f t="shared" si="4"/>
        <v>Other</v>
      </c>
      <c r="E37" s="481" t="str">
        <f t="shared" si="4"/>
        <v>Statewide Administrator</v>
      </c>
      <c r="F37" s="482">
        <f>'Actual Expenses'!D37</f>
        <v>0</v>
      </c>
      <c r="G37" s="482">
        <f>'Actual Expenses'!E37</f>
        <v>0</v>
      </c>
      <c r="H37" s="482">
        <f>'Actual Expenses'!F37</f>
        <v>0</v>
      </c>
      <c r="I37" s="482">
        <f>'Actual Expenses'!G37</f>
        <v>2687.5</v>
      </c>
      <c r="J37" s="482">
        <f>'Actual Expenses'!H37</f>
        <v>0</v>
      </c>
      <c r="K37" s="483">
        <f t="shared" si="5"/>
        <v>2687.5</v>
      </c>
      <c r="L37" s="484">
        <f>IF(Demand_1=NG_Demand,"n/a",'Evaluated Savings'!D14)</f>
        <v>0</v>
      </c>
      <c r="M37" s="484">
        <f>'Evaluated Savings'!E14</f>
        <v>0</v>
      </c>
      <c r="N37" s="484">
        <f>'Evaluated Savings'!G14</f>
        <v>0</v>
      </c>
      <c r="O37" s="484">
        <f>'Cost-Benefits'!F15</f>
        <v>0</v>
      </c>
      <c r="P37" s="482">
        <f>'Cost-Benefits'!G15</f>
        <v>2.6875</v>
      </c>
      <c r="Q37" s="482">
        <f>'Cost-Benefits'!H15</f>
        <v>0</v>
      </c>
      <c r="R37" s="482">
        <f>'Cost-Benefits'!I15</f>
        <v>-2.6875</v>
      </c>
      <c r="S37" s="486">
        <f>'Cost-Benefits'!J15</f>
        <v>0</v>
      </c>
      <c r="T37" s="487" t="str">
        <f>'Cost-Benefits'!L15</f>
        <v>n/a</v>
      </c>
    </row>
    <row r="38" spans="2:20" x14ac:dyDescent="0.25">
      <c r="B38" s="481" t="str">
        <f t="shared" si="2"/>
        <v>Empty</v>
      </c>
      <c r="C38" s="481" t="str">
        <f t="shared" si="4"/>
        <v/>
      </c>
      <c r="D38" s="481" t="str">
        <f t="shared" si="4"/>
        <v/>
      </c>
      <c r="E38" s="481" t="str">
        <f t="shared" si="4"/>
        <v/>
      </c>
      <c r="F38" s="482">
        <f>'Actual Expenses'!D41</f>
        <v>0</v>
      </c>
      <c r="G38" s="482">
        <f>'Actual Expenses'!E41</f>
        <v>0</v>
      </c>
      <c r="H38" s="482">
        <f>'Actual Expenses'!F41</f>
        <v>0</v>
      </c>
      <c r="I38" s="482">
        <f>'Actual Expenses'!G41</f>
        <v>0</v>
      </c>
      <c r="J38" s="482">
        <f>'Actual Expenses'!H41</f>
        <v>0</v>
      </c>
      <c r="K38" s="483">
        <f t="shared" si="5"/>
        <v>0</v>
      </c>
      <c r="L38" s="484">
        <f>IF(Demand_1=NG_Demand,"n/a",'Evaluated Savings'!D15)</f>
        <v>0</v>
      </c>
      <c r="M38" s="484">
        <f>'Evaluated Savings'!E15</f>
        <v>0</v>
      </c>
      <c r="N38" s="484">
        <f>'Evaluated Savings'!G15</f>
        <v>0</v>
      </c>
      <c r="O38" s="484">
        <f>'Cost-Benefits'!F16</f>
        <v>0</v>
      </c>
      <c r="P38" s="482">
        <f>'Cost-Benefits'!G16</f>
        <v>0</v>
      </c>
      <c r="Q38" s="482">
        <f>'Cost-Benefits'!H16</f>
        <v>0</v>
      </c>
      <c r="R38" s="482">
        <f>'Cost-Benefits'!I16</f>
        <v>0</v>
      </c>
      <c r="S38" s="486" t="str">
        <f>'Cost-Benefits'!J16</f>
        <v>n/a</v>
      </c>
      <c r="T38" s="487" t="str">
        <f>'Cost-Benefits'!L16</f>
        <v>n/a</v>
      </c>
    </row>
    <row r="39" spans="2:20" x14ac:dyDescent="0.25">
      <c r="B39" s="481" t="str">
        <f t="shared" si="2"/>
        <v>Empty</v>
      </c>
      <c r="C39" s="481" t="str">
        <f t="shared" si="4"/>
        <v/>
      </c>
      <c r="D39" s="481" t="str">
        <f t="shared" si="4"/>
        <v/>
      </c>
      <c r="E39" s="481" t="str">
        <f t="shared" si="4"/>
        <v/>
      </c>
      <c r="F39" s="482">
        <f>'Actual Expenses'!D45</f>
        <v>0</v>
      </c>
      <c r="G39" s="482">
        <f>'Actual Expenses'!E45</f>
        <v>0</v>
      </c>
      <c r="H39" s="482">
        <f>'Actual Expenses'!F45</f>
        <v>0</v>
      </c>
      <c r="I39" s="482">
        <f>'Actual Expenses'!G45</f>
        <v>0</v>
      </c>
      <c r="J39" s="482">
        <f>'Actual Expenses'!H45</f>
        <v>0</v>
      </c>
      <c r="K39" s="483">
        <f t="shared" si="5"/>
        <v>0</v>
      </c>
      <c r="L39" s="484">
        <f>IF(Demand_1=NG_Demand,"n/a",'Evaluated Savings'!D16)</f>
        <v>0</v>
      </c>
      <c r="M39" s="484">
        <f>'Evaluated Savings'!E16</f>
        <v>0</v>
      </c>
      <c r="N39" s="484">
        <f>'Evaluated Savings'!G16</f>
        <v>0</v>
      </c>
      <c r="O39" s="484">
        <f>'Cost-Benefits'!F17</f>
        <v>0</v>
      </c>
      <c r="P39" s="482">
        <f>'Cost-Benefits'!G17</f>
        <v>0</v>
      </c>
      <c r="Q39" s="482">
        <f>'Cost-Benefits'!H17</f>
        <v>0</v>
      </c>
      <c r="R39" s="482">
        <f>'Cost-Benefits'!I17</f>
        <v>0</v>
      </c>
      <c r="S39" s="486" t="str">
        <f>'Cost-Benefits'!J17</f>
        <v>n/a</v>
      </c>
      <c r="T39" s="487" t="str">
        <f>'Cost-Benefits'!L17</f>
        <v>n/a</v>
      </c>
    </row>
    <row r="40" spans="2:20" x14ac:dyDescent="0.25">
      <c r="B40" s="481" t="str">
        <f t="shared" si="2"/>
        <v>Empty</v>
      </c>
      <c r="C40" s="481" t="str">
        <f t="shared" si="4"/>
        <v/>
      </c>
      <c r="D40" s="481" t="str">
        <f t="shared" si="4"/>
        <v/>
      </c>
      <c r="E40" s="481" t="str">
        <f t="shared" si="4"/>
        <v/>
      </c>
      <c r="F40" s="482">
        <f>'Actual Expenses'!D49</f>
        <v>0</v>
      </c>
      <c r="G40" s="482">
        <f>'Actual Expenses'!E49</f>
        <v>0</v>
      </c>
      <c r="H40" s="482">
        <f>'Actual Expenses'!F49</f>
        <v>0</v>
      </c>
      <c r="I40" s="482">
        <f>'Actual Expenses'!G49</f>
        <v>0</v>
      </c>
      <c r="J40" s="482">
        <f>'Actual Expenses'!H49</f>
        <v>0</v>
      </c>
      <c r="K40" s="483">
        <f t="shared" si="5"/>
        <v>0</v>
      </c>
      <c r="L40" s="484">
        <f>IF(Demand_1=NG_Demand,"n/a",'Evaluated Savings'!D17)</f>
        <v>0</v>
      </c>
      <c r="M40" s="484">
        <f>'Evaluated Savings'!E17</f>
        <v>0</v>
      </c>
      <c r="N40" s="484">
        <f>'Evaluated Savings'!G17</f>
        <v>0</v>
      </c>
      <c r="O40" s="484">
        <f>'Cost-Benefits'!F18</f>
        <v>0</v>
      </c>
      <c r="P40" s="482">
        <f>'Cost-Benefits'!G18</f>
        <v>0</v>
      </c>
      <c r="Q40" s="482">
        <f>'Cost-Benefits'!H18</f>
        <v>0</v>
      </c>
      <c r="R40" s="482">
        <f>'Cost-Benefits'!I18</f>
        <v>0</v>
      </c>
      <c r="S40" s="486" t="str">
        <f>'Cost-Benefits'!J18</f>
        <v>n/a</v>
      </c>
      <c r="T40" s="487" t="str">
        <f>'Cost-Benefits'!L18</f>
        <v>n/a</v>
      </c>
    </row>
    <row r="41" spans="2:20" x14ac:dyDescent="0.25">
      <c r="B41" s="481" t="str">
        <f t="shared" si="2"/>
        <v>Empty</v>
      </c>
      <c r="C41" s="481" t="str">
        <f t="shared" si="4"/>
        <v/>
      </c>
      <c r="D41" s="481" t="str">
        <f t="shared" si="4"/>
        <v/>
      </c>
      <c r="E41" s="481" t="str">
        <f t="shared" si="4"/>
        <v/>
      </c>
      <c r="F41" s="482">
        <f>'Actual Expenses'!D53</f>
        <v>0</v>
      </c>
      <c r="G41" s="482">
        <f>'Actual Expenses'!E53</f>
        <v>0</v>
      </c>
      <c r="H41" s="482">
        <f>'Actual Expenses'!F53</f>
        <v>0</v>
      </c>
      <c r="I41" s="482">
        <f>'Actual Expenses'!G53</f>
        <v>0</v>
      </c>
      <c r="J41" s="482">
        <f>'Actual Expenses'!H53</f>
        <v>0</v>
      </c>
      <c r="K41" s="483">
        <f t="shared" si="5"/>
        <v>0</v>
      </c>
      <c r="L41" s="484">
        <f>IF(Demand_1=NG_Demand,"n/a",'Evaluated Savings'!D18)</f>
        <v>0</v>
      </c>
      <c r="M41" s="484">
        <f>'Evaluated Savings'!E18</f>
        <v>0</v>
      </c>
      <c r="N41" s="484">
        <f>'Evaluated Savings'!G18</f>
        <v>0</v>
      </c>
      <c r="O41" s="484">
        <f>'Cost-Benefits'!F19</f>
        <v>0</v>
      </c>
      <c r="P41" s="482">
        <f>'Cost-Benefits'!G19</f>
        <v>0</v>
      </c>
      <c r="Q41" s="482">
        <f>'Cost-Benefits'!H19</f>
        <v>0</v>
      </c>
      <c r="R41" s="482">
        <f>'Cost-Benefits'!I19</f>
        <v>0</v>
      </c>
      <c r="S41" s="486" t="str">
        <f>'Cost-Benefits'!J19</f>
        <v>n/a</v>
      </c>
      <c r="T41" s="487" t="str">
        <f>'Cost-Benefits'!L19</f>
        <v>n/a</v>
      </c>
    </row>
    <row r="42" spans="2:20" x14ac:dyDescent="0.25">
      <c r="B42" s="481" t="str">
        <f t="shared" si="2"/>
        <v>Empty</v>
      </c>
      <c r="C42" s="481" t="str">
        <f t="shared" si="4"/>
        <v/>
      </c>
      <c r="D42" s="481" t="str">
        <f t="shared" si="4"/>
        <v/>
      </c>
      <c r="E42" s="481" t="str">
        <f t="shared" si="4"/>
        <v/>
      </c>
      <c r="F42" s="482">
        <f>'Actual Expenses'!D57</f>
        <v>0</v>
      </c>
      <c r="G42" s="482">
        <f>'Actual Expenses'!E57</f>
        <v>0</v>
      </c>
      <c r="H42" s="482">
        <f>'Actual Expenses'!F57</f>
        <v>0</v>
      </c>
      <c r="I42" s="482">
        <f>'Actual Expenses'!G57</f>
        <v>0</v>
      </c>
      <c r="J42" s="482">
        <f>'Actual Expenses'!H57</f>
        <v>0</v>
      </c>
      <c r="K42" s="483">
        <f t="shared" si="5"/>
        <v>0</v>
      </c>
      <c r="L42" s="484">
        <f>IF(Demand_1=NG_Demand,"n/a",'Evaluated Savings'!D19)</f>
        <v>0</v>
      </c>
      <c r="M42" s="484">
        <f>'Evaluated Savings'!E19</f>
        <v>0</v>
      </c>
      <c r="N42" s="484">
        <f>'Evaluated Savings'!G19</f>
        <v>0</v>
      </c>
      <c r="O42" s="484">
        <f>'Cost-Benefits'!F20</f>
        <v>0</v>
      </c>
      <c r="P42" s="482">
        <f>'Cost-Benefits'!G20</f>
        <v>0</v>
      </c>
      <c r="Q42" s="482">
        <f>'Cost-Benefits'!H20</f>
        <v>0</v>
      </c>
      <c r="R42" s="482">
        <f>'Cost-Benefits'!I20</f>
        <v>0</v>
      </c>
      <c r="S42" s="486" t="str">
        <f>'Cost-Benefits'!J20</f>
        <v>n/a</v>
      </c>
      <c r="T42" s="487" t="str">
        <f>'Cost-Benefits'!L20</f>
        <v>n/a</v>
      </c>
    </row>
    <row r="43" spans="2:20" x14ac:dyDescent="0.25">
      <c r="B43" s="481" t="str">
        <f t="shared" si="2"/>
        <v>Empty</v>
      </c>
      <c r="C43" s="481" t="str">
        <f t="shared" si="4"/>
        <v/>
      </c>
      <c r="D43" s="481" t="str">
        <f t="shared" si="4"/>
        <v/>
      </c>
      <c r="E43" s="481" t="str">
        <f t="shared" si="4"/>
        <v/>
      </c>
      <c r="F43" s="482">
        <f>'Actual Expenses'!D61</f>
        <v>0</v>
      </c>
      <c r="G43" s="482">
        <f>'Actual Expenses'!E61</f>
        <v>0</v>
      </c>
      <c r="H43" s="482">
        <f>'Actual Expenses'!F61</f>
        <v>0</v>
      </c>
      <c r="I43" s="482">
        <f>'Actual Expenses'!G61</f>
        <v>0</v>
      </c>
      <c r="J43" s="482">
        <f>'Actual Expenses'!H61</f>
        <v>0</v>
      </c>
      <c r="K43" s="483">
        <f t="shared" si="5"/>
        <v>0</v>
      </c>
      <c r="L43" s="484">
        <f>IF(Demand_1=NG_Demand,"n/a",'Evaluated Savings'!D20)</f>
        <v>0</v>
      </c>
      <c r="M43" s="484">
        <f>'Evaluated Savings'!E20</f>
        <v>0</v>
      </c>
      <c r="N43" s="484">
        <f>'Evaluated Savings'!G20</f>
        <v>0</v>
      </c>
      <c r="O43" s="484">
        <f>'Cost-Benefits'!F21</f>
        <v>0</v>
      </c>
      <c r="P43" s="482">
        <f>'Cost-Benefits'!G21</f>
        <v>0</v>
      </c>
      <c r="Q43" s="482">
        <f>'Cost-Benefits'!H21</f>
        <v>0</v>
      </c>
      <c r="R43" s="482">
        <f>'Cost-Benefits'!I21</f>
        <v>0</v>
      </c>
      <c r="S43" s="486" t="str">
        <f>'Cost-Benefits'!J21</f>
        <v>n/a</v>
      </c>
      <c r="T43" s="487" t="str">
        <f>'Cost-Benefits'!L21</f>
        <v>n/a</v>
      </c>
    </row>
    <row r="44" spans="2:20" x14ac:dyDescent="0.25">
      <c r="B44" s="481" t="str">
        <f t="shared" si="2"/>
        <v>Empty</v>
      </c>
      <c r="C44" s="481" t="str">
        <f t="shared" si="4"/>
        <v/>
      </c>
      <c r="D44" s="481" t="str">
        <f t="shared" si="4"/>
        <v/>
      </c>
      <c r="E44" s="481" t="str">
        <f t="shared" si="4"/>
        <v/>
      </c>
      <c r="F44" s="482">
        <f>'Actual Expenses'!D65</f>
        <v>0</v>
      </c>
      <c r="G44" s="482">
        <f>'Actual Expenses'!E65</f>
        <v>0</v>
      </c>
      <c r="H44" s="482">
        <f>'Actual Expenses'!F65</f>
        <v>0</v>
      </c>
      <c r="I44" s="482">
        <f>'Actual Expenses'!G65</f>
        <v>0</v>
      </c>
      <c r="J44" s="482">
        <f>'Actual Expenses'!H65</f>
        <v>0</v>
      </c>
      <c r="K44" s="483">
        <f t="shared" si="5"/>
        <v>0</v>
      </c>
      <c r="L44" s="484">
        <f>IF(Demand_1=NG_Demand,"n/a",'Evaluated Savings'!D21)</f>
        <v>0</v>
      </c>
      <c r="M44" s="484">
        <f>'Evaluated Savings'!E21</f>
        <v>0</v>
      </c>
      <c r="N44" s="484">
        <f>'Evaluated Savings'!G21</f>
        <v>0</v>
      </c>
      <c r="O44" s="484">
        <f>'Cost-Benefits'!F22</f>
        <v>0</v>
      </c>
      <c r="P44" s="482">
        <f>'Cost-Benefits'!G22</f>
        <v>0</v>
      </c>
      <c r="Q44" s="482">
        <f>'Cost-Benefits'!H22</f>
        <v>0</v>
      </c>
      <c r="R44" s="482">
        <f>'Cost-Benefits'!I22</f>
        <v>0</v>
      </c>
      <c r="S44" s="486" t="str">
        <f>'Cost-Benefits'!J22</f>
        <v>n/a</v>
      </c>
      <c r="T44" s="487" t="str">
        <f>'Cost-Benefits'!L22</f>
        <v>n/a</v>
      </c>
    </row>
    <row r="45" spans="2:20" x14ac:dyDescent="0.25">
      <c r="B45" s="481" t="str">
        <f t="shared" si="2"/>
        <v>Empty</v>
      </c>
      <c r="C45" s="481" t="str">
        <f t="shared" si="4"/>
        <v/>
      </c>
      <c r="D45" s="481" t="str">
        <f t="shared" si="4"/>
        <v/>
      </c>
      <c r="E45" s="481" t="str">
        <f t="shared" si="4"/>
        <v/>
      </c>
      <c r="F45" s="482">
        <f>'Actual Expenses'!D69</f>
        <v>0</v>
      </c>
      <c r="G45" s="482">
        <f>'Actual Expenses'!E69</f>
        <v>0</v>
      </c>
      <c r="H45" s="482">
        <f>'Actual Expenses'!F69</f>
        <v>0</v>
      </c>
      <c r="I45" s="482">
        <f>'Actual Expenses'!G69</f>
        <v>0</v>
      </c>
      <c r="J45" s="482">
        <f>'Actual Expenses'!H69</f>
        <v>0</v>
      </c>
      <c r="K45" s="483">
        <f t="shared" si="5"/>
        <v>0</v>
      </c>
      <c r="L45" s="484">
        <f>IF(Demand_1=NG_Demand,"n/a",'Evaluated Savings'!D22)</f>
        <v>0</v>
      </c>
      <c r="M45" s="484">
        <f>'Evaluated Savings'!E22</f>
        <v>0</v>
      </c>
      <c r="N45" s="484">
        <f>'Evaluated Savings'!G22</f>
        <v>0</v>
      </c>
      <c r="O45" s="484">
        <f>'Cost-Benefits'!F23</f>
        <v>0</v>
      </c>
      <c r="P45" s="482">
        <f>'Cost-Benefits'!G23</f>
        <v>0</v>
      </c>
      <c r="Q45" s="482">
        <f>'Cost-Benefits'!H23</f>
        <v>0</v>
      </c>
      <c r="R45" s="482">
        <f>'Cost-Benefits'!I23</f>
        <v>0</v>
      </c>
      <c r="S45" s="486" t="str">
        <f>'Cost-Benefits'!J23</f>
        <v>n/a</v>
      </c>
      <c r="T45" s="487" t="str">
        <f>'Cost-Benefits'!L23</f>
        <v>n/a</v>
      </c>
    </row>
    <row r="46" spans="2:20" ht="12.75" customHeight="1" x14ac:dyDescent="0.25">
      <c r="B46" s="481" t="str">
        <f t="shared" si="2"/>
        <v>Empty</v>
      </c>
      <c r="C46" s="481" t="str">
        <f t="shared" si="4"/>
        <v/>
      </c>
      <c r="D46" s="481" t="str">
        <f t="shared" si="4"/>
        <v/>
      </c>
      <c r="E46" s="481" t="str">
        <f t="shared" si="4"/>
        <v/>
      </c>
      <c r="F46" s="482">
        <f>'Actual Expenses'!D73</f>
        <v>0</v>
      </c>
      <c r="G46" s="482">
        <f>'Actual Expenses'!E73</f>
        <v>0</v>
      </c>
      <c r="H46" s="482">
        <f>'Actual Expenses'!F73</f>
        <v>0</v>
      </c>
      <c r="I46" s="482">
        <f>'Actual Expenses'!G73</f>
        <v>0</v>
      </c>
      <c r="J46" s="482">
        <f>'Actual Expenses'!H73</f>
        <v>0</v>
      </c>
      <c r="K46" s="483">
        <f t="shared" si="5"/>
        <v>0</v>
      </c>
      <c r="L46" s="484">
        <f>IF(Demand_1=NG_Demand,"n/a",'Evaluated Savings'!D23)</f>
        <v>0</v>
      </c>
      <c r="M46" s="484">
        <f>'Evaluated Savings'!E23</f>
        <v>0</v>
      </c>
      <c r="N46" s="484">
        <f>'Evaluated Savings'!G23</f>
        <v>0</v>
      </c>
      <c r="O46" s="484">
        <f>'Cost-Benefits'!F24</f>
        <v>0</v>
      </c>
      <c r="P46" s="482">
        <f>'Cost-Benefits'!G24</f>
        <v>0</v>
      </c>
      <c r="Q46" s="482">
        <f>'Cost-Benefits'!H24</f>
        <v>0</v>
      </c>
      <c r="R46" s="482">
        <f>'Cost-Benefits'!I24</f>
        <v>0</v>
      </c>
      <c r="S46" s="486" t="str">
        <f>'Cost-Benefits'!J24</f>
        <v>n/a</v>
      </c>
      <c r="T46" s="487" t="str">
        <f>'Cost-Benefits'!L24</f>
        <v>n/a</v>
      </c>
    </row>
    <row r="47" spans="2:20" ht="12.75" customHeight="1" x14ac:dyDescent="0.25">
      <c r="B47" s="481" t="str">
        <f t="shared" si="2"/>
        <v>Empty</v>
      </c>
      <c r="C47" s="481" t="str">
        <f t="shared" si="4"/>
        <v/>
      </c>
      <c r="D47" s="481" t="str">
        <f t="shared" si="4"/>
        <v/>
      </c>
      <c r="E47" s="481" t="str">
        <f t="shared" si="4"/>
        <v/>
      </c>
      <c r="F47" s="482">
        <f>'Actual Expenses'!D77</f>
        <v>0</v>
      </c>
      <c r="G47" s="482">
        <f>'Actual Expenses'!E77</f>
        <v>0</v>
      </c>
      <c r="H47" s="482">
        <f>'Actual Expenses'!F77</f>
        <v>0</v>
      </c>
      <c r="I47" s="482">
        <f>'Actual Expenses'!G77</f>
        <v>0</v>
      </c>
      <c r="J47" s="482">
        <f>'Actual Expenses'!H77</f>
        <v>0</v>
      </c>
      <c r="K47" s="483">
        <f t="shared" si="5"/>
        <v>0</v>
      </c>
      <c r="L47" s="484">
        <f>IF(Demand_1=NG_Demand,"n/a",'Evaluated Savings'!D24)</f>
        <v>0</v>
      </c>
      <c r="M47" s="484">
        <f>'Evaluated Savings'!E24</f>
        <v>0</v>
      </c>
      <c r="N47" s="484">
        <f>'Evaluated Savings'!G24</f>
        <v>0</v>
      </c>
      <c r="O47" s="484">
        <f>'Cost-Benefits'!F25</f>
        <v>0</v>
      </c>
      <c r="P47" s="482">
        <f>'Cost-Benefits'!G25</f>
        <v>0</v>
      </c>
      <c r="Q47" s="482">
        <f>'Cost-Benefits'!H25</f>
        <v>0</v>
      </c>
      <c r="R47" s="482">
        <f>'Cost-Benefits'!I25</f>
        <v>0</v>
      </c>
      <c r="S47" s="486" t="str">
        <f>'Cost-Benefits'!J25</f>
        <v>n/a</v>
      </c>
      <c r="T47" s="487" t="str">
        <f>'Cost-Benefits'!L25</f>
        <v>n/a</v>
      </c>
    </row>
    <row r="48" spans="2:20" x14ac:dyDescent="0.25">
      <c r="B48" s="481" t="str">
        <f t="shared" si="2"/>
        <v>Empty</v>
      </c>
      <c r="C48" s="481" t="str">
        <f t="shared" si="4"/>
        <v/>
      </c>
      <c r="D48" s="481" t="str">
        <f t="shared" si="4"/>
        <v/>
      </c>
      <c r="E48" s="481" t="str">
        <f t="shared" si="4"/>
        <v/>
      </c>
      <c r="F48" s="482">
        <f>'Actual Expenses'!D81</f>
        <v>0</v>
      </c>
      <c r="G48" s="482">
        <f>'Actual Expenses'!E81</f>
        <v>0</v>
      </c>
      <c r="H48" s="482">
        <f>'Actual Expenses'!F81</f>
        <v>0</v>
      </c>
      <c r="I48" s="482">
        <f>'Actual Expenses'!G81</f>
        <v>0</v>
      </c>
      <c r="J48" s="482">
        <f>'Actual Expenses'!H81</f>
        <v>0</v>
      </c>
      <c r="K48" s="483">
        <f t="shared" si="5"/>
        <v>0</v>
      </c>
      <c r="L48" s="484">
        <f>IF(Demand_1=NG_Demand,"n/a",'Evaluated Savings'!D25)</f>
        <v>0</v>
      </c>
      <c r="M48" s="484">
        <f>'Evaluated Savings'!E25</f>
        <v>0</v>
      </c>
      <c r="N48" s="484">
        <f>'Evaluated Savings'!G25</f>
        <v>0</v>
      </c>
      <c r="O48" s="484">
        <f>'Cost-Benefits'!F26</f>
        <v>0</v>
      </c>
      <c r="P48" s="482">
        <f>'Cost-Benefits'!G26</f>
        <v>0</v>
      </c>
      <c r="Q48" s="482">
        <f>'Cost-Benefits'!H26</f>
        <v>0</v>
      </c>
      <c r="R48" s="482">
        <f>'Cost-Benefits'!I26</f>
        <v>0</v>
      </c>
      <c r="S48" s="486" t="str">
        <f>'Cost-Benefits'!J26</f>
        <v>n/a</v>
      </c>
      <c r="T48" s="487" t="str">
        <f>'Cost-Benefits'!L26</f>
        <v>n/a</v>
      </c>
    </row>
    <row r="49" spans="2:20" x14ac:dyDescent="0.25">
      <c r="B49" s="256" t="str">
        <f t="shared" si="2"/>
        <v>Regulatory</v>
      </c>
      <c r="C49" s="485" t="str">
        <f>C24</f>
        <v>-</v>
      </c>
      <c r="D49" s="485" t="str">
        <f t="shared" ref="D49:E49" si="6">D24</f>
        <v>-</v>
      </c>
      <c r="E49" s="485" t="str">
        <f t="shared" si="6"/>
        <v>-</v>
      </c>
      <c r="F49" s="482"/>
      <c r="G49" s="482"/>
      <c r="H49" s="482"/>
      <c r="I49" s="482"/>
      <c r="J49" s="482"/>
      <c r="K49" s="483">
        <f>'Actual Expenses'!I91</f>
        <v>923.35</v>
      </c>
      <c r="L49" s="484"/>
      <c r="M49" s="484"/>
      <c r="N49" s="484"/>
      <c r="O49" s="484"/>
      <c r="P49" s="482"/>
      <c r="Q49" s="482"/>
      <c r="R49" s="482"/>
      <c r="S49" s="486"/>
      <c r="T49" s="487"/>
    </row>
    <row r="50" spans="2:20" x14ac:dyDescent="0.25">
      <c r="F50" s="482">
        <f>SUM(F29:F48)</f>
        <v>0</v>
      </c>
      <c r="G50" s="482">
        <f t="shared" ref="G50:T50" si="7">SUM(G29:G48)</f>
        <v>0</v>
      </c>
      <c r="H50" s="482">
        <f t="shared" si="7"/>
        <v>30271.94</v>
      </c>
      <c r="I50" s="482">
        <f t="shared" si="7"/>
        <v>2687.5</v>
      </c>
      <c r="J50" s="482">
        <f t="shared" si="7"/>
        <v>1000</v>
      </c>
      <c r="K50" s="483">
        <f>SUM(K29:K49)</f>
        <v>34882.79</v>
      </c>
      <c r="L50" s="484">
        <f t="shared" si="7"/>
        <v>5.1100000000000003</v>
      </c>
      <c r="M50" s="484">
        <f t="shared" si="7"/>
        <v>60720</v>
      </c>
      <c r="N50" s="484">
        <f t="shared" si="7"/>
        <v>809</v>
      </c>
      <c r="O50" s="484">
        <f t="shared" si="7"/>
        <v>608</v>
      </c>
      <c r="P50" s="482">
        <f t="shared" si="7"/>
        <v>5.7374999999999998</v>
      </c>
      <c r="Q50" s="482">
        <f t="shared" si="7"/>
        <v>94.100000000000009</v>
      </c>
      <c r="R50" s="482">
        <f t="shared" si="7"/>
        <v>88.362500000000011</v>
      </c>
      <c r="S50" s="486">
        <f t="shared" si="7"/>
        <v>42.171014492753628</v>
      </c>
      <c r="T50" s="487">
        <f t="shared" si="7"/>
        <v>1.4296535899049166E-2</v>
      </c>
    </row>
    <row r="53" spans="2:20" x14ac:dyDescent="0.25">
      <c r="B53" s="83" t="s">
        <v>563</v>
      </c>
      <c r="C53" s="646" t="s">
        <v>39</v>
      </c>
      <c r="D53" s="647"/>
      <c r="E53" s="647"/>
      <c r="F53" s="648"/>
      <c r="G53" s="646" t="s">
        <v>564</v>
      </c>
      <c r="H53" s="647"/>
      <c r="I53" s="647"/>
      <c r="J53" s="648"/>
      <c r="K53" s="646" t="s">
        <v>565</v>
      </c>
      <c r="L53" s="647"/>
      <c r="M53" s="647"/>
      <c r="N53" s="648"/>
      <c r="O53" s="646" t="s">
        <v>168</v>
      </c>
      <c r="P53" s="647"/>
      <c r="Q53" s="647"/>
      <c r="R53" s="648"/>
    </row>
    <row r="54" spans="2:20" x14ac:dyDescent="0.25">
      <c r="B54" s="479" t="str">
        <f t="shared" ref="B54:B74" si="8">B3</f>
        <v>Program Name</v>
      </c>
      <c r="C54" s="480" t="s">
        <v>517</v>
      </c>
      <c r="D54" s="480" t="s">
        <v>518</v>
      </c>
      <c r="E54" s="480" t="s">
        <v>566</v>
      </c>
      <c r="F54" s="480" t="s">
        <v>518</v>
      </c>
      <c r="G54" s="480" t="s">
        <v>519</v>
      </c>
      <c r="H54" s="480" t="s">
        <v>520</v>
      </c>
      <c r="I54" s="480" t="s">
        <v>519</v>
      </c>
      <c r="J54" s="480" t="s">
        <v>520</v>
      </c>
      <c r="K54" s="480" t="s">
        <v>519</v>
      </c>
      <c r="L54" s="480" t="s">
        <v>520</v>
      </c>
      <c r="M54" s="480" t="s">
        <v>519</v>
      </c>
      <c r="N54" s="480" t="s">
        <v>520</v>
      </c>
      <c r="O54" s="480" t="s">
        <v>519</v>
      </c>
      <c r="P54" s="480" t="s">
        <v>520</v>
      </c>
      <c r="Q54" s="480" t="s">
        <v>519</v>
      </c>
      <c r="R54" s="480" t="s">
        <v>520</v>
      </c>
    </row>
    <row r="55" spans="2:20" x14ac:dyDescent="0.25">
      <c r="B55" s="481" t="str">
        <f t="shared" si="8"/>
        <v>Residential Products</v>
      </c>
      <c r="C55" s="482">
        <f>'Prior Year Program'!F9</f>
        <v>21725</v>
      </c>
      <c r="D55" s="482">
        <f>'Prior Year Program'!G9</f>
        <v>11400</v>
      </c>
      <c r="E55" s="482">
        <f>'Prior Year Program'!H9</f>
        <v>39885</v>
      </c>
      <c r="F55" s="482">
        <f>'Prior Year Program'!I9</f>
        <v>1300</v>
      </c>
      <c r="G55" s="484">
        <f>'Prior Year Program'!K9</f>
        <v>103659</v>
      </c>
      <c r="H55" s="484">
        <f>'Prior Year Program'!L9</f>
        <v>36132</v>
      </c>
      <c r="I55" s="484">
        <f>'Prior Year Program'!M9</f>
        <v>79927</v>
      </c>
      <c r="J55" s="484">
        <f>'Prior Year Program'!N9</f>
        <v>7623</v>
      </c>
      <c r="K55" s="484">
        <f>IF(Demand_1=NG_Demand,"n/a",'Prior Year Program'!P9)</f>
        <v>8.3000000000000007</v>
      </c>
      <c r="L55" s="484">
        <f>IF(Demand_1=NG_Demand,"n/a",'Prior Year Program'!Q9)</f>
        <v>6</v>
      </c>
      <c r="M55" s="484">
        <f>IF(Demand_1=NG_Demand,"n/a",'Prior Year Program'!R9)</f>
        <v>15</v>
      </c>
      <c r="N55" s="484">
        <f>IF(Demand_1=NG_Demand,"n/a",'Prior Year Program'!S9)</f>
        <v>0.47</v>
      </c>
      <c r="O55" s="484">
        <f>'Prior Year Program'!U9</f>
        <v>475</v>
      </c>
      <c r="P55" s="484">
        <f>'Prior Year Program'!V9</f>
        <v>475</v>
      </c>
      <c r="Q55" s="484">
        <f>'Prior Year Program'!W9</f>
        <v>210</v>
      </c>
      <c r="R55" s="484">
        <f>'Prior Year Program'!X9</f>
        <v>10</v>
      </c>
    </row>
    <row r="56" spans="2:20" x14ac:dyDescent="0.25">
      <c r="B56" s="481" t="str">
        <f t="shared" si="8"/>
        <v>School-Based Energy Education</v>
      </c>
      <c r="C56" s="482">
        <f>'Prior Year Program'!F10</f>
        <v>14175</v>
      </c>
      <c r="D56" s="482">
        <f>'Prior Year Program'!G10</f>
        <v>12019</v>
      </c>
      <c r="E56" s="482">
        <f>'Prior Year Program'!H10</f>
        <v>16250</v>
      </c>
      <c r="F56" s="482">
        <f>'Prior Year Program'!I10</f>
        <v>12083</v>
      </c>
      <c r="G56" s="484">
        <f>'Prior Year Program'!K10</f>
        <v>92418</v>
      </c>
      <c r="H56" s="484">
        <f>'Prior Year Program'!L10</f>
        <v>15435</v>
      </c>
      <c r="I56" s="484">
        <f>'Prior Year Program'!M10</f>
        <v>23962</v>
      </c>
      <c r="J56" s="484">
        <f>'Prior Year Program'!N10</f>
        <v>15683</v>
      </c>
      <c r="K56" s="484">
        <f>IF(Demand_1=NG_Demand,"n/a",'Prior Year Program'!P10)</f>
        <v>8.5</v>
      </c>
      <c r="L56" s="484">
        <f>IF(Demand_1=NG_Demand,"n/a",'Prior Year Program'!Q10)</f>
        <v>2</v>
      </c>
      <c r="M56" s="484">
        <f>IF(Demand_1=NG_Demand,"n/a",'Prior Year Program'!R10)</f>
        <v>2</v>
      </c>
      <c r="N56" s="484">
        <f>IF(Demand_1=NG_Demand,"n/a",'Prior Year Program'!S10)</f>
        <v>2.5099999999999998</v>
      </c>
      <c r="O56" s="484">
        <f>'Prior Year Program'!U10</f>
        <v>350</v>
      </c>
      <c r="P56" s="484">
        <f>'Prior Year Program'!V10</f>
        <v>350</v>
      </c>
      <c r="Q56" s="484">
        <f>'Prior Year Program'!W10</f>
        <v>325</v>
      </c>
      <c r="R56" s="484">
        <f>'Prior Year Program'!X10</f>
        <v>334</v>
      </c>
    </row>
    <row r="57" spans="2:20" x14ac:dyDescent="0.25">
      <c r="B57" s="481" t="str">
        <f t="shared" si="8"/>
        <v>Weatherization</v>
      </c>
      <c r="C57" s="482">
        <f>'Prior Year Program'!F11</f>
        <v>42000</v>
      </c>
      <c r="D57" s="482">
        <f>'Prior Year Program'!G11</f>
        <v>0</v>
      </c>
      <c r="E57" s="482">
        <f>'Prior Year Program'!F11</f>
        <v>42000</v>
      </c>
      <c r="F57" s="482">
        <f>'Prior Year Program'!H11</f>
        <v>24454</v>
      </c>
      <c r="G57" s="484">
        <f>'Prior Year Program'!K11</f>
        <v>102270</v>
      </c>
      <c r="H57" s="484">
        <f>'Prior Year Program'!L11</f>
        <v>0</v>
      </c>
      <c r="I57" s="484">
        <f>'Prior Year Program'!M11</f>
        <v>62390</v>
      </c>
      <c r="J57" s="484">
        <f>'Prior Year Program'!N11</f>
        <v>13957</v>
      </c>
      <c r="K57" s="484">
        <f>IF(Demand_1=NG_Demand,"n/a",'Prior Year Program'!P11)</f>
        <v>14</v>
      </c>
      <c r="L57" s="484">
        <f>IF(Demand_1=NG_Demand,"n/a",'Prior Year Program'!Q11)</f>
        <v>0</v>
      </c>
      <c r="M57" s="484">
        <f>IF(Demand_1=NG_Demand,"n/a",'Prior Year Program'!R11)</f>
        <v>12.6</v>
      </c>
      <c r="N57" s="484">
        <f>IF(Demand_1=NG_Demand,"n/a",'Prior Year Program'!S11)</f>
        <v>9.44</v>
      </c>
      <c r="O57" s="484">
        <f>'Prior Year Program'!U11</f>
        <v>0</v>
      </c>
      <c r="P57" s="484">
        <f>'Prior Year Program'!V11</f>
        <v>0</v>
      </c>
      <c r="Q57" s="484">
        <f>'Prior Year Program'!W11</f>
        <v>15</v>
      </c>
      <c r="R57" s="484">
        <f>'Prior Year Program'!X11</f>
        <v>6</v>
      </c>
    </row>
    <row r="58" spans="2:20" x14ac:dyDescent="0.25">
      <c r="B58" s="481" t="str">
        <f t="shared" si="8"/>
        <v>Commercial and Industrial (Custom)</v>
      </c>
      <c r="C58" s="482">
        <f>'Prior Year Program'!F12</f>
        <v>8747</v>
      </c>
      <c r="D58" s="482">
        <f>'Prior Year Program'!G12</f>
        <v>0</v>
      </c>
      <c r="E58" s="482">
        <f>'Prior Year Program'!H11</f>
        <v>24454</v>
      </c>
      <c r="F58" s="482">
        <f>'Prior Year Program'!I11</f>
        <v>7151</v>
      </c>
      <c r="G58" s="484">
        <f>'Prior Year Program'!K12</f>
        <v>25929</v>
      </c>
      <c r="H58" s="484">
        <f>'Prior Year Program'!L12</f>
        <v>0</v>
      </c>
      <c r="I58" s="484">
        <f>'Prior Year Program'!M12</f>
        <v>15034</v>
      </c>
      <c r="J58" s="484">
        <f>'Prior Year Program'!N12</f>
        <v>0</v>
      </c>
      <c r="K58" s="484">
        <f>IF(Demand_1=NG_Demand,"n/a",'Prior Year Program'!P12)</f>
        <v>5.6</v>
      </c>
      <c r="L58" s="484">
        <f>IF(Demand_1=NG_Demand,"n/a",'Prior Year Program'!Q12)</f>
        <v>0</v>
      </c>
      <c r="M58" s="484">
        <f>IF(Demand_1=NG_Demand,"n/a",'Prior Year Program'!R12)</f>
        <v>5.3</v>
      </c>
      <c r="N58" s="484">
        <f>IF(Demand_1=NG_Demand,"n/a",'Prior Year Program'!S12)</f>
        <v>0</v>
      </c>
      <c r="O58" s="484">
        <f>'Prior Year Program'!U12</f>
        <v>0</v>
      </c>
      <c r="P58" s="484">
        <f>'Prior Year Program'!V12</f>
        <v>0</v>
      </c>
      <c r="Q58" s="484">
        <f>'Prior Year Program'!W12</f>
        <v>2</v>
      </c>
      <c r="R58" s="484">
        <f>'Prior Year Program'!X12</f>
        <v>0</v>
      </c>
    </row>
    <row r="59" spans="2:20" x14ac:dyDescent="0.25">
      <c r="B59" s="481" t="str">
        <f t="shared" si="8"/>
        <v>Commercial and Industrial (Prescriptive)</v>
      </c>
      <c r="C59" s="482">
        <f>'Prior Year Program'!F13</f>
        <v>17922</v>
      </c>
      <c r="D59" s="482">
        <f>'Prior Year Program'!G13</f>
        <v>0</v>
      </c>
      <c r="E59" s="482">
        <f>'Prior Year Program'!H12</f>
        <v>5812</v>
      </c>
      <c r="F59" s="482">
        <f>'Prior Year Program'!I12</f>
        <v>0</v>
      </c>
      <c r="G59" s="484">
        <f>'Prior Year Program'!K13</f>
        <v>99582</v>
      </c>
      <c r="H59" s="484">
        <f>'Prior Year Program'!L13</f>
        <v>0</v>
      </c>
      <c r="I59" s="484">
        <f>'Prior Year Program'!M13</f>
        <v>36643</v>
      </c>
      <c r="J59" s="484">
        <f>'Prior Year Program'!N13</f>
        <v>0</v>
      </c>
      <c r="K59" s="484">
        <f>IF(Demand_1=NG_Demand,"n/a",'Prior Year Program'!P13)</f>
        <v>19.3</v>
      </c>
      <c r="L59" s="484">
        <f>IF(Demand_1=NG_Demand,"n/a",'Prior Year Program'!Q13)</f>
        <v>0</v>
      </c>
      <c r="M59" s="484">
        <f>IF(Demand_1=NG_Demand,"n/a",'Prior Year Program'!R13)</f>
        <v>9.1999999999999993</v>
      </c>
      <c r="N59" s="484" t="e">
        <f>IF(Demand_1=NG_Demand,"n/a",'Prior Year Program'!#REF!)</f>
        <v>#REF!</v>
      </c>
      <c r="O59" s="484">
        <f>'Prior Year Program'!U13</f>
        <v>0</v>
      </c>
      <c r="P59" s="484">
        <f>'Prior Year Program'!V13</f>
        <v>0</v>
      </c>
      <c r="Q59" s="484">
        <f>'Prior Year Program'!W13</f>
        <v>2</v>
      </c>
      <c r="R59" s="484">
        <f>'Prior Year Program'!X13</f>
        <v>0</v>
      </c>
    </row>
    <row r="60" spans="2:20" x14ac:dyDescent="0.25">
      <c r="B60" s="481" t="str">
        <f t="shared" si="8"/>
        <v>Online Energy Calculator</v>
      </c>
      <c r="C60" s="482">
        <f>'Prior Year Program'!F14</f>
        <v>2000</v>
      </c>
      <c r="D60" s="482">
        <f>'Prior Year Program'!G14</f>
        <v>5790</v>
      </c>
      <c r="E60" s="482">
        <f>'Prior Year Program'!H14</f>
        <v>4000</v>
      </c>
      <c r="F60" s="482">
        <f>'Prior Year Program'!I14</f>
        <v>0</v>
      </c>
      <c r="G60" s="484">
        <f>'Prior Year Program'!K14</f>
        <v>0</v>
      </c>
      <c r="H60" s="484">
        <f>'Prior Year Program'!L14</f>
        <v>0</v>
      </c>
      <c r="I60" s="484">
        <f>'Prior Year Program'!M14</f>
        <v>0</v>
      </c>
      <c r="J60" s="484">
        <f>'Prior Year Program'!N14</f>
        <v>0</v>
      </c>
      <c r="K60" s="484">
        <f>IF(Demand_1=NG_Demand,"n/a",'Prior Year Program'!P14)</f>
        <v>0</v>
      </c>
      <c r="L60" s="484">
        <f>IF(Demand_1=NG_Demand,"n/a",'Prior Year Program'!Q14)</f>
        <v>0</v>
      </c>
      <c r="M60" s="484">
        <f>IF(Demand_1=NG_Demand,"n/a",'Prior Year Program'!R14)</f>
        <v>0</v>
      </c>
      <c r="N60" s="484">
        <f>IF(Demand_1=NG_Demand,"n/a",'Prior Year Program'!S13)</f>
        <v>0</v>
      </c>
      <c r="O60" s="484">
        <f>'Prior Year Program'!U14</f>
        <v>0</v>
      </c>
      <c r="P60" s="484">
        <f>'Prior Year Program'!V14</f>
        <v>0</v>
      </c>
      <c r="Q60" s="484">
        <f>'Prior Year Program'!W14</f>
        <v>0</v>
      </c>
      <c r="R60" s="484">
        <f>'Prior Year Program'!X14</f>
        <v>0</v>
      </c>
    </row>
    <row r="61" spans="2:20" x14ac:dyDescent="0.25">
      <c r="B61" s="481" t="str">
        <f t="shared" si="8"/>
        <v>Administration</v>
      </c>
      <c r="C61" s="482">
        <f>'Prior Year Program'!F15</f>
        <v>1409</v>
      </c>
      <c r="D61" s="482">
        <f>'Prior Year Program'!G15</f>
        <v>0</v>
      </c>
      <c r="E61" s="482">
        <f>'Prior Year Program'!H15</f>
        <v>10000</v>
      </c>
      <c r="F61" s="482">
        <f>'Prior Year Program'!I15</f>
        <v>0</v>
      </c>
      <c r="G61" s="484">
        <f>'Prior Year Program'!K15</f>
        <v>0</v>
      </c>
      <c r="H61" s="484">
        <f>'Prior Year Program'!L15</f>
        <v>0</v>
      </c>
      <c r="I61" s="484">
        <f>'Prior Year Program'!M15</f>
        <v>0</v>
      </c>
      <c r="J61" s="484">
        <f>'Prior Year Program'!N15</f>
        <v>0</v>
      </c>
      <c r="K61" s="484">
        <f>IF(Demand_1=NG_Demand,"n/a",'Prior Year Program'!P15)</f>
        <v>0</v>
      </c>
      <c r="L61" s="484">
        <f>IF(Demand_1=NG_Demand,"n/a",'Prior Year Program'!Q15)</f>
        <v>0</v>
      </c>
      <c r="M61" s="484">
        <f>IF(Demand_1=NG_Demand,"n/a",'Prior Year Program'!R15)</f>
        <v>0</v>
      </c>
      <c r="N61" s="484">
        <f>IF(Demand_1=NG_Demand,"n/a",'Prior Year Program'!S15)</f>
        <v>0</v>
      </c>
      <c r="O61" s="484">
        <f>'Prior Year Program'!U15</f>
        <v>0</v>
      </c>
      <c r="P61" s="484">
        <f>'Prior Year Program'!V15</f>
        <v>0</v>
      </c>
      <c r="Q61" s="484">
        <f>'Prior Year Program'!W15</f>
        <v>0</v>
      </c>
      <c r="R61" s="484">
        <f>'Prior Year Program'!X15</f>
        <v>0</v>
      </c>
    </row>
    <row r="62" spans="2:20" x14ac:dyDescent="0.25">
      <c r="B62" s="481" t="str">
        <f t="shared" si="8"/>
        <v>Marketing</v>
      </c>
      <c r="C62" s="482">
        <f>'Prior Year Program'!F16</f>
        <v>2000</v>
      </c>
      <c r="D62" s="482">
        <f>'Prior Year Program'!G16</f>
        <v>2052</v>
      </c>
      <c r="E62" s="482">
        <f>'Prior Year Program'!H16</f>
        <v>1400</v>
      </c>
      <c r="F62" s="482">
        <f>'Prior Year Program'!I16</f>
        <v>209</v>
      </c>
      <c r="G62" s="484">
        <f>'Prior Year Program'!K16</f>
        <v>0</v>
      </c>
      <c r="H62" s="484">
        <f>'Prior Year Program'!L16</f>
        <v>0</v>
      </c>
      <c r="I62" s="484">
        <f>'Prior Year Program'!M16</f>
        <v>0</v>
      </c>
      <c r="J62" s="484">
        <f>'Prior Year Program'!N16</f>
        <v>0</v>
      </c>
      <c r="K62" s="484">
        <f>IF(Demand_1=NG_Demand,"n/a",'Prior Year Program'!P16)</f>
        <v>0</v>
      </c>
      <c r="L62" s="484">
        <f>IF(Demand_1=NG_Demand,"n/a",'Prior Year Program'!Q16)</f>
        <v>0</v>
      </c>
      <c r="M62" s="484">
        <f>IF(Demand_1=NG_Demand,"n/a",'Prior Year Program'!R16)</f>
        <v>0</v>
      </c>
      <c r="N62" s="484">
        <f>IF(Demand_1=NG_Demand,"n/a",'Prior Year Program'!S16)</f>
        <v>0</v>
      </c>
      <c r="O62" s="484">
        <f>'Prior Year Program'!U16</f>
        <v>0</v>
      </c>
      <c r="P62" s="484">
        <f>'Prior Year Program'!V16</f>
        <v>0</v>
      </c>
      <c r="Q62" s="484">
        <f>'Prior Year Program'!W16</f>
        <v>0</v>
      </c>
      <c r="R62" s="484">
        <f>'Prior Year Program'!X16</f>
        <v>0</v>
      </c>
    </row>
    <row r="63" spans="2:20" x14ac:dyDescent="0.25">
      <c r="B63" s="481" t="str">
        <f t="shared" si="8"/>
        <v>EM&amp;V</v>
      </c>
      <c r="C63" s="482">
        <f>'Prior Year Program'!F17</f>
        <v>6891</v>
      </c>
      <c r="D63" s="482">
        <f>'Prior Year Program'!G17</f>
        <v>1808.91</v>
      </c>
      <c r="E63" s="482">
        <f>'Prior Year Program'!H17</f>
        <v>2500</v>
      </c>
      <c r="F63" s="482">
        <f>'Prior Year Program'!I17</f>
        <v>2500</v>
      </c>
      <c r="G63" s="484">
        <f>'Prior Year Program'!K17</f>
        <v>0</v>
      </c>
      <c r="H63" s="484">
        <f>'Prior Year Program'!L17</f>
        <v>0</v>
      </c>
      <c r="I63" s="484">
        <f>'Prior Year Program'!M17</f>
        <v>0</v>
      </c>
      <c r="J63" s="484">
        <f>'Prior Year Program'!N17</f>
        <v>0</v>
      </c>
      <c r="K63" s="484">
        <f>IF(Demand_1=NG_Demand,"n/a",'Prior Year Program'!P17)</f>
        <v>0</v>
      </c>
      <c r="L63" s="484">
        <f>IF(Demand_1=NG_Demand,"n/a",'Prior Year Program'!Q17)</f>
        <v>0</v>
      </c>
      <c r="M63" s="484">
        <f>IF(Demand_1=NG_Demand,"n/a",'Prior Year Program'!R17)</f>
        <v>0</v>
      </c>
      <c r="N63" s="484">
        <f>IF(Demand_1=NG_Demand,"n/a",'Prior Year Program'!S17)</f>
        <v>0</v>
      </c>
      <c r="O63" s="484">
        <f>'Prior Year Program'!U17</f>
        <v>0</v>
      </c>
      <c r="P63" s="484">
        <f>'Prior Year Program'!V17</f>
        <v>0</v>
      </c>
      <c r="Q63" s="484">
        <f>'Prior Year Program'!W17</f>
        <v>0</v>
      </c>
      <c r="R63" s="484">
        <f>'Prior Year Program'!X17</f>
        <v>0</v>
      </c>
    </row>
    <row r="64" spans="2:20" x14ac:dyDescent="0.25">
      <c r="B64" s="481" t="str">
        <f t="shared" si="8"/>
        <v>Empty</v>
      </c>
      <c r="C64" s="482">
        <f>'Prior Year Program'!F18</f>
        <v>0</v>
      </c>
      <c r="D64" s="482">
        <f>'Prior Year Program'!G18</f>
        <v>0</v>
      </c>
      <c r="E64" s="482">
        <f>'Prior Year Program'!H18</f>
        <v>0</v>
      </c>
      <c r="F64" s="482">
        <f>'Prior Year Program'!I18</f>
        <v>0</v>
      </c>
      <c r="G64" s="484">
        <f>'Prior Year Program'!K18</f>
        <v>0</v>
      </c>
      <c r="H64" s="484">
        <f>'Prior Year Program'!L18</f>
        <v>0</v>
      </c>
      <c r="I64" s="484">
        <f>'Prior Year Program'!M18</f>
        <v>0</v>
      </c>
      <c r="J64" s="484">
        <f>'Prior Year Program'!N18</f>
        <v>0</v>
      </c>
      <c r="K64" s="484">
        <f>IF(Demand_1=NG_Demand,"n/a",'Prior Year Program'!P18)</f>
        <v>0</v>
      </c>
      <c r="L64" s="484">
        <f>IF(Demand_1=NG_Demand,"n/a",'Prior Year Program'!Q18)</f>
        <v>0</v>
      </c>
      <c r="M64" s="484">
        <f>IF(Demand_1=NG_Demand,"n/a",'Prior Year Program'!R18)</f>
        <v>0</v>
      </c>
      <c r="N64" s="484">
        <f>IF(Demand_1=NG_Demand,"n/a",'Prior Year Program'!S18)</f>
        <v>0</v>
      </c>
      <c r="O64" s="484">
        <f>'Prior Year Program'!U18</f>
        <v>0</v>
      </c>
      <c r="P64" s="484">
        <f>'Prior Year Program'!V18</f>
        <v>0</v>
      </c>
      <c r="Q64" s="484">
        <f>'Prior Year Program'!W18</f>
        <v>0</v>
      </c>
      <c r="R64" s="484">
        <f>'Prior Year Program'!X18</f>
        <v>0</v>
      </c>
    </row>
    <row r="65" spans="2:18" x14ac:dyDescent="0.25">
      <c r="B65" s="481" t="str">
        <f t="shared" si="8"/>
        <v>Empty</v>
      </c>
      <c r="C65" s="482">
        <f>'Prior Year Program'!F19</f>
        <v>0</v>
      </c>
      <c r="D65" s="482">
        <f>'Prior Year Program'!G19</f>
        <v>0</v>
      </c>
      <c r="E65" s="482">
        <f>'Prior Year Program'!H19</f>
        <v>0</v>
      </c>
      <c r="F65" s="482">
        <f>'Prior Year Program'!I19</f>
        <v>0</v>
      </c>
      <c r="G65" s="484">
        <f>'Prior Year Program'!K19</f>
        <v>0</v>
      </c>
      <c r="H65" s="484">
        <f>'Prior Year Program'!L19</f>
        <v>0</v>
      </c>
      <c r="I65" s="484">
        <f>'Prior Year Program'!M19</f>
        <v>0</v>
      </c>
      <c r="J65" s="484">
        <f>'Prior Year Program'!N19</f>
        <v>0</v>
      </c>
      <c r="K65" s="484">
        <f>IF(Demand_1=NG_Demand,"n/a",'Prior Year Program'!P19)</f>
        <v>0</v>
      </c>
      <c r="L65" s="484">
        <f>IF(Demand_1=NG_Demand,"n/a",'Prior Year Program'!Q19)</f>
        <v>0</v>
      </c>
      <c r="M65" s="484">
        <f>IF(Demand_1=NG_Demand,"n/a",'Prior Year Program'!R19)</f>
        <v>0</v>
      </c>
      <c r="N65" s="484">
        <f>IF(Demand_1=NG_Demand,"n/a",'Prior Year Program'!S19)</f>
        <v>0</v>
      </c>
      <c r="O65" s="484">
        <f>'Prior Year Program'!U19</f>
        <v>0</v>
      </c>
      <c r="P65" s="484">
        <f>'Prior Year Program'!V19</f>
        <v>0</v>
      </c>
      <c r="Q65" s="484">
        <f>'Prior Year Program'!W19</f>
        <v>0</v>
      </c>
      <c r="R65" s="484">
        <f>'Prior Year Program'!X19</f>
        <v>0</v>
      </c>
    </row>
    <row r="66" spans="2:18" x14ac:dyDescent="0.25">
      <c r="B66" s="481" t="str">
        <f t="shared" si="8"/>
        <v>Empty</v>
      </c>
      <c r="C66" s="482">
        <f>'Prior Year Program'!F20</f>
        <v>0</v>
      </c>
      <c r="D66" s="482">
        <f>'Prior Year Program'!G20</f>
        <v>0</v>
      </c>
      <c r="E66" s="482">
        <f>'Prior Year Program'!H20</f>
        <v>0</v>
      </c>
      <c r="F66" s="482">
        <f>'Prior Year Program'!I20</f>
        <v>0</v>
      </c>
      <c r="G66" s="484">
        <f>'Prior Year Program'!K20</f>
        <v>0</v>
      </c>
      <c r="H66" s="484">
        <f>'Prior Year Program'!L20</f>
        <v>0</v>
      </c>
      <c r="I66" s="484">
        <f>'Prior Year Program'!M20</f>
        <v>0</v>
      </c>
      <c r="J66" s="484">
        <f>'Prior Year Program'!N20</f>
        <v>0</v>
      </c>
      <c r="K66" s="484">
        <f>IF(Demand_1=NG_Demand,"n/a",'Prior Year Program'!P20)</f>
        <v>0</v>
      </c>
      <c r="L66" s="484">
        <f>IF(Demand_1=NG_Demand,"n/a",'Prior Year Program'!Q20)</f>
        <v>0</v>
      </c>
      <c r="M66" s="484">
        <f>IF(Demand_1=NG_Demand,"n/a",'Prior Year Program'!R20)</f>
        <v>0</v>
      </c>
      <c r="N66" s="484">
        <f>IF(Demand_1=NG_Demand,"n/a",'Prior Year Program'!S20)</f>
        <v>0</v>
      </c>
      <c r="O66" s="484">
        <f>'Prior Year Program'!U20</f>
        <v>0</v>
      </c>
      <c r="P66" s="484">
        <f>'Prior Year Program'!V20</f>
        <v>0</v>
      </c>
      <c r="Q66" s="484">
        <f>'Prior Year Program'!W20</f>
        <v>0</v>
      </c>
      <c r="R66" s="484">
        <f>'Prior Year Program'!X20</f>
        <v>0</v>
      </c>
    </row>
    <row r="67" spans="2:18" x14ac:dyDescent="0.25">
      <c r="B67" s="481" t="str">
        <f t="shared" si="8"/>
        <v>Empty</v>
      </c>
      <c r="C67" s="482">
        <f>'Prior Year Program'!F21</f>
        <v>0</v>
      </c>
      <c r="D67" s="482">
        <f>'Prior Year Program'!G21</f>
        <v>0</v>
      </c>
      <c r="E67" s="482">
        <f>'Prior Year Program'!H21</f>
        <v>0</v>
      </c>
      <c r="F67" s="482">
        <f>'Prior Year Program'!I21</f>
        <v>0</v>
      </c>
      <c r="G67" s="484">
        <f>'Prior Year Program'!K21</f>
        <v>0</v>
      </c>
      <c r="H67" s="484">
        <f>'Prior Year Program'!L21</f>
        <v>0</v>
      </c>
      <c r="I67" s="484">
        <f>'Prior Year Program'!M21</f>
        <v>0</v>
      </c>
      <c r="J67" s="484">
        <f>'Prior Year Program'!N21</f>
        <v>0</v>
      </c>
      <c r="K67" s="484">
        <f>IF(Demand_1=NG_Demand,"n/a",'Prior Year Program'!P21)</f>
        <v>0</v>
      </c>
      <c r="L67" s="484">
        <f>IF(Demand_1=NG_Demand,"n/a",'Prior Year Program'!Q21)</f>
        <v>0</v>
      </c>
      <c r="M67" s="484">
        <f>IF(Demand_1=NG_Demand,"n/a",'Prior Year Program'!R21)</f>
        <v>0</v>
      </c>
      <c r="N67" s="484">
        <f>IF(Demand_1=NG_Demand,"n/a",'Prior Year Program'!S21)</f>
        <v>0</v>
      </c>
      <c r="O67" s="484">
        <f>'Prior Year Program'!U21</f>
        <v>0</v>
      </c>
      <c r="P67" s="484">
        <f>'Prior Year Program'!V21</f>
        <v>0</v>
      </c>
      <c r="Q67" s="484">
        <f>'Prior Year Program'!W21</f>
        <v>0</v>
      </c>
      <c r="R67" s="484">
        <f>'Prior Year Program'!X21</f>
        <v>0</v>
      </c>
    </row>
    <row r="68" spans="2:18" x14ac:dyDescent="0.25">
      <c r="B68" s="481" t="str">
        <f t="shared" si="8"/>
        <v>Empty</v>
      </c>
      <c r="C68" s="482">
        <f>'Prior Year Program'!F22</f>
        <v>0</v>
      </c>
      <c r="D68" s="482">
        <f>'Prior Year Program'!G22</f>
        <v>0</v>
      </c>
      <c r="E68" s="482">
        <f>'Prior Year Program'!H22</f>
        <v>0</v>
      </c>
      <c r="F68" s="482">
        <f>'Prior Year Program'!I22</f>
        <v>0</v>
      </c>
      <c r="G68" s="484">
        <f>'Prior Year Program'!K22</f>
        <v>0</v>
      </c>
      <c r="H68" s="484">
        <f>'Prior Year Program'!L22</f>
        <v>0</v>
      </c>
      <c r="I68" s="484">
        <f>'Prior Year Program'!M22</f>
        <v>0</v>
      </c>
      <c r="J68" s="484">
        <f>'Prior Year Program'!N22</f>
        <v>0</v>
      </c>
      <c r="K68" s="484">
        <f>IF(Demand_1=NG_Demand,"n/a",'Prior Year Program'!P22)</f>
        <v>0</v>
      </c>
      <c r="L68" s="484">
        <f>IF(Demand_1=NG_Demand,"n/a",'Prior Year Program'!Q22)</f>
        <v>0</v>
      </c>
      <c r="M68" s="484">
        <f>IF(Demand_1=NG_Demand,"n/a",'Prior Year Program'!R22)</f>
        <v>0</v>
      </c>
      <c r="N68" s="484">
        <f>IF(Demand_1=NG_Demand,"n/a",'Prior Year Program'!S22)</f>
        <v>0</v>
      </c>
      <c r="O68" s="484">
        <f>'Prior Year Program'!U22</f>
        <v>0</v>
      </c>
      <c r="P68" s="484">
        <f>'Prior Year Program'!V22</f>
        <v>0</v>
      </c>
      <c r="Q68" s="484">
        <f>'Prior Year Program'!W22</f>
        <v>0</v>
      </c>
      <c r="R68" s="484">
        <f>'Prior Year Program'!X22</f>
        <v>0</v>
      </c>
    </row>
    <row r="69" spans="2:18" x14ac:dyDescent="0.25">
      <c r="B69" s="481" t="str">
        <f t="shared" si="8"/>
        <v>Empty</v>
      </c>
      <c r="C69" s="482">
        <f>'Prior Year Program'!F23</f>
        <v>0</v>
      </c>
      <c r="D69" s="482">
        <f>'Prior Year Program'!G23</f>
        <v>0</v>
      </c>
      <c r="E69" s="482">
        <f>'Prior Year Program'!H23</f>
        <v>0</v>
      </c>
      <c r="F69" s="482">
        <f>'Prior Year Program'!I23</f>
        <v>0</v>
      </c>
      <c r="G69" s="484">
        <f>'Prior Year Program'!K23</f>
        <v>0</v>
      </c>
      <c r="H69" s="484">
        <f>'Prior Year Program'!L23</f>
        <v>0</v>
      </c>
      <c r="I69" s="484">
        <f>'Prior Year Program'!M23</f>
        <v>0</v>
      </c>
      <c r="J69" s="484">
        <f>'Prior Year Program'!N23</f>
        <v>0</v>
      </c>
      <c r="K69" s="484">
        <f>IF(Demand_1=NG_Demand,"n/a",'Prior Year Program'!P23)</f>
        <v>0</v>
      </c>
      <c r="L69" s="484">
        <f>IF(Demand_1=NG_Demand,"n/a",'Prior Year Program'!Q23)</f>
        <v>0</v>
      </c>
      <c r="M69" s="484">
        <f>IF(Demand_1=NG_Demand,"n/a",'Prior Year Program'!R23)</f>
        <v>0</v>
      </c>
      <c r="N69" s="484">
        <f>IF(Demand_1=NG_Demand,"n/a",'Prior Year Program'!S23)</f>
        <v>0</v>
      </c>
      <c r="O69" s="484">
        <f>'Prior Year Program'!U23</f>
        <v>0</v>
      </c>
      <c r="P69" s="484">
        <f>'Prior Year Program'!V23</f>
        <v>0</v>
      </c>
      <c r="Q69" s="484">
        <f>'Prior Year Program'!W23</f>
        <v>0</v>
      </c>
      <c r="R69" s="484">
        <f>'Prior Year Program'!X23</f>
        <v>0</v>
      </c>
    </row>
    <row r="70" spans="2:18" x14ac:dyDescent="0.25">
      <c r="B70" s="481" t="str">
        <f t="shared" si="8"/>
        <v>Empty</v>
      </c>
      <c r="C70" s="482">
        <f>'Prior Year Program'!F24</f>
        <v>0</v>
      </c>
      <c r="D70" s="482">
        <f>'Prior Year Program'!G24</f>
        <v>0</v>
      </c>
      <c r="E70" s="482">
        <f>'Prior Year Program'!H24</f>
        <v>0</v>
      </c>
      <c r="F70" s="482">
        <f>'Prior Year Program'!I24</f>
        <v>0</v>
      </c>
      <c r="G70" s="484">
        <f>'Prior Year Program'!K24</f>
        <v>0</v>
      </c>
      <c r="H70" s="484">
        <f>'Prior Year Program'!L24</f>
        <v>0</v>
      </c>
      <c r="I70" s="484">
        <f>'Prior Year Program'!M24</f>
        <v>0</v>
      </c>
      <c r="J70" s="484">
        <f>'Prior Year Program'!N24</f>
        <v>0</v>
      </c>
      <c r="K70" s="484">
        <f>IF(Demand_1=NG_Demand,"n/a",'Prior Year Program'!P24)</f>
        <v>0</v>
      </c>
      <c r="L70" s="484">
        <f>IF(Demand_1=NG_Demand,"n/a",'Prior Year Program'!Q24)</f>
        <v>0</v>
      </c>
      <c r="M70" s="484">
        <f>IF(Demand_1=NG_Demand,"n/a",'Prior Year Program'!R24)</f>
        <v>0</v>
      </c>
      <c r="N70" s="484">
        <f>IF(Demand_1=NG_Demand,"n/a",'Prior Year Program'!S24)</f>
        <v>0</v>
      </c>
      <c r="O70" s="484">
        <f>'Prior Year Program'!U24</f>
        <v>0</v>
      </c>
      <c r="P70" s="484">
        <f>'Prior Year Program'!V24</f>
        <v>0</v>
      </c>
      <c r="Q70" s="484">
        <f>'Prior Year Program'!W24</f>
        <v>0</v>
      </c>
      <c r="R70" s="484">
        <f>'Prior Year Program'!X24</f>
        <v>0</v>
      </c>
    </row>
    <row r="71" spans="2:18" x14ac:dyDescent="0.25">
      <c r="B71" s="481" t="str">
        <f t="shared" si="8"/>
        <v>Empty</v>
      </c>
      <c r="C71" s="482">
        <f>'Prior Year Program'!F25</f>
        <v>0</v>
      </c>
      <c r="D71" s="482">
        <f>'Prior Year Program'!G25</f>
        <v>0</v>
      </c>
      <c r="E71" s="482">
        <f>'Prior Year Program'!H25</f>
        <v>0</v>
      </c>
      <c r="F71" s="482">
        <f>'Prior Year Program'!I25</f>
        <v>0</v>
      </c>
      <c r="G71" s="484">
        <f>'Prior Year Program'!K25</f>
        <v>0</v>
      </c>
      <c r="H71" s="484">
        <f>'Prior Year Program'!L25</f>
        <v>0</v>
      </c>
      <c r="I71" s="484">
        <f>'Prior Year Program'!M25</f>
        <v>0</v>
      </c>
      <c r="J71" s="484">
        <f>'Prior Year Program'!N25</f>
        <v>0</v>
      </c>
      <c r="K71" s="484">
        <f>IF(Demand_1=NG_Demand,"n/a",'Prior Year Program'!P25)</f>
        <v>0</v>
      </c>
      <c r="L71" s="484">
        <f>IF(Demand_1=NG_Demand,"n/a",'Prior Year Program'!Q25)</f>
        <v>0</v>
      </c>
      <c r="M71" s="484">
        <f>IF(Demand_1=NG_Demand,"n/a",'Prior Year Program'!R25)</f>
        <v>0</v>
      </c>
      <c r="N71" s="484">
        <f>IF(Demand_1=NG_Demand,"n/a",'Prior Year Program'!S25)</f>
        <v>0</v>
      </c>
      <c r="O71" s="484">
        <f>'Prior Year Program'!U25</f>
        <v>0</v>
      </c>
      <c r="P71" s="484">
        <f>'Prior Year Program'!V25</f>
        <v>0</v>
      </c>
      <c r="Q71" s="484">
        <f>'Prior Year Program'!W25</f>
        <v>0</v>
      </c>
      <c r="R71" s="484">
        <f>'Prior Year Program'!X25</f>
        <v>0</v>
      </c>
    </row>
    <row r="72" spans="2:18" x14ac:dyDescent="0.25">
      <c r="B72" s="481" t="str">
        <f t="shared" si="8"/>
        <v>Empty</v>
      </c>
      <c r="C72" s="482">
        <f>'Prior Year Program'!F26</f>
        <v>0</v>
      </c>
      <c r="D72" s="482">
        <f>'Prior Year Program'!G26</f>
        <v>0</v>
      </c>
      <c r="E72" s="482">
        <f>'Prior Year Program'!H26</f>
        <v>0</v>
      </c>
      <c r="F72" s="482">
        <f>'Prior Year Program'!I26</f>
        <v>0</v>
      </c>
      <c r="G72" s="484">
        <f>'Prior Year Program'!K26</f>
        <v>0</v>
      </c>
      <c r="H72" s="484">
        <f>'Prior Year Program'!L26</f>
        <v>0</v>
      </c>
      <c r="I72" s="484">
        <f>'Prior Year Program'!M26</f>
        <v>0</v>
      </c>
      <c r="J72" s="484">
        <f>'Prior Year Program'!N26</f>
        <v>0</v>
      </c>
      <c r="K72" s="484">
        <f>IF(Demand_1=NG_Demand,"n/a",'Prior Year Program'!P26)</f>
        <v>0</v>
      </c>
      <c r="L72" s="484">
        <f>IF(Demand_1=NG_Demand,"n/a",'Prior Year Program'!Q26)</f>
        <v>0</v>
      </c>
      <c r="M72" s="484">
        <f>IF(Demand_1=NG_Demand,"n/a",'Prior Year Program'!R26)</f>
        <v>0</v>
      </c>
      <c r="N72" s="484">
        <f>IF(Demand_1=NG_Demand,"n/a",'Prior Year Program'!S26)</f>
        <v>0</v>
      </c>
      <c r="O72" s="484">
        <f>'Prior Year Program'!U26</f>
        <v>0</v>
      </c>
      <c r="P72" s="484">
        <f>'Prior Year Program'!V26</f>
        <v>0</v>
      </c>
      <c r="Q72" s="484">
        <f>'Prior Year Program'!W26</f>
        <v>0</v>
      </c>
      <c r="R72" s="484">
        <f>'Prior Year Program'!X26</f>
        <v>0</v>
      </c>
    </row>
    <row r="73" spans="2:18" x14ac:dyDescent="0.25">
      <c r="B73" s="481" t="str">
        <f t="shared" si="8"/>
        <v>Empty</v>
      </c>
      <c r="C73" s="482">
        <f>'Prior Year Program'!F27</f>
        <v>0</v>
      </c>
      <c r="D73" s="482">
        <f>'Prior Year Program'!G27</f>
        <v>0</v>
      </c>
      <c r="E73" s="482">
        <f>'Prior Year Program'!H27</f>
        <v>0</v>
      </c>
      <c r="F73" s="482">
        <f>'Prior Year Program'!I27</f>
        <v>0</v>
      </c>
      <c r="G73" s="484">
        <f>'Prior Year Program'!K27</f>
        <v>0</v>
      </c>
      <c r="H73" s="484">
        <f>'Prior Year Program'!L27</f>
        <v>0</v>
      </c>
      <c r="I73" s="484">
        <f>'Prior Year Program'!M27</f>
        <v>0</v>
      </c>
      <c r="J73" s="484">
        <f>'Prior Year Program'!N27</f>
        <v>0</v>
      </c>
      <c r="K73" s="484">
        <f>IF(Demand_1=NG_Demand,"n/a",'Prior Year Program'!P27)</f>
        <v>0</v>
      </c>
      <c r="L73" s="484">
        <f>IF(Demand_1=NG_Demand,"n/a",'Prior Year Program'!Q27)</f>
        <v>0</v>
      </c>
      <c r="M73" s="484">
        <f>IF(Demand_1=NG_Demand,"n/a",'Prior Year Program'!R27)</f>
        <v>0</v>
      </c>
      <c r="N73" s="484">
        <f>IF(Demand_1=NG_Demand,"n/a",'Prior Year Program'!S27)</f>
        <v>0</v>
      </c>
      <c r="O73" s="484">
        <f>'Prior Year Program'!U27</f>
        <v>0</v>
      </c>
      <c r="P73" s="484">
        <f>'Prior Year Program'!V27</f>
        <v>0</v>
      </c>
      <c r="Q73" s="484">
        <f>'Prior Year Program'!W27</f>
        <v>0</v>
      </c>
      <c r="R73" s="484">
        <f>'Prior Year Program'!X27</f>
        <v>0</v>
      </c>
    </row>
    <row r="74" spans="2:18" x14ac:dyDescent="0.25">
      <c r="B74" s="481" t="str">
        <f t="shared" si="8"/>
        <v>Empty</v>
      </c>
      <c r="C74" s="482">
        <f>'Prior Year Program'!F28</f>
        <v>0</v>
      </c>
      <c r="D74" s="482">
        <f>'Prior Year Program'!G28</f>
        <v>0</v>
      </c>
      <c r="E74" s="482">
        <f>'Prior Year Program'!H28</f>
        <v>0</v>
      </c>
      <c r="F74" s="482">
        <f>'Prior Year Program'!I28</f>
        <v>0</v>
      </c>
      <c r="G74" s="484">
        <f>'Prior Year Program'!K28</f>
        <v>0</v>
      </c>
      <c r="H74" s="484">
        <f>'Prior Year Program'!L28</f>
        <v>0</v>
      </c>
      <c r="I74" s="484">
        <f>'Prior Year Program'!M28</f>
        <v>0</v>
      </c>
      <c r="J74" s="484">
        <f>'Prior Year Program'!N28</f>
        <v>0</v>
      </c>
      <c r="K74" s="484">
        <f>IF(Demand_1=NG_Demand,"n/a",'Prior Year Program'!P28)</f>
        <v>0</v>
      </c>
      <c r="L74" s="484">
        <f>IF(Demand_1=NG_Demand,"n/a",'Prior Year Program'!Q28)</f>
        <v>0</v>
      </c>
      <c r="M74" s="484">
        <f>IF(Demand_1=NG_Demand,"n/a",'Prior Year Program'!R28)</f>
        <v>0</v>
      </c>
      <c r="N74" s="484">
        <f>IF(Demand_1=NG_Demand,"n/a",'Prior Year Program'!S28)</f>
        <v>0</v>
      </c>
      <c r="O74" s="484">
        <f>'Prior Year Program'!U28</f>
        <v>0</v>
      </c>
      <c r="P74" s="484">
        <f>'Prior Year Program'!V28</f>
        <v>0</v>
      </c>
      <c r="Q74" s="484">
        <f>'Prior Year Program'!W28</f>
        <v>0</v>
      </c>
      <c r="R74" s="484">
        <f>'Prior Year Program'!X28</f>
        <v>0</v>
      </c>
    </row>
  </sheetData>
  <mergeCells count="4">
    <mergeCell ref="C53:F53"/>
    <mergeCell ref="G53:J53"/>
    <mergeCell ref="K53:N53"/>
    <mergeCell ref="O53:R5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0000"/>
  </sheetPr>
  <dimension ref="A2:J22"/>
  <sheetViews>
    <sheetView zoomScale="75" zoomScaleNormal="75" workbookViewId="0">
      <selection activeCell="P31" sqref="P31"/>
    </sheetView>
  </sheetViews>
  <sheetFormatPr defaultRowHeight="13.2" x14ac:dyDescent="0.25"/>
  <cols>
    <col min="2" max="2" width="36.77734375" bestFit="1" customWidth="1"/>
    <col min="3" max="3" width="39" bestFit="1" customWidth="1"/>
    <col min="4" max="4" width="21.88671875" bestFit="1" customWidth="1"/>
    <col min="5" max="5" width="23" bestFit="1" customWidth="1"/>
    <col min="6" max="6" width="8.109375" bestFit="1" customWidth="1"/>
    <col min="7" max="7" width="1.44140625" customWidth="1"/>
    <col min="9" max="9" width="1.44140625" customWidth="1"/>
    <col min="10" max="10" width="45.109375" customWidth="1"/>
  </cols>
  <sheetData>
    <row r="2" spans="1:10" x14ac:dyDescent="0.25">
      <c r="A2" s="479" t="s">
        <v>499</v>
      </c>
      <c r="B2" s="479" t="s">
        <v>82</v>
      </c>
      <c r="C2" s="479" t="str">
        <f>Data!B3</f>
        <v>Program Name</v>
      </c>
      <c r="D2" s="479" t="str">
        <f>Data!C3</f>
        <v>Sector</v>
      </c>
      <c r="E2" s="479" t="str">
        <f>Data!E3</f>
        <v>Channel</v>
      </c>
      <c r="F2" s="488" t="s">
        <v>567</v>
      </c>
      <c r="G2" s="115"/>
      <c r="H2" s="488" t="s">
        <v>551</v>
      </c>
      <c r="I2" s="115"/>
      <c r="J2" s="479" t="s">
        <v>82</v>
      </c>
    </row>
    <row r="3" spans="1:10" x14ac:dyDescent="0.25">
      <c r="A3" s="481">
        <f>COUNTIF($B$3:$B$22,"&lt;="&amp;B3)</f>
        <v>18</v>
      </c>
      <c r="B3" s="481" t="str">
        <f>IF(Data!B4="Empty","*Hide*",Data!B4)</f>
        <v>Residential Products</v>
      </c>
      <c r="C3" s="481" t="str">
        <f>VLOOKUP(SMALL($A$3:$A$22,ROW()-2),$A$3:$B$22,2,FALSE)</f>
        <v>*Hide*</v>
      </c>
      <c r="D3" s="481" t="e">
        <f>VLOOKUP($C3,Data!$B$4:$E$23,MATCH(D$2,Data!$B$3:$E$3,0),FALSE)</f>
        <v>#N/A</v>
      </c>
      <c r="E3" s="481" t="e">
        <f>VLOOKUP($C3,Data!$B$4:$E$23,MATCH(E$2,Data!$B$3:$E$3,0),FALSE)</f>
        <v>#N/A</v>
      </c>
      <c r="F3" s="489">
        <f>IF(ISERROR(D3),MAX(List!$C$5:$C$17)+2,IF(E3=List!$E$10,MAX(List!$C$5:$C$17)+1,VLOOKUP(D3,List!$B$5:$C$17,2,FALSE)))</f>
        <v>13</v>
      </c>
      <c r="G3" s="115"/>
      <c r="H3" s="489">
        <f>RANK(F3,$F$3:$F$22,-1)+COUNTIF($F$3:F3,F3)-1</f>
        <v>10</v>
      </c>
      <c r="I3" s="115"/>
      <c r="J3" s="481" t="str">
        <f ca="1">OFFSET(C$3,MATCH(SMALL(H$3:H$22,ROW()-ROW(H$3)+1),H$3:H$22,0)-1,0)</f>
        <v>Residential Products</v>
      </c>
    </row>
    <row r="4" spans="1:10" x14ac:dyDescent="0.25">
      <c r="A4" s="481">
        <f t="shared" ref="A4:A22" si="0">COUNTIF($B$3:$B$22,"&lt;="&amp;B4)</f>
        <v>19</v>
      </c>
      <c r="B4" s="481" t="str">
        <f>IF(Data!B5="Empty","*Hide*",Data!B5)</f>
        <v>School-Based Energy Education</v>
      </c>
      <c r="C4" s="481" t="str">
        <f t="shared" ref="C4:C22" si="1">VLOOKUP(SMALL($A$3:$A$22,ROW()-2),$A$3:$B$22,2,FALSE)</f>
        <v>*Hide*</v>
      </c>
      <c r="D4" s="481" t="e">
        <f>VLOOKUP($C4,Data!$B$4:$E$23,MATCH(D$2,Data!$B$3:$E$3,0),FALSE)</f>
        <v>#N/A</v>
      </c>
      <c r="E4" s="481" t="e">
        <f>VLOOKUP($C4,Data!$B$4:$E$23,MATCH(E$2,Data!$B$3:$E$3,0),FALSE)</f>
        <v>#N/A</v>
      </c>
      <c r="F4" s="489">
        <f>IF(ISERROR(D4),MAX(List!$C$5:$C$17)+2,IF(E4=List!$E$10,MAX(List!$C$5:$C$17)+1,VLOOKUP(D4,List!$B$5:$C$17,2,FALSE)))</f>
        <v>13</v>
      </c>
      <c r="G4" s="115"/>
      <c r="H4" s="489">
        <f>RANK(F4,$F$3:$F$22,-1)+COUNTIF($F$3:F4,F4)-1</f>
        <v>11</v>
      </c>
      <c r="I4" s="115"/>
      <c r="J4" s="481" t="str">
        <f t="shared" ref="J4:J22" ca="1" si="2">OFFSET(C$3,MATCH(SMALL(H$3:H$22,ROW()-ROW(H$3)+1),H$3:H$22,0)-1,0)</f>
        <v>School-Based Energy Education</v>
      </c>
    </row>
    <row r="5" spans="1:10" x14ac:dyDescent="0.25">
      <c r="A5" s="481">
        <f t="shared" si="0"/>
        <v>20</v>
      </c>
      <c r="B5" s="481" t="str">
        <f>IF(Data!B6="Empty","*Hide*",Data!B6)</f>
        <v>Weatherization</v>
      </c>
      <c r="C5" s="481" t="str">
        <f t="shared" si="1"/>
        <v>*Hide*</v>
      </c>
      <c r="D5" s="481" t="e">
        <f>VLOOKUP($C5,Data!$B$4:$E$23,MATCH(D$2,Data!$B$3:$E$3,0),FALSE)</f>
        <v>#N/A</v>
      </c>
      <c r="E5" s="481" t="e">
        <f>VLOOKUP($C5,Data!$B$4:$E$23,MATCH(E$2,Data!$B$3:$E$3,0),FALSE)</f>
        <v>#N/A</v>
      </c>
      <c r="F5" s="489">
        <f>IF(ISERROR(D5),MAX(List!$C$5:$C$17)+2,IF(E5=List!$E$10,MAX(List!$C$5:$C$17)+1,VLOOKUP(D5,List!$B$5:$C$17,2,FALSE)))</f>
        <v>13</v>
      </c>
      <c r="G5" s="115"/>
      <c r="H5" s="489">
        <f>RANK(F5,$F$3:$F$22,-1)+COUNTIF($F$3:F5,F5)-1</f>
        <v>12</v>
      </c>
      <c r="I5" s="115"/>
      <c r="J5" s="481" t="str">
        <f t="shared" ca="1" si="2"/>
        <v>Weatherization</v>
      </c>
    </row>
    <row r="6" spans="1:10" x14ac:dyDescent="0.25">
      <c r="A6" s="481">
        <f t="shared" si="0"/>
        <v>13</v>
      </c>
      <c r="B6" s="481" t="str">
        <f>IF(Data!B7="Empty","*Hide*",Data!B7)</f>
        <v>Commercial and Industrial (Custom)</v>
      </c>
      <c r="C6" s="481" t="str">
        <f t="shared" si="1"/>
        <v>*Hide*</v>
      </c>
      <c r="D6" s="481" t="e">
        <f>VLOOKUP($C6,Data!$B$4:$E$23,MATCH(D$2,Data!$B$3:$E$3,0),FALSE)</f>
        <v>#N/A</v>
      </c>
      <c r="E6" s="481" t="e">
        <f>VLOOKUP($C6,Data!$B$4:$E$23,MATCH(E$2,Data!$B$3:$E$3,0),FALSE)</f>
        <v>#N/A</v>
      </c>
      <c r="F6" s="489">
        <f>IF(ISERROR(D6),MAX(List!$C$5:$C$17)+2,IF(E6=List!$E$10,MAX(List!$C$5:$C$17)+1,VLOOKUP(D6,List!$B$5:$C$17,2,FALSE)))</f>
        <v>13</v>
      </c>
      <c r="G6" s="115"/>
      <c r="H6" s="489">
        <f>RANK(F6,$F$3:$F$22,-1)+COUNTIF($F$3:F6,F6)-1</f>
        <v>13</v>
      </c>
      <c r="I6" s="115"/>
      <c r="J6" s="481" t="str">
        <f t="shared" ca="1" si="2"/>
        <v>Commercial and Industrial (Custom)</v>
      </c>
    </row>
    <row r="7" spans="1:10" x14ac:dyDescent="0.25">
      <c r="A7" s="481">
        <f t="shared" si="0"/>
        <v>14</v>
      </c>
      <c r="B7" s="481" t="str">
        <f>IF(Data!B8="Empty","*Hide*",Data!B8)</f>
        <v>Commercial and Industrial (Prescriptive)</v>
      </c>
      <c r="C7" s="481" t="str">
        <f t="shared" si="1"/>
        <v>*Hide*</v>
      </c>
      <c r="D7" s="481" t="e">
        <f>VLOOKUP($C7,Data!$B$4:$E$23,MATCH(D$2,Data!$B$3:$E$3,0),FALSE)</f>
        <v>#N/A</v>
      </c>
      <c r="E7" s="481" t="e">
        <f>VLOOKUP($C7,Data!$B$4:$E$23,MATCH(E$2,Data!$B$3:$E$3,0),FALSE)</f>
        <v>#N/A</v>
      </c>
      <c r="F7" s="489">
        <f>IF(ISERROR(D7),MAX(List!$C$5:$C$17)+2,IF(E7=List!$E$10,MAX(List!$C$5:$C$17)+1,VLOOKUP(D7,List!$B$5:$C$17,2,FALSE)))</f>
        <v>13</v>
      </c>
      <c r="G7" s="115"/>
      <c r="H7" s="489">
        <f>RANK(F7,$F$3:$F$22,-1)+COUNTIF($F$3:F7,F7)-1</f>
        <v>14</v>
      </c>
      <c r="I7" s="115"/>
      <c r="J7" s="481" t="str">
        <f t="shared" ca="1" si="2"/>
        <v>Commercial and Industrial (Prescriptive)</v>
      </c>
    </row>
    <row r="8" spans="1:10" x14ac:dyDescent="0.25">
      <c r="A8" s="481">
        <f t="shared" si="0"/>
        <v>17</v>
      </c>
      <c r="B8" s="481" t="str">
        <f>IF(Data!B9="Empty","*Hide*",Data!B9)</f>
        <v>Online Energy Calculator</v>
      </c>
      <c r="C8" s="481" t="str">
        <f t="shared" si="1"/>
        <v>*Hide*</v>
      </c>
      <c r="D8" s="481" t="e">
        <f>VLOOKUP($C8,Data!$B$4:$E$23,MATCH(D$2,Data!$B$3:$E$3,0),FALSE)</f>
        <v>#N/A</v>
      </c>
      <c r="E8" s="481" t="e">
        <f>VLOOKUP($C8,Data!$B$4:$E$23,MATCH(E$2,Data!$B$3:$E$3,0),FALSE)</f>
        <v>#N/A</v>
      </c>
      <c r="F8" s="489">
        <f>IF(ISERROR(D8),MAX(List!$C$5:$C$17)+2,IF(E8=List!$E$10,MAX(List!$C$5:$C$17)+1,VLOOKUP(D8,List!$B$5:$C$17,2,FALSE)))</f>
        <v>13</v>
      </c>
      <c r="G8" s="115"/>
      <c r="H8" s="489">
        <f>RANK(F8,$F$3:$F$22,-1)+COUNTIF($F$3:F8,F8)-1</f>
        <v>15</v>
      </c>
      <c r="I8" s="115"/>
      <c r="J8" s="481" t="str">
        <f t="shared" ca="1" si="2"/>
        <v>Administration</v>
      </c>
    </row>
    <row r="9" spans="1:10" x14ac:dyDescent="0.25">
      <c r="A9" s="481">
        <f t="shared" si="0"/>
        <v>12</v>
      </c>
      <c r="B9" s="481" t="str">
        <f>IF(Data!B10="Empty","*Hide*",Data!B10)</f>
        <v>Administration</v>
      </c>
      <c r="C9" s="481" t="str">
        <f t="shared" si="1"/>
        <v>*Hide*</v>
      </c>
      <c r="D9" s="481" t="e">
        <f>VLOOKUP($C9,Data!$B$4:$E$23,MATCH(D$2,Data!$B$3:$E$3,0),FALSE)</f>
        <v>#N/A</v>
      </c>
      <c r="E9" s="481" t="e">
        <f>VLOOKUP($C9,Data!$B$4:$E$23,MATCH(E$2,Data!$B$3:$E$3,0),FALSE)</f>
        <v>#N/A</v>
      </c>
      <c r="F9" s="489">
        <f>IF(ISERROR(D9),MAX(List!$C$5:$C$17)+2,IF(E9=List!$E$10,MAX(List!$C$5:$C$17)+1,VLOOKUP(D9,List!$B$5:$C$17,2,FALSE)))</f>
        <v>13</v>
      </c>
      <c r="G9" s="115"/>
      <c r="H9" s="489">
        <f>RANK(F9,$F$3:$F$22,-1)+COUNTIF($F$3:F9,F9)-1</f>
        <v>16</v>
      </c>
      <c r="I9" s="115"/>
      <c r="J9" s="481" t="str">
        <f t="shared" ca="1" si="2"/>
        <v>Marketing</v>
      </c>
    </row>
    <row r="10" spans="1:10" x14ac:dyDescent="0.25">
      <c r="A10" s="481">
        <f t="shared" si="0"/>
        <v>16</v>
      </c>
      <c r="B10" s="481" t="str">
        <f>IF(Data!B11="Empty","*Hide*",Data!B11)</f>
        <v>Marketing</v>
      </c>
      <c r="C10" s="481" t="str">
        <f t="shared" si="1"/>
        <v>*Hide*</v>
      </c>
      <c r="D10" s="481" t="e">
        <f>VLOOKUP($C10,Data!$B$4:$E$23,MATCH(D$2,Data!$B$3:$E$3,0),FALSE)</f>
        <v>#N/A</v>
      </c>
      <c r="E10" s="481" t="e">
        <f>VLOOKUP($C10,Data!$B$4:$E$23,MATCH(E$2,Data!$B$3:$E$3,0),FALSE)</f>
        <v>#N/A</v>
      </c>
      <c r="F10" s="489">
        <f>IF(ISERROR(D10),MAX(List!$C$5:$C$17)+2,IF(E10=List!$E$10,MAX(List!$C$5:$C$17)+1,VLOOKUP(D10,List!$B$5:$C$17,2,FALSE)))</f>
        <v>13</v>
      </c>
      <c r="G10" s="115"/>
      <c r="H10" s="489">
        <f>RANK(F10,$F$3:$F$22,-1)+COUNTIF($F$3:F10,F10)-1</f>
        <v>17</v>
      </c>
      <c r="I10" s="115"/>
      <c r="J10" s="481" t="str">
        <f t="shared" ca="1" si="2"/>
        <v>Online Energy Calculator</v>
      </c>
    </row>
    <row r="11" spans="1:10" x14ac:dyDescent="0.25">
      <c r="A11" s="481">
        <f t="shared" si="0"/>
        <v>15</v>
      </c>
      <c r="B11" s="481" t="str">
        <f>IF(Data!B12="Empty","*Hide*",Data!B12)</f>
        <v>EM&amp;V</v>
      </c>
      <c r="C11" s="481" t="str">
        <f t="shared" si="1"/>
        <v>*Hide*</v>
      </c>
      <c r="D11" s="481" t="e">
        <f>VLOOKUP($C11,Data!$B$4:$E$23,MATCH(D$2,Data!$B$3:$E$3,0),FALSE)</f>
        <v>#N/A</v>
      </c>
      <c r="E11" s="481" t="e">
        <f>VLOOKUP($C11,Data!$B$4:$E$23,MATCH(E$2,Data!$B$3:$E$3,0),FALSE)</f>
        <v>#N/A</v>
      </c>
      <c r="F11" s="489">
        <f>IF(ISERROR(D11),MAX(List!$C$5:$C$17)+2,IF(E11=List!$E$10,MAX(List!$C$5:$C$17)+1,VLOOKUP(D11,List!$B$5:$C$17,2,FALSE)))</f>
        <v>13</v>
      </c>
      <c r="G11" s="115"/>
      <c r="H11" s="489">
        <f>RANK(F11,$F$3:$F$22,-1)+COUNTIF($F$3:F11,F11)-1</f>
        <v>18</v>
      </c>
      <c r="I11" s="115"/>
      <c r="J11" s="481" t="str">
        <f t="shared" ca="1" si="2"/>
        <v>EM&amp;V</v>
      </c>
    </row>
    <row r="12" spans="1:10" x14ac:dyDescent="0.25">
      <c r="A12" s="481">
        <f t="shared" si="0"/>
        <v>11</v>
      </c>
      <c r="B12" s="481" t="str">
        <f>IF(Data!B13="Empty","*Hide*",Data!B13)</f>
        <v>*Hide*</v>
      </c>
      <c r="C12" s="481" t="str">
        <f t="shared" si="1"/>
        <v>*Hide*</v>
      </c>
      <c r="D12" s="481" t="e">
        <f>VLOOKUP($C12,Data!$B$4:$E$23,MATCH(D$2,Data!$B$3:$E$3,0),FALSE)</f>
        <v>#N/A</v>
      </c>
      <c r="E12" s="481" t="e">
        <f>VLOOKUP($C12,Data!$B$4:$E$23,MATCH(E$2,Data!$B$3:$E$3,0),FALSE)</f>
        <v>#N/A</v>
      </c>
      <c r="F12" s="489">
        <f>IF(ISERROR(D12),MAX(List!$C$5:$C$17)+2,IF(E12=List!$E$10,MAX(List!$C$5:$C$17)+1,VLOOKUP(D12,List!$B$5:$C$17,2,FALSE)))</f>
        <v>13</v>
      </c>
      <c r="G12" s="115"/>
      <c r="H12" s="489">
        <f>RANK(F12,$F$3:$F$22,-1)+COUNTIF($F$3:F12,F12)-1</f>
        <v>19</v>
      </c>
      <c r="I12" s="115"/>
      <c r="J12" s="481" t="str">
        <f t="shared" ca="1" si="2"/>
        <v>*Hide*</v>
      </c>
    </row>
    <row r="13" spans="1:10" x14ac:dyDescent="0.25">
      <c r="A13" s="481">
        <f t="shared" si="0"/>
        <v>11</v>
      </c>
      <c r="B13" s="481" t="str">
        <f>IF(Data!B14="Empty","*Hide*",Data!B14)</f>
        <v>*Hide*</v>
      </c>
      <c r="C13" s="481" t="str">
        <f t="shared" si="1"/>
        <v>*Hide*</v>
      </c>
      <c r="D13" s="481" t="e">
        <f>VLOOKUP($C13,Data!$B$4:$E$23,MATCH(D$2,Data!$B$3:$E$3,0),FALSE)</f>
        <v>#N/A</v>
      </c>
      <c r="E13" s="481" t="e">
        <f>VLOOKUP($C13,Data!$B$4:$E$23,MATCH(E$2,Data!$B$3:$E$3,0),FALSE)</f>
        <v>#N/A</v>
      </c>
      <c r="F13" s="489">
        <f>IF(ISERROR(D13),MAX(List!$C$5:$C$17)+2,IF(E13=List!$E$10,MAX(List!$C$5:$C$17)+1,VLOOKUP(D13,List!$B$5:$C$17,2,FALSE)))</f>
        <v>13</v>
      </c>
      <c r="G13" s="115"/>
      <c r="H13" s="489">
        <f>RANK(F13,$F$3:$F$22,-1)+COUNTIF($F$3:F13,F13)-1</f>
        <v>20</v>
      </c>
      <c r="I13" s="115"/>
      <c r="J13" s="481" t="str">
        <f t="shared" ca="1" si="2"/>
        <v>*Hide*</v>
      </c>
    </row>
    <row r="14" spans="1:10" x14ac:dyDescent="0.25">
      <c r="A14" s="481">
        <f t="shared" si="0"/>
        <v>11</v>
      </c>
      <c r="B14" s="481" t="str">
        <f>IF(Data!B15="Empty","*Hide*",Data!B15)</f>
        <v>*Hide*</v>
      </c>
      <c r="C14" s="481" t="str">
        <f t="shared" si="1"/>
        <v>Administration</v>
      </c>
      <c r="D14" s="481" t="str">
        <f>VLOOKUP($C14,Data!$B$4:$E$23,MATCH(D$2,Data!$B$3:$E$3,0),FALSE)</f>
        <v>All Classes</v>
      </c>
      <c r="E14" s="481" t="str">
        <f>VLOOKUP($C14,Data!$B$4:$E$23,MATCH(E$2,Data!$B$3:$E$3,0),FALSE)</f>
        <v>Utility Outreach (email/direct mail)</v>
      </c>
      <c r="F14" s="489">
        <f>IF(ISERROR(D14),MAX(List!$C$5:$C$17)+2,IF(E14=List!$E$10,MAX(List!$C$5:$C$17)+1,VLOOKUP(D14,List!$B$5:$C$17,2,FALSE)))</f>
        <v>9</v>
      </c>
      <c r="G14" s="115"/>
      <c r="H14" s="489">
        <f>RANK(F14,$F$3:$F$22,-1)+COUNTIF($F$3:F14,F14)-1</f>
        <v>6</v>
      </c>
      <c r="I14" s="115"/>
      <c r="J14" s="481" t="str">
        <f t="shared" ca="1" si="2"/>
        <v>*Hide*</v>
      </c>
    </row>
    <row r="15" spans="1:10" x14ac:dyDescent="0.25">
      <c r="A15" s="481">
        <f t="shared" si="0"/>
        <v>11</v>
      </c>
      <c r="B15" s="481" t="str">
        <f>IF(Data!B16="Empty","*Hide*",Data!B16)</f>
        <v>*Hide*</v>
      </c>
      <c r="C15" s="481" t="str">
        <f t="shared" si="1"/>
        <v>Commercial and Industrial (Custom)</v>
      </c>
      <c r="D15" s="481" t="str">
        <f>VLOOKUP($C15,Data!$B$4:$E$23,MATCH(D$2,Data!$B$3:$E$3,0),FALSE)</f>
        <v>Commercial &amp; Industrial</v>
      </c>
      <c r="E15" s="481" t="str">
        <f>VLOOKUP($C15,Data!$B$4:$E$23,MATCH(E$2,Data!$B$3:$E$3,0),FALSE)</f>
        <v>Trade Ally</v>
      </c>
      <c r="F15" s="489">
        <f>IF(ISERROR(D15),MAX(List!$C$5:$C$17)+2,IF(E15=List!$E$10,MAX(List!$C$5:$C$17)+1,VLOOKUP(D15,List!$B$5:$C$17,2,FALSE)))</f>
        <v>4</v>
      </c>
      <c r="G15" s="115"/>
      <c r="H15" s="489">
        <f>RANK(F15,$F$3:$F$22,-1)+COUNTIF($F$3:F15,F15)-1</f>
        <v>4</v>
      </c>
      <c r="I15" s="115"/>
      <c r="J15" s="481" t="str">
        <f t="shared" ca="1" si="2"/>
        <v>*Hide*</v>
      </c>
    </row>
    <row r="16" spans="1:10" x14ac:dyDescent="0.25">
      <c r="A16" s="481">
        <f t="shared" si="0"/>
        <v>11</v>
      </c>
      <c r="B16" s="481" t="str">
        <f>IF(Data!B17="Empty","*Hide*",Data!B17)</f>
        <v>*Hide*</v>
      </c>
      <c r="C16" s="481" t="str">
        <f t="shared" si="1"/>
        <v>Commercial and Industrial (Prescriptive)</v>
      </c>
      <c r="D16" s="481" t="str">
        <f>VLOOKUP($C16,Data!$B$4:$E$23,MATCH(D$2,Data!$B$3:$E$3,0),FALSE)</f>
        <v>Commercial &amp; Industrial</v>
      </c>
      <c r="E16" s="481" t="str">
        <f>VLOOKUP($C16,Data!$B$4:$E$23,MATCH(E$2,Data!$B$3:$E$3,0),FALSE)</f>
        <v>Trade Ally</v>
      </c>
      <c r="F16" s="489">
        <f>IF(ISERROR(D16),MAX(List!$C$5:$C$17)+2,IF(E16=List!$E$10,MAX(List!$C$5:$C$17)+1,VLOOKUP(D16,List!$B$5:$C$17,2,FALSE)))</f>
        <v>4</v>
      </c>
      <c r="G16" s="115"/>
      <c r="H16" s="489">
        <f>RANK(F16,$F$3:$F$22,-1)+COUNTIF($F$3:F16,F16)-1</f>
        <v>5</v>
      </c>
      <c r="I16" s="115"/>
      <c r="J16" s="481" t="str">
        <f t="shared" ca="1" si="2"/>
        <v>*Hide*</v>
      </c>
    </row>
    <row r="17" spans="1:10" x14ac:dyDescent="0.25">
      <c r="A17" s="481">
        <f t="shared" si="0"/>
        <v>11</v>
      </c>
      <c r="B17" s="481" t="str">
        <f>IF(Data!B18="Empty","*Hide*",Data!B18)</f>
        <v>*Hide*</v>
      </c>
      <c r="C17" s="481" t="str">
        <f t="shared" si="1"/>
        <v>EM&amp;V</v>
      </c>
      <c r="D17" s="481" t="str">
        <f>VLOOKUP($C17,Data!$B$4:$E$23,MATCH(D$2,Data!$B$3:$E$3,0),FALSE)</f>
        <v>All Classes</v>
      </c>
      <c r="E17" s="481" t="str">
        <f>VLOOKUP($C17,Data!$B$4:$E$23,MATCH(E$2,Data!$B$3:$E$3,0),FALSE)</f>
        <v>Statewide Administrator</v>
      </c>
      <c r="F17" s="489">
        <f>IF(ISERROR(D17),MAX(List!$C$5:$C$17)+2,IF(E17=List!$E$10,MAX(List!$C$5:$C$17)+1,VLOOKUP(D17,List!$B$5:$C$17,2,FALSE)))</f>
        <v>12</v>
      </c>
      <c r="G17" s="115"/>
      <c r="H17" s="489">
        <f>RANK(F17,$F$3:$F$22,-1)+COUNTIF($F$3:F17,F17)-1</f>
        <v>9</v>
      </c>
      <c r="I17" s="115"/>
      <c r="J17" s="481" t="str">
        <f t="shared" ca="1" si="2"/>
        <v>*Hide*</v>
      </c>
    </row>
    <row r="18" spans="1:10" x14ac:dyDescent="0.25">
      <c r="A18" s="481">
        <f t="shared" si="0"/>
        <v>11</v>
      </c>
      <c r="B18" s="481" t="str">
        <f>IF(Data!B19="Empty","*Hide*",Data!B19)</f>
        <v>*Hide*</v>
      </c>
      <c r="C18" s="481" t="str">
        <f t="shared" si="1"/>
        <v>Marketing</v>
      </c>
      <c r="D18" s="481" t="str">
        <f>VLOOKUP($C18,Data!$B$4:$E$23,MATCH(D$2,Data!$B$3:$E$3,0),FALSE)</f>
        <v>All Classes</v>
      </c>
      <c r="E18" s="481" t="str">
        <f>VLOOKUP($C18,Data!$B$4:$E$23,MATCH(E$2,Data!$B$3:$E$3,0),FALSE)</f>
        <v>Utility Outreach (email/direct mail)</v>
      </c>
      <c r="F18" s="489">
        <f>IF(ISERROR(D18),MAX(List!$C$5:$C$17)+2,IF(E18=List!$E$10,MAX(List!$C$5:$C$17)+1,VLOOKUP(D18,List!$B$5:$C$17,2,FALSE)))</f>
        <v>9</v>
      </c>
      <c r="G18" s="115"/>
      <c r="H18" s="489">
        <f>RANK(F18,$F$3:$F$22,-1)+COUNTIF($F$3:F18,F18)-1</f>
        <v>7</v>
      </c>
      <c r="I18" s="115"/>
      <c r="J18" s="481" t="str">
        <f t="shared" ca="1" si="2"/>
        <v>*Hide*</v>
      </c>
    </row>
    <row r="19" spans="1:10" x14ac:dyDescent="0.25">
      <c r="A19" s="481">
        <f t="shared" si="0"/>
        <v>11</v>
      </c>
      <c r="B19" s="481" t="str">
        <f>IF(Data!B20="Empty","*Hide*",Data!B20)</f>
        <v>*Hide*</v>
      </c>
      <c r="C19" s="481" t="str">
        <f t="shared" si="1"/>
        <v>Online Energy Calculator</v>
      </c>
      <c r="D19" s="481" t="str">
        <f>VLOOKUP($C19,Data!$B$4:$E$23,MATCH(D$2,Data!$B$3:$E$3,0),FALSE)</f>
        <v>All Classes</v>
      </c>
      <c r="E19" s="481" t="str">
        <f>VLOOKUP($C19,Data!$B$4:$E$23,MATCH(E$2,Data!$B$3:$E$3,0),FALSE)</f>
        <v>Trade Ally</v>
      </c>
      <c r="F19" s="489">
        <f>IF(ISERROR(D19),MAX(List!$C$5:$C$17)+2,IF(E19=List!$E$10,MAX(List!$C$5:$C$17)+1,VLOOKUP(D19,List!$B$5:$C$17,2,FALSE)))</f>
        <v>9</v>
      </c>
      <c r="G19" s="115"/>
      <c r="H19" s="489">
        <f>RANK(F19,$F$3:$F$22,-1)+COUNTIF($F$3:F19,F19)-1</f>
        <v>8</v>
      </c>
      <c r="I19" s="115"/>
      <c r="J19" s="481" t="str">
        <f t="shared" ca="1" si="2"/>
        <v>*Hide*</v>
      </c>
    </row>
    <row r="20" spans="1:10" x14ac:dyDescent="0.25">
      <c r="A20" s="481">
        <f t="shared" si="0"/>
        <v>11</v>
      </c>
      <c r="B20" s="481" t="str">
        <f>IF(Data!B21="Empty","*Hide*",Data!B21)</f>
        <v>*Hide*</v>
      </c>
      <c r="C20" s="481" t="str">
        <f t="shared" si="1"/>
        <v>Residential Products</v>
      </c>
      <c r="D20" s="481" t="str">
        <f>VLOOKUP($C20,Data!$B$4:$E$23,MATCH(D$2,Data!$B$3:$E$3,0),FALSE)</f>
        <v>Residential</v>
      </c>
      <c r="E20" s="481" t="str">
        <f>VLOOKUP($C20,Data!$B$4:$E$23,MATCH(E$2,Data!$B$3:$E$3,0),FALSE)</f>
        <v>Trade Ally</v>
      </c>
      <c r="F20" s="489">
        <f>IF(ISERROR(D20),MAX(List!$C$5:$C$17)+2,IF(E20=List!$E$10,MAX(List!$C$5:$C$17)+1,VLOOKUP(D20,List!$B$5:$C$17,2,FALSE)))</f>
        <v>1</v>
      </c>
      <c r="G20" s="115"/>
      <c r="H20" s="489">
        <f>RANK(F20,$F$3:$F$22,-1)+COUNTIF($F$3:F20,F20)-1</f>
        <v>1</v>
      </c>
      <c r="I20" s="115"/>
      <c r="J20" s="481" t="str">
        <f t="shared" ca="1" si="2"/>
        <v>*Hide*</v>
      </c>
    </row>
    <row r="21" spans="1:10" x14ac:dyDescent="0.25">
      <c r="A21" s="481">
        <f t="shared" si="0"/>
        <v>11</v>
      </c>
      <c r="B21" s="481" t="str">
        <f>IF(Data!B22="Empty","*Hide*",Data!B22)</f>
        <v>*Hide*</v>
      </c>
      <c r="C21" s="481" t="str">
        <f t="shared" si="1"/>
        <v>School-Based Energy Education</v>
      </c>
      <c r="D21" s="481" t="str">
        <f>VLOOKUP($C21,Data!$B$4:$E$23,MATCH(D$2,Data!$B$3:$E$3,0),FALSE)</f>
        <v>Residential</v>
      </c>
      <c r="E21" s="481" t="str">
        <f>VLOOKUP($C21,Data!$B$4:$E$23,MATCH(E$2,Data!$B$3:$E$3,0),FALSE)</f>
        <v>Self-Install</v>
      </c>
      <c r="F21" s="489">
        <f>IF(ISERROR(D21),MAX(List!$C$5:$C$17)+2,IF(E21=List!$E$10,MAX(List!$C$5:$C$17)+1,VLOOKUP(D21,List!$B$5:$C$17,2,FALSE)))</f>
        <v>1</v>
      </c>
      <c r="G21" s="115"/>
      <c r="H21" s="489">
        <f>RANK(F21,$F$3:$F$22,-1)+COUNTIF($F$3:F21,F21)-1</f>
        <v>2</v>
      </c>
      <c r="I21" s="115"/>
      <c r="J21" s="481" t="str">
        <f t="shared" ca="1" si="2"/>
        <v>*Hide*</v>
      </c>
    </row>
    <row r="22" spans="1:10" x14ac:dyDescent="0.25">
      <c r="A22" s="481">
        <f t="shared" si="0"/>
        <v>11</v>
      </c>
      <c r="B22" s="481" t="str">
        <f>IF(Data!B23="Empty","*Hide*",Data!B23)</f>
        <v>*Hide*</v>
      </c>
      <c r="C22" s="481" t="str">
        <f t="shared" si="1"/>
        <v>Weatherization</v>
      </c>
      <c r="D22" s="481" t="str">
        <f>VLOOKUP($C22,Data!$B$4:$E$23,MATCH(D$2,Data!$B$3:$E$3,0),FALSE)</f>
        <v>Residential</v>
      </c>
      <c r="E22" s="481" t="str">
        <f>VLOOKUP($C22,Data!$B$4:$E$23,MATCH(E$2,Data!$B$3:$E$3,0),FALSE)</f>
        <v>Trade Ally</v>
      </c>
      <c r="F22" s="489">
        <f>IF(ISERROR(D22),MAX(List!$C$5:$C$17)+2,IF(E22=List!$E$10,MAX(List!$C$5:$C$17)+1,VLOOKUP(D22,List!$B$5:$C$17,2,FALSE)))</f>
        <v>1</v>
      </c>
      <c r="G22" s="115"/>
      <c r="H22" s="489">
        <f>RANK(F22,$F$3:$F$22,-1)+COUNTIF($F$3:F22,F22)-1</f>
        <v>3</v>
      </c>
      <c r="I22" s="115"/>
      <c r="J22" s="481" t="str">
        <f t="shared" ca="1" si="2"/>
        <v>*Hide*</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M18"/>
  <sheetViews>
    <sheetView showGridLines="0" topLeftCell="A2" zoomScaleNormal="100" workbookViewId="0">
      <selection activeCell="C13" sqref="C13:D14"/>
    </sheetView>
  </sheetViews>
  <sheetFormatPr defaultColWidth="9.109375" defaultRowHeight="13.8" x14ac:dyDescent="0.3"/>
  <cols>
    <col min="1" max="1" width="1" style="2" customWidth="1"/>
    <col min="2" max="3" width="12.77734375" style="2" customWidth="1"/>
    <col min="4" max="4" width="14.77734375" style="2" customWidth="1"/>
    <col min="5" max="5" width="12.44140625" style="2" customWidth="1"/>
    <col min="6" max="6" width="12.77734375" style="2" bestFit="1" customWidth="1"/>
    <col min="7" max="7" width="12.44140625" style="2" bestFit="1" customWidth="1"/>
    <col min="8" max="8" width="6.77734375" style="2" customWidth="1"/>
    <col min="9" max="9" width="6.109375" style="2" customWidth="1"/>
    <col min="10" max="10" width="12.109375" style="2" bestFit="1" customWidth="1"/>
    <col min="11" max="11" width="11.44140625" style="2" customWidth="1"/>
    <col min="12" max="12" width="9.44140625" style="2" bestFit="1" customWidth="1"/>
    <col min="13" max="13" width="1.21875" style="2" customWidth="1"/>
    <col min="14" max="16384" width="9.109375" style="2"/>
  </cols>
  <sheetData>
    <row r="1" spans="1:13" ht="5.0999999999999996" customHeight="1" thickBot="1" x14ac:dyDescent="0.35"/>
    <row r="2" spans="1:13" ht="38.25" customHeight="1" thickBot="1" x14ac:dyDescent="0.35">
      <c r="B2" s="561" t="s">
        <v>531</v>
      </c>
      <c r="C2" s="561"/>
      <c r="D2" s="561"/>
      <c r="E2" s="561"/>
      <c r="F2" s="561"/>
      <c r="G2" s="561"/>
      <c r="H2" s="561"/>
      <c r="I2" s="561"/>
      <c r="J2" s="561"/>
      <c r="K2" s="561"/>
      <c r="L2" s="561"/>
    </row>
    <row r="3" spans="1:13" ht="4.6500000000000004" customHeight="1" thickBot="1" x14ac:dyDescent="0.35"/>
    <row r="4" spans="1:13" ht="23.4" thickBot="1" x14ac:dyDescent="0.45">
      <c r="B4" s="658" t="str">
        <f>Titles!F2&amp;" Portfolio Summary"</f>
        <v>2025 Portfolio Summary</v>
      </c>
      <c r="C4" s="659"/>
      <c r="D4" s="659"/>
      <c r="E4" s="659"/>
      <c r="F4" s="659"/>
      <c r="G4" s="659"/>
      <c r="H4" s="659"/>
      <c r="I4" s="660"/>
      <c r="J4" s="421"/>
      <c r="K4" s="421"/>
      <c r="L4" s="422"/>
    </row>
    <row r="5" spans="1:13" ht="4.6500000000000004" customHeight="1" thickBot="1" x14ac:dyDescent="0.35">
      <c r="B5" s="148"/>
      <c r="L5" s="149"/>
    </row>
    <row r="6" spans="1:13" ht="14.25" customHeight="1" thickBot="1" x14ac:dyDescent="0.35">
      <c r="B6" s="650" t="s">
        <v>212</v>
      </c>
      <c r="C6" s="651"/>
      <c r="D6" s="650" t="s">
        <v>528</v>
      </c>
      <c r="E6" s="652"/>
      <c r="F6" s="653"/>
      <c r="G6" s="655" t="s">
        <v>568</v>
      </c>
      <c r="H6" s="656"/>
      <c r="I6" s="657"/>
      <c r="J6" s="650" t="s">
        <v>569</v>
      </c>
      <c r="K6" s="654"/>
      <c r="L6" s="651"/>
    </row>
    <row r="7" spans="1:13" ht="46.5" customHeight="1" x14ac:dyDescent="0.3">
      <c r="A7" s="448"/>
      <c r="B7" s="164" t="s">
        <v>308</v>
      </c>
      <c r="C7" s="165" t="s">
        <v>532</v>
      </c>
      <c r="D7" s="164" t="s">
        <v>570</v>
      </c>
      <c r="E7" s="161" t="s">
        <v>56</v>
      </c>
      <c r="F7" s="366" t="s">
        <v>571</v>
      </c>
      <c r="G7" s="369" t="s">
        <v>572</v>
      </c>
      <c r="H7" s="370" t="s">
        <v>573</v>
      </c>
      <c r="I7" s="374" t="s">
        <v>574</v>
      </c>
      <c r="J7" s="369" t="s">
        <v>575</v>
      </c>
      <c r="K7" s="370" t="s">
        <v>576</v>
      </c>
      <c r="L7" s="371" t="s">
        <v>577</v>
      </c>
      <c r="M7" s="448"/>
    </row>
    <row r="8" spans="1:13" ht="13.65" customHeight="1" x14ac:dyDescent="0.3">
      <c r="A8" s="448"/>
      <c r="B8" s="163" t="str">
        <f>Titles!F16</f>
        <v>MW</v>
      </c>
      <c r="C8" s="166" t="str">
        <f>Titles!F14</f>
        <v>MWh</v>
      </c>
      <c r="D8" s="167"/>
      <c r="E8" s="162"/>
      <c r="F8" s="367"/>
      <c r="G8" s="380" t="s">
        <v>578</v>
      </c>
      <c r="H8" s="368"/>
      <c r="I8" s="375"/>
      <c r="J8" s="377" t="s">
        <v>579</v>
      </c>
      <c r="K8" s="376" t="s">
        <v>579</v>
      </c>
      <c r="L8" s="378" t="s">
        <v>580</v>
      </c>
      <c r="M8" s="448"/>
    </row>
    <row r="9" spans="1:13" ht="17.25" customHeight="1" thickBot="1" x14ac:dyDescent="0.35">
      <c r="A9" s="448"/>
      <c r="B9" s="496">
        <f>Tables!B4</f>
        <v>5.11E-3</v>
      </c>
      <c r="C9" s="497">
        <f>Tables!C4</f>
        <v>60.72</v>
      </c>
      <c r="D9" s="498">
        <f>Tables!D4</f>
        <v>34882.789999999994</v>
      </c>
      <c r="E9" s="499">
        <f>Tables!E4</f>
        <v>7809.5573240000003</v>
      </c>
      <c r="F9" s="419" t="s">
        <v>112</v>
      </c>
      <c r="G9" s="500">
        <f>Tables!G4</f>
        <v>88.362500000000011</v>
      </c>
      <c r="H9" s="501">
        <f>Tables!H4</f>
        <v>16.40087145969499</v>
      </c>
      <c r="I9" s="502">
        <f>Tables!I4</f>
        <v>1.2845054550284216</v>
      </c>
      <c r="J9" s="420" t="s">
        <v>112</v>
      </c>
      <c r="K9" s="420" t="s">
        <v>112</v>
      </c>
      <c r="L9" s="420" t="s">
        <v>112</v>
      </c>
      <c r="M9" s="448"/>
    </row>
    <row r="10" spans="1:13" x14ac:dyDescent="0.3">
      <c r="B10" s="448"/>
      <c r="C10" s="448"/>
      <c r="D10" s="448"/>
      <c r="E10" s="448"/>
      <c r="F10" s="448"/>
      <c r="G10" s="448"/>
      <c r="H10" s="448"/>
      <c r="I10" s="448"/>
      <c r="J10" s="448"/>
      <c r="K10" s="448"/>
      <c r="L10" s="448"/>
      <c r="M10" s="448"/>
    </row>
    <row r="11" spans="1:13" x14ac:dyDescent="0.3">
      <c r="B11" s="448"/>
      <c r="C11" s="448"/>
      <c r="D11" s="448"/>
      <c r="E11" s="448"/>
      <c r="F11" s="448"/>
      <c r="G11" s="448"/>
      <c r="H11" s="448"/>
      <c r="I11" s="448"/>
      <c r="J11" s="448"/>
      <c r="K11" s="448"/>
      <c r="L11" s="448"/>
      <c r="M11" s="448"/>
    </row>
    <row r="12" spans="1:13" x14ac:dyDescent="0.3">
      <c r="B12" s="448"/>
      <c r="C12" s="448"/>
      <c r="D12" s="448"/>
      <c r="E12" s="448"/>
      <c r="F12" s="448"/>
      <c r="G12" s="448"/>
      <c r="H12" s="448"/>
      <c r="I12" s="448"/>
      <c r="J12" s="448"/>
      <c r="K12" s="448"/>
      <c r="L12" s="448"/>
      <c r="M12" s="448"/>
    </row>
    <row r="13" spans="1:13" ht="12.75" customHeight="1" x14ac:dyDescent="0.3">
      <c r="B13" s="448"/>
      <c r="C13" s="649" t="s">
        <v>581</v>
      </c>
      <c r="D13" s="649"/>
      <c r="E13" s="448"/>
      <c r="F13" s="448"/>
      <c r="G13" s="448"/>
      <c r="H13" s="448"/>
      <c r="I13" s="448"/>
      <c r="J13" s="448"/>
      <c r="K13" s="448"/>
      <c r="L13" s="448"/>
      <c r="M13" s="448"/>
    </row>
    <row r="14" spans="1:13" x14ac:dyDescent="0.3">
      <c r="B14" s="448"/>
      <c r="C14" s="649"/>
      <c r="D14" s="649"/>
      <c r="E14" s="448"/>
      <c r="F14" s="448"/>
      <c r="G14" s="448"/>
      <c r="H14" s="448"/>
      <c r="I14" s="448"/>
      <c r="J14" s="448"/>
      <c r="K14" s="448"/>
      <c r="L14" s="448"/>
      <c r="M14" s="448"/>
    </row>
    <row r="15" spans="1:13" x14ac:dyDescent="0.3">
      <c r="B15" s="448"/>
      <c r="C15" s="448"/>
      <c r="D15" s="448"/>
      <c r="E15" s="448"/>
      <c r="F15" s="448"/>
      <c r="G15" s="448"/>
      <c r="H15" s="448"/>
      <c r="I15" s="448"/>
      <c r="J15" s="448"/>
      <c r="K15" s="448"/>
      <c r="L15" s="448"/>
      <c r="M15" s="448"/>
    </row>
    <row r="16" spans="1:13" x14ac:dyDescent="0.3">
      <c r="B16" s="448"/>
      <c r="C16" s="448"/>
      <c r="D16" s="448"/>
      <c r="E16" s="448"/>
      <c r="F16" s="448"/>
      <c r="G16" s="448"/>
      <c r="H16" s="448"/>
      <c r="I16" s="448"/>
      <c r="J16" s="448"/>
      <c r="K16" s="448"/>
      <c r="L16" s="448"/>
      <c r="M16" s="448"/>
    </row>
    <row r="17" spans="2:13" x14ac:dyDescent="0.3">
      <c r="B17" s="448"/>
      <c r="C17" s="448"/>
      <c r="D17" s="448"/>
      <c r="E17" s="448"/>
      <c r="F17" s="448"/>
      <c r="G17" s="448"/>
      <c r="H17" s="448"/>
      <c r="I17" s="448"/>
      <c r="J17" s="448"/>
      <c r="K17" s="448"/>
      <c r="L17" s="448"/>
      <c r="M17" s="448"/>
    </row>
    <row r="18" spans="2:13" x14ac:dyDescent="0.3">
      <c r="B18" s="448"/>
      <c r="C18" s="448"/>
      <c r="D18" s="448"/>
      <c r="E18" s="448"/>
      <c r="F18" s="448"/>
      <c r="G18" s="448"/>
      <c r="H18" s="448"/>
      <c r="I18" s="448"/>
      <c r="J18" s="448"/>
      <c r="K18" s="448"/>
      <c r="L18" s="448"/>
      <c r="M18" s="448"/>
    </row>
  </sheetData>
  <sheetProtection formatColumns="0" formatRows="0"/>
  <mergeCells count="7">
    <mergeCell ref="C13:D14"/>
    <mergeCell ref="B6:C6"/>
    <mergeCell ref="D6:F6"/>
    <mergeCell ref="B2:L2"/>
    <mergeCell ref="J6:L6"/>
    <mergeCell ref="G6:I6"/>
    <mergeCell ref="B4:I4"/>
  </mergeCells>
  <conditionalFormatting sqref="C13">
    <cfRule type="expression" dxfId="8" priority="1">
      <formula>Status=0</formula>
    </cfRule>
  </conditionalFormatting>
  <hyperlinks>
    <hyperlink ref="C13:D14" location="Incomplete!A1" tooltip="Click" display="Incomplete!A1" xr:uid="{00000000-0004-0000-2300-000000000000}"/>
  </hyperlinks>
  <pageMargins left="0.5" right="0.5" top="0.75" bottom="0.7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L40"/>
  <sheetViews>
    <sheetView showGridLines="0" zoomScale="110" zoomScaleNormal="110" workbookViewId="0">
      <selection activeCell="G10" sqref="G10"/>
    </sheetView>
  </sheetViews>
  <sheetFormatPr defaultColWidth="9.109375" defaultRowHeight="13.8" x14ac:dyDescent="0.3"/>
  <cols>
    <col min="1" max="1" width="1" style="2" customWidth="1"/>
    <col min="2" max="2" width="38.109375" style="2" customWidth="1"/>
    <col min="3" max="3" width="22" style="2" customWidth="1"/>
    <col min="4" max="4" width="26.21875" style="2" customWidth="1"/>
    <col min="5" max="5" width="0.77734375" style="2" customWidth="1"/>
    <col min="6" max="7" width="12.77734375" style="2" customWidth="1"/>
    <col min="8" max="8" width="0.44140625" style="2" customWidth="1"/>
    <col min="9" max="9" width="11" style="2" customWidth="1"/>
    <col min="10" max="10" width="1.21875" style="2" customWidth="1"/>
    <col min="11" max="11" width="9.109375" style="2"/>
    <col min="12" max="12" width="9.109375" style="2" hidden="1" customWidth="1"/>
    <col min="13" max="16384" width="9.109375" style="2"/>
  </cols>
  <sheetData>
    <row r="1" spans="1:12" ht="5.0999999999999996" customHeight="1" thickBot="1" x14ac:dyDescent="0.35"/>
    <row r="2" spans="1:12" ht="38.25" customHeight="1" thickBot="1" x14ac:dyDescent="0.35">
      <c r="B2" s="561" t="s">
        <v>540</v>
      </c>
      <c r="C2" s="561"/>
      <c r="D2" s="561"/>
      <c r="E2" s="561"/>
      <c r="F2" s="561"/>
      <c r="G2" s="561"/>
      <c r="H2" s="561"/>
      <c r="I2" s="561"/>
    </row>
    <row r="3" spans="1:12" ht="4.6500000000000004" customHeight="1" thickBot="1" x14ac:dyDescent="0.35"/>
    <row r="4" spans="1:12" ht="23.4" thickBot="1" x14ac:dyDescent="0.45">
      <c r="B4" s="658" t="s">
        <v>8</v>
      </c>
      <c r="C4" s="659"/>
      <c r="D4" s="659"/>
      <c r="E4" s="659"/>
      <c r="F4" s="659"/>
      <c r="G4" s="659"/>
      <c r="H4" s="659"/>
      <c r="I4" s="660"/>
    </row>
    <row r="5" spans="1:12" ht="4.6500000000000004" customHeight="1" thickBot="1" x14ac:dyDescent="0.35"/>
    <row r="6" spans="1:12" ht="14.4" thickBot="1" x14ac:dyDescent="0.35">
      <c r="A6" s="448"/>
      <c r="B6" s="503"/>
      <c r="C6" s="503"/>
      <c r="D6" s="503"/>
      <c r="E6" s="448"/>
      <c r="F6" s="661">
        <f>Titles!F2</f>
        <v>2025</v>
      </c>
      <c r="G6" s="662"/>
      <c r="H6" s="448"/>
      <c r="I6" s="663" t="s">
        <v>582</v>
      </c>
      <c r="J6" s="448"/>
    </row>
    <row r="7" spans="1:12" ht="11.25" customHeight="1" x14ac:dyDescent="0.3">
      <c r="A7" s="448"/>
      <c r="B7" s="504"/>
      <c r="C7" s="504"/>
      <c r="D7" s="504"/>
      <c r="E7" s="448"/>
      <c r="F7" s="85" t="s">
        <v>517</v>
      </c>
      <c r="G7" s="86" t="s">
        <v>518</v>
      </c>
      <c r="H7" s="448"/>
      <c r="I7" s="664"/>
      <c r="J7" s="448"/>
    </row>
    <row r="8" spans="1:12" ht="11.25" customHeight="1" thickBot="1" x14ac:dyDescent="0.35">
      <c r="A8" s="448"/>
      <c r="B8" s="84" t="s">
        <v>82</v>
      </c>
      <c r="C8" s="84" t="s">
        <v>83</v>
      </c>
      <c r="D8" s="84" t="s">
        <v>84</v>
      </c>
      <c r="E8" s="448"/>
      <c r="F8" s="87" t="s">
        <v>583</v>
      </c>
      <c r="G8" s="88" t="s">
        <v>583</v>
      </c>
      <c r="H8" s="448"/>
      <c r="I8" s="665"/>
      <c r="J8" s="448"/>
    </row>
    <row r="9" spans="1:12" ht="12.75" customHeight="1" x14ac:dyDescent="0.3">
      <c r="A9" s="448"/>
      <c r="B9" s="505" t="str">
        <f ca="1">Tables!B9</f>
        <v>Residential Products</v>
      </c>
      <c r="C9" s="506" t="str">
        <f ca="1">Tables!C9</f>
        <v>Residential</v>
      </c>
      <c r="D9" s="506" t="str">
        <f ca="1">Tables!D9</f>
        <v>Consumer Product Rebate</v>
      </c>
      <c r="E9" s="448"/>
      <c r="F9" s="90">
        <f ca="1">Tables!E9</f>
        <v>34885</v>
      </c>
      <c r="G9" s="91">
        <f ca="1">Tables!F9</f>
        <v>690</v>
      </c>
      <c r="H9" s="448"/>
      <c r="I9" s="94">
        <f ca="1">IF(ISERROR(G9/F9),"-",(G9/F9))</f>
        <v>1.9779274759925469E-2</v>
      </c>
      <c r="J9" s="448"/>
      <c r="L9" s="2">
        <f ca="1">IF(B9="*Hide*",1)-IF(SUBTOTAL(103,B9)=1,0,1)</f>
        <v>0</v>
      </c>
    </row>
    <row r="10" spans="1:12" ht="12.75" customHeight="1" x14ac:dyDescent="0.3">
      <c r="A10" s="448"/>
      <c r="B10" s="507" t="str">
        <f ca="1">Tables!B10</f>
        <v>School-Based Energy Education</v>
      </c>
      <c r="C10" s="508" t="str">
        <f ca="1">Tables!C10</f>
        <v>Residential</v>
      </c>
      <c r="D10" s="508" t="str">
        <f ca="1">Tables!D10</f>
        <v>Consumer Product Rebate</v>
      </c>
      <c r="E10" s="448"/>
      <c r="F10" s="92">
        <f ca="1">Tables!E10</f>
        <v>16250</v>
      </c>
      <c r="G10" s="93">
        <f ca="1">Tables!F10</f>
        <v>29581.94</v>
      </c>
      <c r="H10" s="448"/>
      <c r="I10" s="95">
        <f t="shared" ref="I10:I30" ca="1" si="0">IF(ISERROR(G10/F10),"-",(G10/F10))</f>
        <v>1.8204270769230768</v>
      </c>
      <c r="J10" s="448"/>
      <c r="L10" s="2">
        <f t="shared" ref="L10:L28" ca="1" si="1">IF(B10="*Hide*",1)-IF(SUBTOTAL(103,B10)=1,0,1)</f>
        <v>0</v>
      </c>
    </row>
    <row r="11" spans="1:12" ht="12.75" customHeight="1" x14ac:dyDescent="0.3">
      <c r="A11" s="448"/>
      <c r="B11" s="507" t="str">
        <f ca="1">Tables!B11</f>
        <v>Weatherization</v>
      </c>
      <c r="C11" s="508" t="str">
        <f ca="1">Tables!C11</f>
        <v>Residential</v>
      </c>
      <c r="D11" s="508" t="str">
        <f ca="1">Tables!D11</f>
        <v>Whole Home</v>
      </c>
      <c r="E11" s="448"/>
      <c r="F11" s="92">
        <f ca="1">Tables!E11</f>
        <v>24454</v>
      </c>
      <c r="G11" s="93">
        <f ca="1">Tables!F11</f>
        <v>0</v>
      </c>
      <c r="H11" s="448"/>
      <c r="I11" s="95">
        <f t="shared" ca="1" si="0"/>
        <v>0</v>
      </c>
      <c r="J11" s="448"/>
      <c r="L11" s="2">
        <f t="shared" ca="1" si="1"/>
        <v>0</v>
      </c>
    </row>
    <row r="12" spans="1:12" ht="12.75" customHeight="1" x14ac:dyDescent="0.3">
      <c r="A12" s="448"/>
      <c r="B12" s="507" t="str">
        <f ca="1">Tables!B12</f>
        <v>Commercial and Industrial (Custom)</v>
      </c>
      <c r="C12" s="508" t="str">
        <f ca="1">Tables!C12</f>
        <v>Commercial &amp; Industrial</v>
      </c>
      <c r="D12" s="508" t="str">
        <f ca="1">Tables!D12</f>
        <v>Custom</v>
      </c>
      <c r="E12" s="448"/>
      <c r="F12" s="92">
        <f ca="1">Tables!E12</f>
        <v>5812</v>
      </c>
      <c r="G12" s="93">
        <f ca="1">Tables!F12</f>
        <v>0</v>
      </c>
      <c r="H12" s="448"/>
      <c r="I12" s="95">
        <f t="shared" ca="1" si="0"/>
        <v>0</v>
      </c>
      <c r="J12" s="448"/>
      <c r="L12" s="2">
        <f t="shared" ca="1" si="1"/>
        <v>0</v>
      </c>
    </row>
    <row r="13" spans="1:12" ht="12.75" customHeight="1" x14ac:dyDescent="0.3">
      <c r="A13" s="448"/>
      <c r="B13" s="507" t="str">
        <f ca="1">Tables!B13</f>
        <v>Commercial and Industrial (Prescriptive)</v>
      </c>
      <c r="C13" s="508" t="str">
        <f ca="1">Tables!C13</f>
        <v>Commercial &amp; Industrial</v>
      </c>
      <c r="D13" s="508" t="str">
        <f ca="1">Tables!D13</f>
        <v>Prescriptive/Standard Offer</v>
      </c>
      <c r="E13" s="448"/>
      <c r="F13" s="92">
        <f ca="1">Tables!E13</f>
        <v>5000</v>
      </c>
      <c r="G13" s="93">
        <f ca="1">Tables!F13</f>
        <v>0</v>
      </c>
      <c r="H13" s="448"/>
      <c r="I13" s="95">
        <f t="shared" ca="1" si="0"/>
        <v>0</v>
      </c>
      <c r="J13" s="448"/>
      <c r="L13" s="2">
        <f t="shared" ca="1" si="1"/>
        <v>0</v>
      </c>
    </row>
    <row r="14" spans="1:12" ht="12.75" customHeight="1" x14ac:dyDescent="0.3">
      <c r="A14" s="448"/>
      <c r="B14" s="507" t="str">
        <f ca="1">Tables!B14</f>
        <v>Administration</v>
      </c>
      <c r="C14" s="508" t="str">
        <f ca="1">Tables!C14</f>
        <v>All Classes</v>
      </c>
      <c r="D14" s="508" t="str">
        <f ca="1">Tables!D14</f>
        <v>Other</v>
      </c>
      <c r="E14" s="448"/>
      <c r="F14" s="92">
        <f ca="1">Tables!E14</f>
        <v>10000</v>
      </c>
      <c r="G14" s="93">
        <f ca="1">Tables!F14</f>
        <v>1000</v>
      </c>
      <c r="H14" s="448"/>
      <c r="I14" s="95">
        <f t="shared" ca="1" si="0"/>
        <v>0.1</v>
      </c>
      <c r="J14" s="448"/>
      <c r="L14" s="2">
        <f t="shared" ca="1" si="1"/>
        <v>0</v>
      </c>
    </row>
    <row r="15" spans="1:12" ht="12.75" customHeight="1" x14ac:dyDescent="0.3">
      <c r="A15" s="448"/>
      <c r="B15" s="507" t="str">
        <f ca="1">Tables!B15</f>
        <v>Marketing</v>
      </c>
      <c r="C15" s="508" t="str">
        <f ca="1">Tables!C15</f>
        <v>All Classes</v>
      </c>
      <c r="D15" s="508" t="str">
        <f ca="1">Tables!D15</f>
        <v>Other</v>
      </c>
      <c r="E15" s="448"/>
      <c r="F15" s="92">
        <f ca="1">Tables!E15</f>
        <v>1200</v>
      </c>
      <c r="G15" s="93">
        <f ca="1">Tables!F15</f>
        <v>0</v>
      </c>
      <c r="H15" s="448"/>
      <c r="I15" s="95">
        <f t="shared" ca="1" si="0"/>
        <v>0</v>
      </c>
      <c r="J15" s="448"/>
      <c r="L15" s="2">
        <f t="shared" ca="1" si="1"/>
        <v>0</v>
      </c>
    </row>
    <row r="16" spans="1:12" ht="12.75" hidden="1" customHeight="1" x14ac:dyDescent="0.3">
      <c r="A16" s="448"/>
      <c r="B16" s="507" t="str">
        <f ca="1">Tables!B16</f>
        <v>Online Energy Calculator</v>
      </c>
      <c r="C16" s="508" t="str">
        <f ca="1">Tables!C16</f>
        <v>All Classes</v>
      </c>
      <c r="D16" s="508" t="str">
        <f ca="1">Tables!D16</f>
        <v>Behavior/Education</v>
      </c>
      <c r="E16" s="448"/>
      <c r="F16" s="92">
        <f ca="1">Tables!E16</f>
        <v>4000</v>
      </c>
      <c r="G16" s="93">
        <f ca="1">Tables!F16</f>
        <v>0</v>
      </c>
      <c r="H16" s="448"/>
      <c r="I16" s="95">
        <f t="shared" ca="1" si="0"/>
        <v>0</v>
      </c>
      <c r="J16" s="448"/>
      <c r="L16" s="2">
        <f t="shared" ca="1" si="1"/>
        <v>-1</v>
      </c>
    </row>
    <row r="17" spans="1:12" ht="12.75" hidden="1" customHeight="1" x14ac:dyDescent="0.3">
      <c r="A17" s="448"/>
      <c r="B17" s="507" t="str">
        <f ca="1">Tables!B17</f>
        <v>EM&amp;V</v>
      </c>
      <c r="C17" s="508" t="str">
        <f ca="1">Tables!C17</f>
        <v>All Classes</v>
      </c>
      <c r="D17" s="508" t="str">
        <f ca="1">Tables!D17</f>
        <v>Other</v>
      </c>
      <c r="E17" s="448"/>
      <c r="F17" s="92">
        <f ca="1">Tables!E17</f>
        <v>2500</v>
      </c>
      <c r="G17" s="93">
        <f ca="1">Tables!F17</f>
        <v>2687.5</v>
      </c>
      <c r="H17" s="448"/>
      <c r="I17" s="95">
        <f t="shared" ca="1" si="0"/>
        <v>1.075</v>
      </c>
      <c r="J17" s="448"/>
      <c r="L17" s="2">
        <f t="shared" ca="1" si="1"/>
        <v>-1</v>
      </c>
    </row>
    <row r="18" spans="1:12" ht="12.75" hidden="1" customHeight="1" x14ac:dyDescent="0.3">
      <c r="A18" s="448"/>
      <c r="B18" s="507" t="str">
        <f ca="1">Tables!B18</f>
        <v>*Hide*</v>
      </c>
      <c r="C18" s="508" t="str">
        <f ca="1">Tables!C18</f>
        <v>-</v>
      </c>
      <c r="D18" s="508" t="str">
        <f ca="1">Tables!D18</f>
        <v>-</v>
      </c>
      <c r="E18" s="448"/>
      <c r="F18" s="92" t="str">
        <f ca="1">Tables!E18</f>
        <v>-</v>
      </c>
      <c r="G18" s="93" t="str">
        <f ca="1">Tables!F18</f>
        <v>-</v>
      </c>
      <c r="H18" s="448"/>
      <c r="I18" s="95" t="str">
        <f t="shared" ca="1" si="0"/>
        <v>-</v>
      </c>
      <c r="J18" s="448"/>
      <c r="L18" s="2">
        <f t="shared" ca="1" si="1"/>
        <v>0</v>
      </c>
    </row>
    <row r="19" spans="1:12" ht="12.75" hidden="1" customHeight="1" x14ac:dyDescent="0.3">
      <c r="A19" s="448"/>
      <c r="B19" s="507" t="str">
        <f ca="1">Tables!B19</f>
        <v>*Hide*</v>
      </c>
      <c r="C19" s="508" t="str">
        <f ca="1">Tables!C19</f>
        <v>-</v>
      </c>
      <c r="D19" s="508" t="str">
        <f ca="1">Tables!D19</f>
        <v>-</v>
      </c>
      <c r="E19" s="448"/>
      <c r="F19" s="92" t="str">
        <f ca="1">Tables!E19</f>
        <v>-</v>
      </c>
      <c r="G19" s="93" t="str">
        <f ca="1">Tables!F19</f>
        <v>-</v>
      </c>
      <c r="H19" s="448"/>
      <c r="I19" s="95" t="str">
        <f t="shared" ca="1" si="0"/>
        <v>-</v>
      </c>
      <c r="J19" s="448"/>
      <c r="L19" s="2">
        <f t="shared" ca="1" si="1"/>
        <v>0</v>
      </c>
    </row>
    <row r="20" spans="1:12" ht="12.75" hidden="1" customHeight="1" x14ac:dyDescent="0.3">
      <c r="A20" s="448"/>
      <c r="B20" s="507" t="str">
        <f ca="1">Tables!B20</f>
        <v>*Hide*</v>
      </c>
      <c r="C20" s="508" t="str">
        <f ca="1">Tables!C20</f>
        <v>-</v>
      </c>
      <c r="D20" s="508" t="str">
        <f ca="1">Tables!D20</f>
        <v>-</v>
      </c>
      <c r="E20" s="448"/>
      <c r="F20" s="92" t="str">
        <f ca="1">Tables!E20</f>
        <v>-</v>
      </c>
      <c r="G20" s="93" t="str">
        <f ca="1">Tables!F20</f>
        <v>-</v>
      </c>
      <c r="H20" s="448"/>
      <c r="I20" s="95" t="str">
        <f t="shared" ca="1" si="0"/>
        <v>-</v>
      </c>
      <c r="J20" s="448"/>
      <c r="L20" s="2">
        <f t="shared" ca="1" si="1"/>
        <v>0</v>
      </c>
    </row>
    <row r="21" spans="1:12" ht="12.75" hidden="1" customHeight="1" x14ac:dyDescent="0.3">
      <c r="A21" s="448"/>
      <c r="B21" s="507" t="str">
        <f ca="1">Tables!B21</f>
        <v>*Hide*</v>
      </c>
      <c r="C21" s="508" t="str">
        <f ca="1">Tables!C21</f>
        <v>-</v>
      </c>
      <c r="D21" s="508" t="str">
        <f ca="1">Tables!D21</f>
        <v>-</v>
      </c>
      <c r="E21" s="448"/>
      <c r="F21" s="92" t="str">
        <f ca="1">Tables!E21</f>
        <v>-</v>
      </c>
      <c r="G21" s="93" t="str">
        <f ca="1">Tables!F21</f>
        <v>-</v>
      </c>
      <c r="H21" s="448"/>
      <c r="I21" s="95" t="str">
        <f t="shared" ca="1" si="0"/>
        <v>-</v>
      </c>
      <c r="J21" s="448"/>
      <c r="L21" s="2">
        <f t="shared" ca="1" si="1"/>
        <v>0</v>
      </c>
    </row>
    <row r="22" spans="1:12" ht="12.75" hidden="1" customHeight="1" x14ac:dyDescent="0.3">
      <c r="A22" s="448"/>
      <c r="B22" s="507" t="str">
        <f ca="1">Tables!B22</f>
        <v>*Hide*</v>
      </c>
      <c r="C22" s="508" t="str">
        <f ca="1">Tables!C22</f>
        <v>-</v>
      </c>
      <c r="D22" s="508" t="str">
        <f ca="1">Tables!D22</f>
        <v>-</v>
      </c>
      <c r="E22" s="448"/>
      <c r="F22" s="92" t="str">
        <f ca="1">Tables!E22</f>
        <v>-</v>
      </c>
      <c r="G22" s="93" t="str">
        <f ca="1">Tables!F22</f>
        <v>-</v>
      </c>
      <c r="H22" s="448"/>
      <c r="I22" s="95" t="str">
        <f t="shared" ca="1" si="0"/>
        <v>-</v>
      </c>
      <c r="J22" s="448"/>
      <c r="L22" s="2">
        <f t="shared" ca="1" si="1"/>
        <v>0</v>
      </c>
    </row>
    <row r="23" spans="1:12" ht="12.75" hidden="1" customHeight="1" x14ac:dyDescent="0.3">
      <c r="A23" s="448"/>
      <c r="B23" s="507" t="str">
        <f ca="1">Tables!B23</f>
        <v>*Hide*</v>
      </c>
      <c r="C23" s="508" t="str">
        <f ca="1">Tables!C23</f>
        <v>-</v>
      </c>
      <c r="D23" s="508" t="str">
        <f ca="1">Tables!D23</f>
        <v>-</v>
      </c>
      <c r="E23" s="448"/>
      <c r="F23" s="92" t="str">
        <f ca="1">Tables!E23</f>
        <v>-</v>
      </c>
      <c r="G23" s="93" t="str">
        <f ca="1">Tables!F23</f>
        <v>-</v>
      </c>
      <c r="H23" s="448"/>
      <c r="I23" s="95" t="str">
        <f t="shared" ca="1" si="0"/>
        <v>-</v>
      </c>
      <c r="J23" s="448"/>
      <c r="L23" s="2">
        <f t="shared" ca="1" si="1"/>
        <v>0</v>
      </c>
    </row>
    <row r="24" spans="1:12" ht="12.75" hidden="1" customHeight="1" x14ac:dyDescent="0.3">
      <c r="A24" s="448"/>
      <c r="B24" s="507" t="str">
        <f ca="1">Tables!B24</f>
        <v>*Hide*</v>
      </c>
      <c r="C24" s="508" t="str">
        <f ca="1">Tables!C24</f>
        <v>-</v>
      </c>
      <c r="D24" s="508" t="str">
        <f ca="1">Tables!D24</f>
        <v>-</v>
      </c>
      <c r="E24" s="448"/>
      <c r="F24" s="92" t="str">
        <f ca="1">Tables!E24</f>
        <v>-</v>
      </c>
      <c r="G24" s="93" t="str">
        <f ca="1">Tables!F24</f>
        <v>-</v>
      </c>
      <c r="H24" s="448"/>
      <c r="I24" s="95" t="str">
        <f t="shared" ca="1" si="0"/>
        <v>-</v>
      </c>
      <c r="J24" s="448"/>
      <c r="L24" s="2">
        <f t="shared" ca="1" si="1"/>
        <v>0</v>
      </c>
    </row>
    <row r="25" spans="1:12" ht="12.75" hidden="1" customHeight="1" x14ac:dyDescent="0.3">
      <c r="A25" s="448"/>
      <c r="B25" s="507" t="str">
        <f ca="1">Tables!B25</f>
        <v>*Hide*</v>
      </c>
      <c r="C25" s="508" t="str">
        <f ca="1">Tables!C25</f>
        <v>-</v>
      </c>
      <c r="D25" s="508" t="str">
        <f ca="1">Tables!D25</f>
        <v>-</v>
      </c>
      <c r="E25" s="448"/>
      <c r="F25" s="92" t="str">
        <f ca="1">Tables!E25</f>
        <v>-</v>
      </c>
      <c r="G25" s="93" t="str">
        <f ca="1">Tables!F25</f>
        <v>-</v>
      </c>
      <c r="H25" s="448"/>
      <c r="I25" s="95" t="str">
        <f t="shared" ca="1" si="0"/>
        <v>-</v>
      </c>
      <c r="J25" s="448"/>
      <c r="L25" s="2">
        <f t="shared" ca="1" si="1"/>
        <v>0</v>
      </c>
    </row>
    <row r="26" spans="1:12" ht="12.75" hidden="1" customHeight="1" x14ac:dyDescent="0.3">
      <c r="A26" s="448"/>
      <c r="B26" s="507" t="str">
        <f ca="1">Tables!B26</f>
        <v>*Hide*</v>
      </c>
      <c r="C26" s="508" t="str">
        <f ca="1">Tables!C26</f>
        <v>-</v>
      </c>
      <c r="D26" s="508" t="str">
        <f ca="1">Tables!D26</f>
        <v>-</v>
      </c>
      <c r="E26" s="448"/>
      <c r="F26" s="92" t="str">
        <f ca="1">Tables!E26</f>
        <v>-</v>
      </c>
      <c r="G26" s="93" t="str">
        <f ca="1">Tables!F26</f>
        <v>-</v>
      </c>
      <c r="H26" s="448"/>
      <c r="I26" s="95" t="str">
        <f t="shared" ca="1" si="0"/>
        <v>-</v>
      </c>
      <c r="J26" s="448"/>
      <c r="L26" s="2">
        <f t="shared" ca="1" si="1"/>
        <v>0</v>
      </c>
    </row>
    <row r="27" spans="1:12" ht="12.75" hidden="1" customHeight="1" x14ac:dyDescent="0.3">
      <c r="A27" s="448"/>
      <c r="B27" s="507" t="str">
        <f ca="1">Tables!B27</f>
        <v>*Hide*</v>
      </c>
      <c r="C27" s="508" t="str">
        <f ca="1">Tables!C27</f>
        <v>-</v>
      </c>
      <c r="D27" s="508" t="str">
        <f ca="1">Tables!D27</f>
        <v>-</v>
      </c>
      <c r="E27" s="448"/>
      <c r="F27" s="92" t="str">
        <f ca="1">Tables!E27</f>
        <v>-</v>
      </c>
      <c r="G27" s="93" t="str">
        <f ca="1">Tables!F27</f>
        <v>-</v>
      </c>
      <c r="H27" s="448"/>
      <c r="I27" s="95" t="str">
        <f t="shared" ca="1" si="0"/>
        <v>-</v>
      </c>
      <c r="J27" s="448"/>
      <c r="L27" s="2">
        <f t="shared" ca="1" si="1"/>
        <v>0</v>
      </c>
    </row>
    <row r="28" spans="1:12" ht="12.75" hidden="1" customHeight="1" x14ac:dyDescent="0.3">
      <c r="A28" s="448"/>
      <c r="B28" s="507" t="str">
        <f ca="1">Tables!B28</f>
        <v>*Hide*</v>
      </c>
      <c r="C28" s="508" t="str">
        <f ca="1">Tables!C28</f>
        <v>-</v>
      </c>
      <c r="D28" s="508" t="str">
        <f ca="1">Tables!D28</f>
        <v>-</v>
      </c>
      <c r="E28" s="448"/>
      <c r="F28" s="92" t="str">
        <f ca="1">Tables!E28</f>
        <v>-</v>
      </c>
      <c r="G28" s="93" t="str">
        <f ca="1">Tables!F28</f>
        <v>-</v>
      </c>
      <c r="H28" s="448"/>
      <c r="I28" s="95" t="str">
        <f t="shared" ca="1" si="0"/>
        <v>-</v>
      </c>
      <c r="J28" s="448"/>
      <c r="L28" s="2">
        <f t="shared" ca="1" si="1"/>
        <v>0</v>
      </c>
    </row>
    <row r="29" spans="1:12" ht="12.75" customHeight="1" thickBot="1" x14ac:dyDescent="0.35">
      <c r="A29" s="448"/>
      <c r="B29" s="509" t="str">
        <f>Tables!B29</f>
        <v>Regulatory</v>
      </c>
      <c r="C29" s="508" t="str">
        <f>Tables!C29</f>
        <v>-</v>
      </c>
      <c r="D29" s="508" t="str">
        <f>Tables!D29</f>
        <v>-</v>
      </c>
      <c r="E29" s="448"/>
      <c r="F29" s="92">
        <f>Tables!E29</f>
        <v>3000</v>
      </c>
      <c r="G29" s="93">
        <f>Tables!F29</f>
        <v>923.35</v>
      </c>
      <c r="H29" s="448"/>
      <c r="I29" s="95">
        <f t="shared" si="0"/>
        <v>0.30778333333333335</v>
      </c>
      <c r="J29" s="448"/>
      <c r="L29" s="2">
        <f>IF(SUBTOTAL(103,B29)=1,0,-1)</f>
        <v>0</v>
      </c>
    </row>
    <row r="30" spans="1:12" ht="12.75" customHeight="1" thickBot="1" x14ac:dyDescent="0.35">
      <c r="A30" s="448"/>
      <c r="B30" s="510"/>
      <c r="C30" s="510"/>
      <c r="D30" s="96" t="s">
        <v>154</v>
      </c>
      <c r="E30" s="448"/>
      <c r="F30" s="89">
        <f ca="1">SUM(F9:F29)</f>
        <v>107101</v>
      </c>
      <c r="G30" s="116">
        <f ca="1">SUM(G9:G29)</f>
        <v>34882.79</v>
      </c>
      <c r="H30" s="448"/>
      <c r="I30" s="117">
        <f t="shared" ca="1" si="0"/>
        <v>0.32569994677920844</v>
      </c>
      <c r="J30" s="448"/>
      <c r="L30" s="2">
        <f ca="1">SUM(L9:L29)</f>
        <v>-2</v>
      </c>
    </row>
    <row r="31" spans="1:12" x14ac:dyDescent="0.3">
      <c r="A31" s="448"/>
      <c r="B31" s="448"/>
      <c r="C31" s="448"/>
      <c r="D31" s="448"/>
      <c r="E31" s="448"/>
      <c r="F31" s="448"/>
      <c r="G31" s="448"/>
      <c r="H31" s="448"/>
      <c r="I31" s="448"/>
      <c r="J31" s="448"/>
    </row>
    <row r="32" spans="1:12" x14ac:dyDescent="0.3">
      <c r="B32" s="448"/>
      <c r="C32" s="448"/>
      <c r="D32" s="448"/>
      <c r="E32" s="448"/>
      <c r="F32" s="448"/>
      <c r="G32" s="448"/>
      <c r="H32" s="448"/>
      <c r="I32" s="448"/>
      <c r="J32" s="448"/>
    </row>
    <row r="33" spans="2:10" x14ac:dyDescent="0.3">
      <c r="B33" s="322" t="str">
        <f ca="1">IF(L30&gt;0,"Select all cells in the 'Program Name' column that contain *Hide* and press Ctrl+9 to hide rows.",IF(L30&lt;0,"Select all cells in Program Name column and press Shift+Ctrl+9 to unhide all rows.",""))</f>
        <v>Select all cells in Program Name column and press Shift+Ctrl+9 to unhide all rows.</v>
      </c>
      <c r="C33" s="448"/>
      <c r="D33" s="448"/>
      <c r="E33" s="448"/>
      <c r="F33" s="448"/>
      <c r="G33" s="448"/>
      <c r="H33" s="448"/>
      <c r="I33" s="448"/>
      <c r="J33" s="448"/>
    </row>
    <row r="34" spans="2:10" x14ac:dyDescent="0.3">
      <c r="B34" s="322"/>
      <c r="C34" s="448"/>
      <c r="D34" s="448"/>
      <c r="E34" s="448"/>
      <c r="F34" s="448"/>
      <c r="G34" s="448"/>
      <c r="H34" s="448"/>
      <c r="I34" s="448"/>
      <c r="J34" s="448"/>
    </row>
    <row r="35" spans="2:10" x14ac:dyDescent="0.3">
      <c r="B35" s="448"/>
      <c r="C35" s="448"/>
      <c r="D35" s="448"/>
      <c r="E35" s="448"/>
      <c r="F35" s="448"/>
      <c r="G35" s="448"/>
      <c r="H35" s="448"/>
      <c r="I35" s="448"/>
      <c r="J35" s="448"/>
    </row>
    <row r="36" spans="2:10" x14ac:dyDescent="0.3">
      <c r="B36" s="448"/>
      <c r="C36" s="448"/>
      <c r="D36" s="448"/>
      <c r="E36" s="448"/>
      <c r="F36" s="448"/>
      <c r="G36" s="448"/>
      <c r="H36" s="448"/>
      <c r="I36" s="448"/>
      <c r="J36" s="448"/>
    </row>
    <row r="37" spans="2:10" x14ac:dyDescent="0.3">
      <c r="B37" s="448"/>
      <c r="C37" s="448"/>
      <c r="D37" s="448"/>
      <c r="E37" s="448"/>
      <c r="F37" s="448"/>
      <c r="G37" s="448"/>
      <c r="H37" s="448"/>
      <c r="I37" s="448"/>
      <c r="J37" s="448"/>
    </row>
    <row r="38" spans="2:10" x14ac:dyDescent="0.3">
      <c r="B38" s="448"/>
      <c r="C38" s="448"/>
      <c r="D38" s="448"/>
      <c r="E38" s="448"/>
      <c r="F38" s="448"/>
      <c r="G38" s="448"/>
      <c r="H38" s="448"/>
      <c r="I38" s="448"/>
      <c r="J38" s="448"/>
    </row>
    <row r="39" spans="2:10" x14ac:dyDescent="0.3">
      <c r="B39" s="448"/>
      <c r="C39" s="448"/>
      <c r="D39" s="448"/>
      <c r="E39" s="448"/>
      <c r="F39" s="448"/>
      <c r="G39" s="448"/>
      <c r="H39" s="448"/>
      <c r="I39" s="448"/>
      <c r="J39" s="448"/>
    </row>
    <row r="40" spans="2:10" x14ac:dyDescent="0.3">
      <c r="B40" s="448"/>
      <c r="C40" s="448"/>
      <c r="D40" s="448"/>
      <c r="E40" s="448"/>
      <c r="F40" s="448"/>
      <c r="G40" s="448"/>
      <c r="H40" s="448"/>
      <c r="I40" s="448"/>
      <c r="J40" s="448"/>
    </row>
  </sheetData>
  <sheetProtection password="C925" sheet="1" objects="1" scenarios="1" formatColumns="0" formatRows="0"/>
  <mergeCells count="4">
    <mergeCell ref="F6:G6"/>
    <mergeCell ref="I6:I8"/>
    <mergeCell ref="B4:I4"/>
    <mergeCell ref="B2:I2"/>
  </mergeCells>
  <conditionalFormatting sqref="B9:D28 F9:G28 I9:I28">
    <cfRule type="expression" dxfId="7" priority="3">
      <formula>$B9="*Hide*"</formula>
    </cfRule>
  </conditionalFormatting>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H25"/>
  <sheetViews>
    <sheetView showGridLines="0" zoomScale="110" zoomScaleNormal="110" workbookViewId="0"/>
  </sheetViews>
  <sheetFormatPr defaultColWidth="9.109375" defaultRowHeight="13.8" x14ac:dyDescent="0.3"/>
  <cols>
    <col min="1" max="1" width="1" style="2" customWidth="1"/>
    <col min="2" max="2" width="37.77734375" style="2" customWidth="1"/>
    <col min="3" max="3" width="1.109375" style="2" customWidth="1"/>
    <col min="4" max="4" width="8.77734375" style="2" customWidth="1"/>
    <col min="5" max="6" width="12.77734375" style="2" customWidth="1"/>
    <col min="7" max="7" width="8.77734375" style="2" customWidth="1"/>
    <col min="8" max="8" width="1.21875" style="2" customWidth="1"/>
    <col min="9" max="16384" width="9.109375" style="2"/>
  </cols>
  <sheetData>
    <row r="1" spans="1:8" ht="5.0999999999999996" customHeight="1" thickBot="1" x14ac:dyDescent="0.35"/>
    <row r="2" spans="1:8" ht="38.25" customHeight="1" thickBot="1" x14ac:dyDescent="0.35">
      <c r="B2" s="561" t="s">
        <v>543</v>
      </c>
      <c r="C2" s="561"/>
      <c r="D2" s="561"/>
      <c r="E2" s="561"/>
      <c r="F2" s="561"/>
      <c r="G2" s="561"/>
    </row>
    <row r="3" spans="1:8" ht="4.6500000000000004" customHeight="1" thickBot="1" x14ac:dyDescent="0.35"/>
    <row r="4" spans="1:8" ht="23.4" thickBot="1" x14ac:dyDescent="0.45">
      <c r="B4" s="658" t="s">
        <v>584</v>
      </c>
      <c r="C4" s="659"/>
      <c r="D4" s="659"/>
      <c r="E4" s="659"/>
      <c r="F4" s="659"/>
      <c r="G4" s="660"/>
    </row>
    <row r="5" spans="1:8" ht="4.6500000000000004" customHeight="1" thickBot="1" x14ac:dyDescent="0.35">
      <c r="B5" s="148"/>
      <c r="G5" s="149"/>
    </row>
    <row r="6" spans="1:8" ht="13.65" customHeight="1" thickBot="1" x14ac:dyDescent="0.35">
      <c r="A6" s="448"/>
      <c r="B6" s="129"/>
      <c r="C6" s="130"/>
      <c r="D6" s="661" t="str">
        <f>Titles!F2&amp;" Total Expenditures"</f>
        <v>2025 Total Expenditures</v>
      </c>
      <c r="E6" s="666"/>
      <c r="F6" s="666"/>
      <c r="G6" s="662"/>
      <c r="H6" s="448"/>
    </row>
    <row r="7" spans="1:8" ht="11.25" customHeight="1" x14ac:dyDescent="0.3">
      <c r="A7" s="448"/>
      <c r="B7" s="504"/>
      <c r="C7" s="448"/>
      <c r="D7" s="134" t="s">
        <v>585</v>
      </c>
      <c r="E7" s="85" t="s">
        <v>517</v>
      </c>
      <c r="F7" s="86" t="s">
        <v>518</v>
      </c>
      <c r="G7" s="135" t="s">
        <v>585</v>
      </c>
      <c r="H7" s="448"/>
    </row>
    <row r="8" spans="1:8" ht="11.25" customHeight="1" thickBot="1" x14ac:dyDescent="0.35">
      <c r="A8" s="448"/>
      <c r="B8" s="84" t="s">
        <v>586</v>
      </c>
      <c r="C8" s="130"/>
      <c r="D8" s="136" t="s">
        <v>154</v>
      </c>
      <c r="E8" s="137" t="s">
        <v>583</v>
      </c>
      <c r="F8" s="132" t="s">
        <v>583</v>
      </c>
      <c r="G8" s="131" t="s">
        <v>154</v>
      </c>
      <c r="H8" s="448"/>
    </row>
    <row r="9" spans="1:8" ht="12.75" customHeight="1" x14ac:dyDescent="0.3">
      <c r="A9" s="448"/>
      <c r="B9" s="506" t="str">
        <f>Tables!B34</f>
        <v>Planning / Design</v>
      </c>
      <c r="C9" s="448"/>
      <c r="D9" s="94">
        <f>IF(ISERROR(E9/$E$15),"-",(E9/$E$15))</f>
        <v>0</v>
      </c>
      <c r="E9" s="141">
        <f>Tables!C34</f>
        <v>0</v>
      </c>
      <c r="F9" s="141">
        <f>Tables!D34</f>
        <v>0</v>
      </c>
      <c r="G9" s="133">
        <f>IF(ISERROR(F9/$F$15),"-",(F9/$F$15))</f>
        <v>0</v>
      </c>
      <c r="H9" s="448"/>
    </row>
    <row r="10" spans="1:8" ht="12.75" customHeight="1" x14ac:dyDescent="0.3">
      <c r="A10" s="448"/>
      <c r="B10" s="508" t="str">
        <f>Tables!B35</f>
        <v>Marketing &amp; Delivery</v>
      </c>
      <c r="C10" s="448"/>
      <c r="D10" s="138">
        <f t="shared" ref="D10:D15" si="0">IF(ISERROR(E10/$E$15),"-",(E10/$E$15))</f>
        <v>4.8552301098962664E-2</v>
      </c>
      <c r="E10" s="142">
        <f>Tables!C35</f>
        <v>5200</v>
      </c>
      <c r="F10" s="142">
        <f>Tables!D35</f>
        <v>0</v>
      </c>
      <c r="G10" s="145">
        <f t="shared" ref="G10:G15" si="1">IF(ISERROR(F10/$F$15),"-",(F10/$F$15))</f>
        <v>0</v>
      </c>
      <c r="H10" s="448"/>
    </row>
    <row r="11" spans="1:8" ht="12.75" customHeight="1" x14ac:dyDescent="0.3">
      <c r="A11" s="448"/>
      <c r="B11" s="508" t="str">
        <f>Tables!B36</f>
        <v>Incentives / Direct Install Costs</v>
      </c>
      <c r="C11" s="448"/>
      <c r="D11" s="138">
        <f t="shared" si="0"/>
        <v>0.80672449370220634</v>
      </c>
      <c r="E11" s="142">
        <f>Tables!C36</f>
        <v>86401</v>
      </c>
      <c r="F11" s="142">
        <f>Tables!D36</f>
        <v>30271.94</v>
      </c>
      <c r="G11" s="145">
        <f t="shared" si="1"/>
        <v>0.8678187725236427</v>
      </c>
      <c r="H11" s="448"/>
    </row>
    <row r="12" spans="1:8" ht="12.75" customHeight="1" x14ac:dyDescent="0.3">
      <c r="A12" s="448"/>
      <c r="B12" s="508" t="str">
        <f>Tables!B37</f>
        <v>EM&amp;V</v>
      </c>
      <c r="C12" s="448"/>
      <c r="D12" s="138">
        <f t="shared" si="0"/>
        <v>2.3342452451424356E-2</v>
      </c>
      <c r="E12" s="142">
        <f>Tables!C37</f>
        <v>2500</v>
      </c>
      <c r="F12" s="142">
        <f>Tables!D37</f>
        <v>2687.5</v>
      </c>
      <c r="G12" s="145">
        <f t="shared" si="1"/>
        <v>7.7043722706813297E-2</v>
      </c>
      <c r="H12" s="448"/>
    </row>
    <row r="13" spans="1:8" ht="12.75" customHeight="1" x14ac:dyDescent="0.3">
      <c r="A13" s="448"/>
      <c r="B13" s="508" t="str">
        <f>Tables!B38</f>
        <v>Administration</v>
      </c>
      <c r="C13" s="448"/>
      <c r="D13" s="138">
        <f t="shared" si="0"/>
        <v>9.3369809805697423E-2</v>
      </c>
      <c r="E13" s="142">
        <f>Tables!C38</f>
        <v>10000</v>
      </c>
      <c r="F13" s="142">
        <f>Tables!D38</f>
        <v>1000</v>
      </c>
      <c r="G13" s="145">
        <f t="shared" si="1"/>
        <v>2.8667431704860764E-2</v>
      </c>
      <c r="H13" s="448"/>
    </row>
    <row r="14" spans="1:8" ht="12.75" customHeight="1" thickBot="1" x14ac:dyDescent="0.35">
      <c r="A14" s="448"/>
      <c r="B14" s="508" t="str">
        <f>Tables!B39</f>
        <v>Regulatory</v>
      </c>
      <c r="C14" s="448"/>
      <c r="D14" s="139">
        <f t="shared" si="0"/>
        <v>2.8010942941709228E-2</v>
      </c>
      <c r="E14" s="143">
        <f>Tables!C39</f>
        <v>3000</v>
      </c>
      <c r="F14" s="143">
        <f>Tables!D39</f>
        <v>923.35</v>
      </c>
      <c r="G14" s="146">
        <f t="shared" si="1"/>
        <v>2.6470073064683186E-2</v>
      </c>
      <c r="H14" s="448"/>
    </row>
    <row r="15" spans="1:8" ht="12.75" customHeight="1" thickBot="1" x14ac:dyDescent="0.35">
      <c r="A15" s="448"/>
      <c r="B15" s="510"/>
      <c r="C15" s="511"/>
      <c r="D15" s="140">
        <f t="shared" si="0"/>
        <v>1</v>
      </c>
      <c r="E15" s="144">
        <f>SUM(E9:E14)</f>
        <v>107101</v>
      </c>
      <c r="F15" s="144">
        <f>SUM(F9:F14)</f>
        <v>34882.79</v>
      </c>
      <c r="G15" s="147">
        <f t="shared" si="1"/>
        <v>1</v>
      </c>
      <c r="H15" s="448"/>
    </row>
    <row r="16" spans="1:8" x14ac:dyDescent="0.3">
      <c r="A16" s="448"/>
      <c r="B16" s="448"/>
      <c r="C16" s="448"/>
      <c r="D16" s="448"/>
      <c r="E16" s="448"/>
      <c r="F16" s="448"/>
      <c r="G16" s="448"/>
      <c r="H16" s="448"/>
    </row>
    <row r="17" spans="2:8" x14ac:dyDescent="0.3">
      <c r="B17" s="448"/>
      <c r="C17" s="448"/>
      <c r="D17" s="448"/>
      <c r="E17" s="448"/>
      <c r="F17" s="448"/>
      <c r="G17" s="448"/>
      <c r="H17" s="448"/>
    </row>
    <row r="18" spans="2:8" x14ac:dyDescent="0.3">
      <c r="B18" s="448"/>
      <c r="C18" s="448"/>
      <c r="D18" s="448"/>
      <c r="E18" s="448"/>
      <c r="F18" s="448"/>
      <c r="G18" s="448"/>
      <c r="H18" s="448"/>
    </row>
    <row r="19" spans="2:8" x14ac:dyDescent="0.3">
      <c r="B19" s="448"/>
      <c r="C19" s="448"/>
      <c r="D19" s="448"/>
      <c r="E19" s="448"/>
      <c r="F19" s="448"/>
      <c r="G19" s="448"/>
      <c r="H19" s="448"/>
    </row>
    <row r="20" spans="2:8" x14ac:dyDescent="0.3">
      <c r="B20" s="448"/>
      <c r="C20" s="448"/>
      <c r="D20" s="448"/>
      <c r="E20" s="448"/>
      <c r="F20" s="448"/>
      <c r="G20" s="448"/>
      <c r="H20" s="448"/>
    </row>
    <row r="21" spans="2:8" x14ac:dyDescent="0.3">
      <c r="B21" s="448"/>
      <c r="C21" s="448"/>
      <c r="D21" s="448"/>
      <c r="E21" s="448"/>
      <c r="F21" s="448"/>
      <c r="G21" s="448"/>
      <c r="H21" s="448"/>
    </row>
    <row r="22" spans="2:8" x14ac:dyDescent="0.3">
      <c r="B22" s="448"/>
      <c r="C22" s="448"/>
      <c r="D22" s="448"/>
      <c r="E22" s="448"/>
      <c r="F22" s="448"/>
      <c r="G22" s="448"/>
      <c r="H22" s="448"/>
    </row>
    <row r="23" spans="2:8" x14ac:dyDescent="0.3">
      <c r="B23" s="448"/>
      <c r="C23" s="448"/>
      <c r="D23" s="448"/>
      <c r="E23" s="448"/>
      <c r="F23" s="448"/>
      <c r="G23" s="448"/>
      <c r="H23" s="448"/>
    </row>
    <row r="24" spans="2:8" x14ac:dyDescent="0.3">
      <c r="B24" s="448"/>
      <c r="C24" s="448"/>
      <c r="D24" s="448"/>
      <c r="E24" s="448"/>
      <c r="F24" s="448"/>
      <c r="G24" s="448"/>
      <c r="H24" s="448"/>
    </row>
    <row r="25" spans="2:8" x14ac:dyDescent="0.3">
      <c r="B25" s="448"/>
      <c r="C25" s="448"/>
      <c r="D25" s="448"/>
      <c r="E25" s="448"/>
      <c r="F25" s="448"/>
      <c r="G25" s="448"/>
      <c r="H25" s="448"/>
    </row>
  </sheetData>
  <sheetProtection algorithmName="SHA-512" hashValue="+Qj5ORy8MLV2uFAfWgLa7WyOAuqP6iVUEsTdFKu54gtHFplCuFIoz1amUKS8JwRGRKi7ehvbpw4zuglDeWovoQ==" saltValue="9cwvHCqdZuI2a/6fE7SEuQ==" spinCount="100000"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12"/>
  <sheetViews>
    <sheetView showGridLines="0" topLeftCell="C1" zoomScaleNormal="100" workbookViewId="0">
      <pane ySplit="4" topLeftCell="A5" activePane="bottomLeft" state="frozen"/>
      <selection activeCell="P31" sqref="P31"/>
      <selection pane="bottomLeft" activeCell="K8" sqref="K8:K12"/>
    </sheetView>
  </sheetViews>
  <sheetFormatPr defaultColWidth="9.109375" defaultRowHeight="13.8" x14ac:dyDescent="0.3"/>
  <cols>
    <col min="1" max="1" width="1" style="2" customWidth="1"/>
    <col min="2" max="2" width="3.77734375" style="2" customWidth="1"/>
    <col min="3" max="3" width="28.44140625" style="2" customWidth="1"/>
    <col min="4" max="4" width="35.77734375" style="2" customWidth="1"/>
    <col min="5" max="5" width="21.88671875" style="2" customWidth="1"/>
    <col min="6" max="6" width="24.88671875" style="2" customWidth="1"/>
    <col min="7" max="7" width="29.88671875" style="2" customWidth="1"/>
    <col min="8" max="8" width="7.109375" style="2" customWidth="1"/>
    <col min="9" max="9" width="9.77734375" style="2" customWidth="1"/>
    <col min="10" max="10" width="1" style="2" customWidth="1"/>
    <col min="11" max="11" width="16" style="2" customWidth="1"/>
    <col min="12" max="12" width="0" style="2" hidden="1" customWidth="1"/>
    <col min="13" max="16384" width="9.109375" style="2"/>
  </cols>
  <sheetData>
    <row r="1" spans="2:12" ht="28.5" customHeight="1" x14ac:dyDescent="0.3"/>
    <row r="2" spans="2:12" ht="96.75" customHeight="1" x14ac:dyDescent="0.3">
      <c r="B2" s="453"/>
      <c r="C2" s="454"/>
      <c r="D2" s="454"/>
      <c r="E2" s="454"/>
      <c r="F2" s="454"/>
      <c r="G2" s="454"/>
      <c r="H2" s="454"/>
      <c r="I2" s="455"/>
    </row>
    <row r="3" spans="2:12" ht="12.75" customHeight="1" x14ac:dyDescent="0.3">
      <c r="B3" s="456"/>
      <c r="C3" s="336"/>
      <c r="D3" s="339" t="str">
        <f>IF(L25&gt;0,"Incomplete - All yellow shaded cells must be completed.","")</f>
        <v/>
      </c>
      <c r="E3" s="336"/>
      <c r="F3" s="336"/>
      <c r="G3" s="336"/>
      <c r="H3" s="336"/>
      <c r="I3" s="457"/>
    </row>
    <row r="4" spans="2:12" ht="21" customHeight="1" x14ac:dyDescent="0.3">
      <c r="B4" s="3"/>
      <c r="D4" s="9" t="s">
        <v>82</v>
      </c>
      <c r="E4" s="9" t="s">
        <v>83</v>
      </c>
      <c r="F4" s="9" t="s">
        <v>84</v>
      </c>
      <c r="G4" s="9" t="s">
        <v>85</v>
      </c>
      <c r="I4" s="4"/>
    </row>
    <row r="5" spans="2:12" ht="15" customHeight="1" x14ac:dyDescent="0.3">
      <c r="B5" s="259">
        <v>1</v>
      </c>
      <c r="C5" s="458" t="str">
        <f t="shared" ref="C5:C24" si="0">IF(ISBLANK(D5),"Empty",D5)</f>
        <v>Residential Products</v>
      </c>
      <c r="D5" s="427" t="s">
        <v>86</v>
      </c>
      <c r="E5" s="169" t="s">
        <v>87</v>
      </c>
      <c r="F5" s="169" t="s">
        <v>88</v>
      </c>
      <c r="G5" s="169" t="s">
        <v>89</v>
      </c>
      <c r="I5" s="4"/>
      <c r="L5" s="321">
        <f t="shared" ref="L5:L24" si="1">IF(C5="Empty",0,IF(OR(ISBLANK(E5),ISBLANK(F5),ISBLANK(G5)),1,0))</f>
        <v>0</v>
      </c>
    </row>
    <row r="6" spans="2:12" ht="15" customHeight="1" x14ac:dyDescent="0.3">
      <c r="B6" s="259">
        <v>2</v>
      </c>
      <c r="C6" s="458" t="str">
        <f t="shared" si="0"/>
        <v>School-Based Energy Education</v>
      </c>
      <c r="D6" s="427" t="s">
        <v>90</v>
      </c>
      <c r="E6" s="169" t="s">
        <v>87</v>
      </c>
      <c r="F6" s="169" t="s">
        <v>88</v>
      </c>
      <c r="G6" s="169" t="s">
        <v>91</v>
      </c>
      <c r="I6" s="4"/>
      <c r="L6" s="321">
        <f t="shared" si="1"/>
        <v>0</v>
      </c>
    </row>
    <row r="7" spans="2:12" ht="15" customHeight="1" x14ac:dyDescent="0.3">
      <c r="B7" s="259">
        <v>3</v>
      </c>
      <c r="C7" s="458" t="str">
        <f t="shared" ref="C7:C15" si="2">IF(ISBLANK(D7),"Empty",D7)</f>
        <v>Weatherization</v>
      </c>
      <c r="D7" s="427" t="s">
        <v>92</v>
      </c>
      <c r="E7" s="169" t="s">
        <v>87</v>
      </c>
      <c r="F7" s="169" t="s">
        <v>93</v>
      </c>
      <c r="G7" s="169" t="s">
        <v>89</v>
      </c>
      <c r="I7" s="4"/>
      <c r="L7" s="321">
        <f>IF(C7="Empty",0,IF(OR(ISBLANK(#REF!),ISBLANK(#REF!),ISBLANK(#REF!)),1,0))</f>
        <v>0</v>
      </c>
    </row>
    <row r="8" spans="2:12" ht="15" customHeight="1" x14ac:dyDescent="0.3">
      <c r="B8" s="259">
        <v>4</v>
      </c>
      <c r="C8" s="458" t="str">
        <f t="shared" si="2"/>
        <v>Commercial and Industrial (Custom)</v>
      </c>
      <c r="D8" s="427" t="s">
        <v>94</v>
      </c>
      <c r="E8" s="169" t="s">
        <v>95</v>
      </c>
      <c r="F8" s="169" t="s">
        <v>96</v>
      </c>
      <c r="G8" s="169" t="s">
        <v>89</v>
      </c>
      <c r="I8" s="4"/>
      <c r="K8" s="708"/>
      <c r="L8" s="321">
        <f>IF(C8="Empty",0,IF(OR(ISBLANK(E7),ISBLANK(F7),ISBLANK(G7)),1,0))</f>
        <v>0</v>
      </c>
    </row>
    <row r="9" spans="2:12" ht="15" customHeight="1" x14ac:dyDescent="0.3">
      <c r="B9" s="259">
        <v>5</v>
      </c>
      <c r="C9" s="458" t="str">
        <f t="shared" si="2"/>
        <v>Commercial and Industrial (Prescriptive)</v>
      </c>
      <c r="D9" s="427" t="s">
        <v>97</v>
      </c>
      <c r="E9" s="169" t="s">
        <v>95</v>
      </c>
      <c r="F9" s="169" t="s">
        <v>98</v>
      </c>
      <c r="G9" s="169" t="s">
        <v>89</v>
      </c>
      <c r="I9" s="4"/>
      <c r="K9" s="708"/>
      <c r="L9" s="321">
        <f>IF(C9="Empty",0,IF(OR(ISBLANK(E8),ISBLANK(F8),ISBLANK(G8)),1,0))</f>
        <v>0</v>
      </c>
    </row>
    <row r="10" spans="2:12" ht="15" customHeight="1" x14ac:dyDescent="0.3">
      <c r="B10" s="259">
        <v>6</v>
      </c>
      <c r="C10" s="458" t="str">
        <f t="shared" si="2"/>
        <v>Online Energy Calculator</v>
      </c>
      <c r="D10" s="427" t="s">
        <v>99</v>
      </c>
      <c r="E10" s="169" t="s">
        <v>100</v>
      </c>
      <c r="F10" s="169" t="s">
        <v>101</v>
      </c>
      <c r="G10" s="169" t="s">
        <v>89</v>
      </c>
      <c r="I10" s="4"/>
      <c r="K10" s="708"/>
      <c r="L10" s="321">
        <f>IF(C10="Empty",0,IF(OR(ISBLANK(E9),ISBLANK(F9),ISBLANK(G9)),1,0))</f>
        <v>0</v>
      </c>
    </row>
    <row r="11" spans="2:12" ht="15" customHeight="1" x14ac:dyDescent="0.3">
      <c r="B11" s="259">
        <v>7</v>
      </c>
      <c r="C11" s="458" t="str">
        <f t="shared" si="2"/>
        <v>Administration</v>
      </c>
      <c r="D11" s="427" t="s">
        <v>102</v>
      </c>
      <c r="E11" s="169" t="s">
        <v>100</v>
      </c>
      <c r="F11" s="169" t="s">
        <v>103</v>
      </c>
      <c r="G11" s="169" t="s">
        <v>104</v>
      </c>
      <c r="I11" s="4"/>
      <c r="K11" s="708"/>
      <c r="L11" s="321">
        <f>IF(C11="Empty",0,IF(OR(ISBLANK(E11),ISBLANK(F11),ISBLANK(G11)),1,0))</f>
        <v>0</v>
      </c>
    </row>
    <row r="12" spans="2:12" ht="13.05" customHeight="1" x14ac:dyDescent="0.3">
      <c r="B12" s="259">
        <v>8</v>
      </c>
      <c r="C12" s="458" t="str">
        <f t="shared" si="2"/>
        <v>Marketing</v>
      </c>
      <c r="D12" s="427" t="s">
        <v>105</v>
      </c>
      <c r="E12" s="169" t="s">
        <v>100</v>
      </c>
      <c r="F12" s="169" t="s">
        <v>103</v>
      </c>
      <c r="G12" s="169" t="s">
        <v>104</v>
      </c>
      <c r="I12" s="4"/>
      <c r="K12" s="708"/>
      <c r="L12" s="321">
        <f>IF(C12="Empty",0,IF(OR(ISBLANK(E12),ISBLANK(F12),ISBLANK(G12)),1,0))</f>
        <v>0</v>
      </c>
    </row>
    <row r="13" spans="2:12" x14ac:dyDescent="0.3">
      <c r="B13" s="259">
        <v>9</v>
      </c>
      <c r="C13" s="458" t="str">
        <f t="shared" si="2"/>
        <v>EM&amp;V</v>
      </c>
      <c r="D13" s="427" t="s">
        <v>106</v>
      </c>
      <c r="E13" s="169" t="s">
        <v>100</v>
      </c>
      <c r="F13" s="169" t="s">
        <v>103</v>
      </c>
      <c r="G13" s="169" t="s">
        <v>107</v>
      </c>
      <c r="I13" s="4"/>
      <c r="L13" s="321">
        <f>IF(C13="Empty",0,IF(OR(ISBLANK(E13),ISBLANK(F13),ISBLANK(G13)),1,0))</f>
        <v>0</v>
      </c>
    </row>
    <row r="14" spans="2:12" x14ac:dyDescent="0.3">
      <c r="B14" s="259">
        <v>10</v>
      </c>
      <c r="C14" s="458" t="str">
        <f t="shared" si="2"/>
        <v>Empty</v>
      </c>
      <c r="D14" s="427"/>
      <c r="E14" s="169"/>
      <c r="F14" s="169"/>
      <c r="G14" s="169"/>
      <c r="I14" s="4"/>
      <c r="L14" s="321">
        <f>IF(C14="Empty",0,IF(OR(ISBLANK(E14),ISBLANK(F14),ISBLANK(G14)),1,0))</f>
        <v>0</v>
      </c>
    </row>
    <row r="15" spans="2:12" x14ac:dyDescent="0.3">
      <c r="B15" s="259">
        <v>11</v>
      </c>
      <c r="C15" s="458" t="str">
        <f t="shared" si="2"/>
        <v>Empty</v>
      </c>
      <c r="D15" s="427"/>
      <c r="E15" s="169"/>
      <c r="F15" s="169"/>
      <c r="G15" s="169"/>
      <c r="I15" s="4"/>
      <c r="L15" s="321">
        <f>IF(C15="Empty",0,IF(OR(ISBLANK(E15),ISBLANK(F15),ISBLANK(G15)),1,0))</f>
        <v>0</v>
      </c>
    </row>
    <row r="16" spans="2:12" x14ac:dyDescent="0.3">
      <c r="B16" s="259">
        <v>12</v>
      </c>
      <c r="C16" s="458" t="str">
        <f t="shared" si="0"/>
        <v>Empty</v>
      </c>
      <c r="D16" s="427"/>
      <c r="E16" s="169"/>
      <c r="F16" s="169"/>
      <c r="G16" s="169"/>
      <c r="I16" s="4"/>
      <c r="L16" s="321">
        <f t="shared" si="1"/>
        <v>0</v>
      </c>
    </row>
    <row r="17" spans="2:12" x14ac:dyDescent="0.3">
      <c r="B17" s="259">
        <v>13</v>
      </c>
      <c r="C17" s="458" t="str">
        <f t="shared" si="0"/>
        <v>Empty</v>
      </c>
      <c r="D17" s="427"/>
      <c r="E17" s="169"/>
      <c r="F17" s="169"/>
      <c r="G17" s="169"/>
      <c r="I17" s="4"/>
      <c r="L17" s="321">
        <f t="shared" si="1"/>
        <v>0</v>
      </c>
    </row>
    <row r="18" spans="2:12" x14ac:dyDescent="0.3">
      <c r="B18" s="259">
        <v>14</v>
      </c>
      <c r="C18" s="458" t="str">
        <f t="shared" si="0"/>
        <v>Empty</v>
      </c>
      <c r="D18" s="427"/>
      <c r="E18" s="169"/>
      <c r="F18" s="169"/>
      <c r="G18" s="169"/>
      <c r="I18" s="4"/>
      <c r="L18" s="321">
        <f t="shared" si="1"/>
        <v>0</v>
      </c>
    </row>
    <row r="19" spans="2:12" x14ac:dyDescent="0.3">
      <c r="B19" s="259">
        <v>15</v>
      </c>
      <c r="C19" s="458" t="str">
        <f t="shared" si="0"/>
        <v>Empty</v>
      </c>
      <c r="D19" s="427"/>
      <c r="E19" s="169"/>
      <c r="F19" s="169"/>
      <c r="G19" s="169"/>
      <c r="I19" s="4"/>
      <c r="L19" s="321">
        <f t="shared" si="1"/>
        <v>0</v>
      </c>
    </row>
    <row r="20" spans="2:12" x14ac:dyDescent="0.3">
      <c r="B20" s="259">
        <v>16</v>
      </c>
      <c r="C20" s="458" t="str">
        <f t="shared" si="0"/>
        <v>Empty</v>
      </c>
      <c r="D20" s="427"/>
      <c r="E20" s="169"/>
      <c r="F20" s="169"/>
      <c r="G20" s="169"/>
      <c r="I20" s="4"/>
      <c r="L20" s="321">
        <f t="shared" si="1"/>
        <v>0</v>
      </c>
    </row>
    <row r="21" spans="2:12" x14ac:dyDescent="0.3">
      <c r="B21" s="259">
        <v>17</v>
      </c>
      <c r="C21" s="458" t="str">
        <f t="shared" si="0"/>
        <v>Empty</v>
      </c>
      <c r="D21" s="427"/>
      <c r="E21" s="169"/>
      <c r="F21" s="169"/>
      <c r="G21" s="169"/>
      <c r="I21" s="4"/>
      <c r="L21" s="321">
        <f t="shared" si="1"/>
        <v>0</v>
      </c>
    </row>
    <row r="22" spans="2:12" x14ac:dyDescent="0.3">
      <c r="B22" s="259">
        <v>18</v>
      </c>
      <c r="C22" s="458" t="str">
        <f t="shared" si="0"/>
        <v>Empty</v>
      </c>
      <c r="D22" s="427"/>
      <c r="E22" s="169"/>
      <c r="F22" s="169"/>
      <c r="G22" s="169"/>
      <c r="I22" s="4"/>
      <c r="L22" s="321">
        <f t="shared" si="1"/>
        <v>0</v>
      </c>
    </row>
    <row r="23" spans="2:12" x14ac:dyDescent="0.3">
      <c r="B23" s="259">
        <v>19</v>
      </c>
      <c r="C23" s="458" t="str">
        <f t="shared" si="0"/>
        <v>Empty</v>
      </c>
      <c r="D23" s="427"/>
      <c r="E23" s="169"/>
      <c r="F23" s="169"/>
      <c r="G23" s="169"/>
      <c r="I23" s="4"/>
      <c r="L23" s="321">
        <f t="shared" si="1"/>
        <v>0</v>
      </c>
    </row>
    <row r="24" spans="2:12" x14ac:dyDescent="0.3">
      <c r="B24" s="259">
        <v>20</v>
      </c>
      <c r="C24" s="458" t="str">
        <f t="shared" si="0"/>
        <v>Empty</v>
      </c>
      <c r="D24" s="427"/>
      <c r="E24" s="169"/>
      <c r="F24" s="169"/>
      <c r="G24" s="169"/>
      <c r="I24" s="4"/>
      <c r="L24" s="321">
        <f t="shared" si="1"/>
        <v>0</v>
      </c>
    </row>
    <row r="25" spans="2:12" ht="15" customHeight="1" x14ac:dyDescent="0.3">
      <c r="B25" s="5"/>
      <c r="C25" s="6"/>
      <c r="D25" s="6"/>
      <c r="E25" s="6"/>
      <c r="F25" s="6"/>
      <c r="G25" s="6"/>
      <c r="H25" s="6"/>
      <c r="I25" s="7"/>
      <c r="L25" s="364">
        <f>SUM(L5:L24)</f>
        <v>0</v>
      </c>
    </row>
    <row r="26" spans="2:12" ht="15" customHeight="1" x14ac:dyDescent="0.3"/>
    <row r="27" spans="2:12" ht="15" customHeight="1" x14ac:dyDescent="0.3"/>
    <row r="28" spans="2:12" ht="15" customHeight="1" x14ac:dyDescent="0.3"/>
    <row r="29" spans="2:12" ht="15" customHeight="1" x14ac:dyDescent="0.3"/>
    <row r="30" spans="2:12" ht="15" customHeight="1" x14ac:dyDescent="0.3"/>
    <row r="31" spans="2:12" ht="15" customHeight="1" x14ac:dyDescent="0.3"/>
    <row r="32" spans="2:1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sheetData>
  <sheetProtection formatRows="0"/>
  <conditionalFormatting sqref="E5:G6 E11:G24">
    <cfRule type="expression" dxfId="89" priority="2">
      <formula>$B5&gt;Programs</formula>
    </cfRule>
  </conditionalFormatting>
  <conditionalFormatting sqref="E7:G9 E10:F10">
    <cfRule type="expression" dxfId="88" priority="73">
      <formula>$B8&gt;Programs</formula>
    </cfRule>
  </conditionalFormatting>
  <conditionalFormatting sqref="G10">
    <cfRule type="expression" dxfId="87" priority="1">
      <formula>$B10&gt;Programs</formula>
    </cfRule>
  </conditionalFormatting>
  <dataValidations count="7">
    <dataValidation type="textLength" allowBlank="1" showInputMessage="1" showErrorMessage="1" error="Shorten length of program name to 25 characters or less." sqref="D11:D24 D5:D9" xr:uid="{C27C557E-B635-4874-AE8F-AAE0FE35FC8E}">
      <formula1>0</formula1>
      <formula2>25</formula2>
    </dataValidation>
    <dataValidation type="list" allowBlank="1" showInputMessage="1" showErrorMessage="1" sqref="E5:E6 E11:E24" xr:uid="{F0A86422-83BB-4032-A5A2-AD00DEEFA66B}">
      <formula1>IF($C5="Empty",Prg_Empty,Sector_Type)</formula1>
    </dataValidation>
    <dataValidation type="list" allowBlank="1" showInputMessage="1" showErrorMessage="1" sqref="E7:E9" xr:uid="{DE11F112-BF40-4550-A035-0C1A17B255C5}">
      <formula1>IF($C8="Empty",Prg_Empty,Sector_Type)</formula1>
    </dataValidation>
    <dataValidation type="list" allowBlank="1" showInputMessage="1" showErrorMessage="1" sqref="F5:F6 F11:F24" xr:uid="{8E9BE118-5F6C-4319-84C3-523F99114F7A}">
      <formula1>IF($C5="Empty",Prg_Empty,Prg_Type)</formula1>
    </dataValidation>
    <dataValidation type="list" allowBlank="1" showInputMessage="1" showErrorMessage="1" sqref="F7:F9" xr:uid="{3B2FB4AA-0F5E-4315-B92A-7B50ABF32B46}">
      <formula1>IF($C8="Empty",Prg_Empty,Prg_Type)</formula1>
    </dataValidation>
    <dataValidation type="list" allowBlank="1" showInputMessage="1" showErrorMessage="1" sqref="G5:G6 G11:G24" xr:uid="{2DA2E994-4E75-4004-9BF6-9A74B74D9DF1}">
      <formula1>IF($C5="Empty",Prg_Empty,D_Channel)</formula1>
    </dataValidation>
    <dataValidation type="list" allowBlank="1" showInputMessage="1" showErrorMessage="1" sqref="G7:G9" xr:uid="{152345A5-1ED8-4CE8-9147-70CDD684FF68}">
      <formula1>IF($C8="Empty",Prg_Empty,D_Channel)</formula1>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O24"/>
  <sheetViews>
    <sheetView showGridLines="0" zoomScale="110" zoomScaleNormal="110" workbookViewId="0">
      <selection activeCell="P17" sqref="P17"/>
    </sheetView>
  </sheetViews>
  <sheetFormatPr defaultColWidth="9.109375" defaultRowHeight="13.8" x14ac:dyDescent="0.3"/>
  <cols>
    <col min="1" max="1" width="1" style="2" customWidth="1"/>
    <col min="2" max="2" width="9.44140625" style="2" customWidth="1"/>
    <col min="3" max="3" width="1" style="2" customWidth="1"/>
    <col min="4" max="4" width="12.109375" style="2" customWidth="1"/>
    <col min="5" max="5" width="11" style="2" customWidth="1"/>
    <col min="6" max="6" width="8.21875" style="2" customWidth="1"/>
    <col min="7" max="7" width="11" style="2" customWidth="1"/>
    <col min="8" max="8" width="8.109375" style="2" customWidth="1"/>
    <col min="9" max="9" width="1" style="2" customWidth="1"/>
    <col min="10" max="10" width="12.109375" style="2" customWidth="1"/>
    <col min="11" max="11" width="11" style="2" customWidth="1"/>
    <col min="12" max="12" width="7.77734375" style="2" customWidth="1"/>
    <col min="13" max="13" width="11" style="2" customWidth="1"/>
    <col min="14" max="14" width="7.77734375" style="2" customWidth="1"/>
    <col min="15" max="15" width="1.21875" style="2" customWidth="1"/>
    <col min="16" max="16384" width="9.109375" style="2"/>
  </cols>
  <sheetData>
    <row r="1" spans="1:15" ht="5.0999999999999996" customHeight="1" thickBot="1" x14ac:dyDescent="0.35"/>
    <row r="2" spans="1:15" ht="38.25" customHeight="1" thickBot="1" x14ac:dyDescent="0.35">
      <c r="B2" s="561" t="s">
        <v>544</v>
      </c>
      <c r="C2" s="561"/>
      <c r="D2" s="561"/>
      <c r="E2" s="561"/>
      <c r="F2" s="561"/>
      <c r="G2" s="561"/>
      <c r="H2" s="561"/>
      <c r="I2" s="561"/>
      <c r="J2" s="561"/>
      <c r="K2" s="561"/>
      <c r="L2" s="561"/>
      <c r="M2" s="561"/>
      <c r="N2" s="561"/>
    </row>
    <row r="3" spans="1:15" ht="4.6500000000000004" customHeight="1" thickBot="1" x14ac:dyDescent="0.35"/>
    <row r="4" spans="1:15" ht="23.4" thickBot="1" x14ac:dyDescent="0.45">
      <c r="B4" s="658" t="s">
        <v>10</v>
      </c>
      <c r="C4" s="659"/>
      <c r="D4" s="659"/>
      <c r="E4" s="659"/>
      <c r="F4" s="659"/>
      <c r="G4" s="659"/>
      <c r="H4" s="659"/>
      <c r="I4" s="659"/>
      <c r="J4" s="659"/>
      <c r="K4" s="659"/>
      <c r="L4" s="659"/>
      <c r="M4" s="659"/>
      <c r="N4" s="660"/>
    </row>
    <row r="5" spans="1:15" ht="4.6500000000000004" customHeight="1" thickBot="1" x14ac:dyDescent="0.35">
      <c r="B5" s="148"/>
      <c r="N5" s="149"/>
    </row>
    <row r="6" spans="1:15" ht="13.65" customHeight="1" thickBot="1" x14ac:dyDescent="0.35">
      <c r="A6" s="448"/>
      <c r="B6" s="670" t="s">
        <v>74</v>
      </c>
      <c r="C6" s="130"/>
      <c r="D6" s="667" t="s">
        <v>587</v>
      </c>
      <c r="E6" s="668"/>
      <c r="F6" s="668"/>
      <c r="G6" s="668"/>
      <c r="H6" s="669"/>
      <c r="I6" s="448"/>
      <c r="J6" s="667" t="s">
        <v>532</v>
      </c>
      <c r="K6" s="668"/>
      <c r="L6" s="668"/>
      <c r="M6" s="668"/>
      <c r="N6" s="669"/>
      <c r="O6" s="448"/>
    </row>
    <row r="7" spans="1:15" ht="11.25" customHeight="1" x14ac:dyDescent="0.3">
      <c r="A7" s="448"/>
      <c r="B7" s="671"/>
      <c r="C7" s="448"/>
      <c r="D7" s="672" t="s">
        <v>588</v>
      </c>
      <c r="E7" s="674" t="s">
        <v>517</v>
      </c>
      <c r="F7" s="675"/>
      <c r="G7" s="676" t="s">
        <v>518</v>
      </c>
      <c r="H7" s="675"/>
      <c r="I7" s="448"/>
      <c r="J7" s="672" t="s">
        <v>589</v>
      </c>
      <c r="K7" s="674" t="s">
        <v>519</v>
      </c>
      <c r="L7" s="675"/>
      <c r="M7" s="676" t="s">
        <v>520</v>
      </c>
      <c r="N7" s="675"/>
      <c r="O7" s="448"/>
    </row>
    <row r="8" spans="1:15" ht="55.05" customHeight="1" x14ac:dyDescent="0.3">
      <c r="A8" s="448"/>
      <c r="B8" s="671"/>
      <c r="C8" s="130"/>
      <c r="D8" s="673"/>
      <c r="E8" s="103" t="s">
        <v>590</v>
      </c>
      <c r="F8" s="45" t="s">
        <v>591</v>
      </c>
      <c r="G8" s="512" t="s">
        <v>592</v>
      </c>
      <c r="H8" s="45" t="s">
        <v>591</v>
      </c>
      <c r="I8" s="448"/>
      <c r="J8" s="673"/>
      <c r="K8" s="103" t="s">
        <v>593</v>
      </c>
      <c r="L8" s="45" t="s">
        <v>594</v>
      </c>
      <c r="M8" s="512" t="s">
        <v>595</v>
      </c>
      <c r="N8" s="45" t="s">
        <v>594</v>
      </c>
      <c r="O8" s="448"/>
    </row>
    <row r="9" spans="1:15" ht="12.75" customHeight="1" x14ac:dyDescent="0.3">
      <c r="A9" s="448"/>
      <c r="B9" s="671"/>
      <c r="C9" s="448"/>
      <c r="D9" s="157" t="s">
        <v>224</v>
      </c>
      <c r="E9" s="158" t="s">
        <v>224</v>
      </c>
      <c r="F9" s="159" t="s">
        <v>596</v>
      </c>
      <c r="G9" s="160" t="s">
        <v>224</v>
      </c>
      <c r="H9" s="159" t="s">
        <v>597</v>
      </c>
      <c r="I9" s="513"/>
      <c r="J9" s="157" t="s">
        <v>598</v>
      </c>
      <c r="K9" s="158" t="str">
        <f>J9</f>
        <v>(MWh)</v>
      </c>
      <c r="L9" s="159" t="s">
        <v>599</v>
      </c>
      <c r="M9" s="160" t="str">
        <f>J9</f>
        <v>(MWh)</v>
      </c>
      <c r="N9" s="159" t="s">
        <v>600</v>
      </c>
      <c r="O9" s="448"/>
    </row>
    <row r="10" spans="1:15" ht="12.75" hidden="1" customHeight="1" x14ac:dyDescent="0.3">
      <c r="A10" s="448"/>
      <c r="B10" s="514">
        <v>2018</v>
      </c>
      <c r="C10" s="448"/>
      <c r="D10" s="155">
        <v>15213.456029999998</v>
      </c>
      <c r="E10" s="258">
        <v>136.42599999999999</v>
      </c>
      <c r="F10" s="178">
        <f t="shared" ref="F10" si="0">E10/D10</f>
        <v>8.9674561605841783E-3</v>
      </c>
      <c r="G10" s="515">
        <v>77.85363000000001</v>
      </c>
      <c r="H10" s="178">
        <f t="shared" ref="H10" si="1">G10/D10</f>
        <v>5.1174190694394123E-3</v>
      </c>
      <c r="I10" s="448"/>
      <c r="J10" s="156">
        <v>170907.90700000001</v>
      </c>
      <c r="K10" s="154">
        <v>226.92400000000001</v>
      </c>
      <c r="L10" s="379">
        <f>K10/J10</f>
        <v>1.3277560060459929E-3</v>
      </c>
      <c r="M10" s="516">
        <v>155.02500000000001</v>
      </c>
      <c r="N10" s="379">
        <f>M10/J10</f>
        <v>9.0706745358481273E-4</v>
      </c>
      <c r="O10" s="448"/>
    </row>
    <row r="11" spans="1:15" ht="12.75" customHeight="1" x14ac:dyDescent="0.3">
      <c r="A11" s="448"/>
      <c r="B11" s="514">
        <v>2021</v>
      </c>
      <c r="C11" s="448"/>
      <c r="D11" s="155">
        <v>15845.620429999999</v>
      </c>
      <c r="E11" s="258">
        <v>74.983000000000004</v>
      </c>
      <c r="F11" s="178">
        <v>4.7320961858986045E-3</v>
      </c>
      <c r="G11" s="515">
        <v>82.198309999999992</v>
      </c>
      <c r="H11" s="178">
        <v>5.187446611075992E-3</v>
      </c>
      <c r="I11" s="448"/>
      <c r="J11" s="156">
        <v>164926.91</v>
      </c>
      <c r="K11" s="154">
        <v>419.33699999999999</v>
      </c>
      <c r="L11" s="379">
        <v>2.5425626418393455E-3</v>
      </c>
      <c r="M11" s="516">
        <v>122.59</v>
      </c>
      <c r="N11" s="379">
        <v>7.4329895588294234E-4</v>
      </c>
      <c r="O11" s="448"/>
    </row>
    <row r="12" spans="1:15" ht="12.75" customHeight="1" thickBot="1" x14ac:dyDescent="0.35">
      <c r="A12" s="448"/>
      <c r="B12" s="514">
        <v>2022</v>
      </c>
      <c r="C12" s="704"/>
      <c r="D12" s="155">
        <v>17797.582999999999</v>
      </c>
      <c r="E12" s="258">
        <v>118.524</v>
      </c>
      <c r="F12" s="178">
        <v>6.6595559633013095E-3</v>
      </c>
      <c r="G12" s="515">
        <v>18.422319999999999</v>
      </c>
      <c r="H12" s="178">
        <v>1.0351023506955973E-3</v>
      </c>
      <c r="I12" s="448"/>
      <c r="J12" s="156">
        <v>169635</v>
      </c>
      <c r="K12" s="154">
        <v>419.33699999999999</v>
      </c>
      <c r="L12" s="379">
        <v>2.4719957555928906E-3</v>
      </c>
      <c r="M12" s="516">
        <v>0</v>
      </c>
      <c r="N12" s="379">
        <v>0</v>
      </c>
      <c r="O12" s="448"/>
    </row>
    <row r="13" spans="1:15" ht="12.75" customHeight="1" thickBot="1" x14ac:dyDescent="0.35">
      <c r="A13" s="448"/>
      <c r="B13" s="514">
        <v>2023</v>
      </c>
      <c r="C13" s="511"/>
      <c r="D13" s="155">
        <v>22288</v>
      </c>
      <c r="E13" s="258">
        <v>119</v>
      </c>
      <c r="F13" s="178">
        <v>5.3391959798994972E-3</v>
      </c>
      <c r="G13" s="515">
        <v>35</v>
      </c>
      <c r="H13" s="178">
        <v>1.5703517587939699E-3</v>
      </c>
      <c r="I13" s="448"/>
      <c r="J13" s="156">
        <v>172735</v>
      </c>
      <c r="K13" s="154">
        <v>311</v>
      </c>
      <c r="L13" s="379">
        <v>1.800445769531363E-3</v>
      </c>
      <c r="M13" s="516">
        <v>89</v>
      </c>
      <c r="N13" s="379">
        <v>5.1524010767939332E-4</v>
      </c>
      <c r="O13" s="448"/>
    </row>
    <row r="14" spans="1:15" ht="12.75" customHeight="1" thickBot="1" x14ac:dyDescent="0.35">
      <c r="A14" s="448"/>
      <c r="B14" s="514">
        <v>2024</v>
      </c>
      <c r="C14" s="511"/>
      <c r="D14" s="555">
        <v>17828</v>
      </c>
      <c r="E14" s="258">
        <v>112</v>
      </c>
      <c r="F14" s="705">
        <f>E14/D14</f>
        <v>6.282252636302446E-3</v>
      </c>
      <c r="G14" s="706">
        <v>29</v>
      </c>
      <c r="H14" s="178">
        <f>G14/D14</f>
        <v>1.6266547004711689E-3</v>
      </c>
      <c r="I14" s="448"/>
      <c r="J14" s="156">
        <v>178053</v>
      </c>
      <c r="K14" s="154">
        <v>218</v>
      </c>
      <c r="L14" s="379">
        <f>K14/J14</f>
        <v>1.2243545461182905E-3</v>
      </c>
      <c r="M14" s="516">
        <v>37</v>
      </c>
      <c r="N14" s="379">
        <f>M14/J14</f>
        <v>2.0780329452466399E-4</v>
      </c>
      <c r="O14" s="448"/>
    </row>
    <row r="15" spans="1:15" ht="14.4" thickBot="1" x14ac:dyDescent="0.35">
      <c r="A15" s="448"/>
      <c r="B15" s="514">
        <v>2025</v>
      </c>
      <c r="C15" s="511"/>
      <c r="D15" s="555">
        <v>17104</v>
      </c>
      <c r="E15" s="258">
        <v>107</v>
      </c>
      <c r="F15" s="705">
        <f t="shared" ref="F15" si="2">E15/D15</f>
        <v>6.2558465855940132E-3</v>
      </c>
      <c r="G15" s="706">
        <v>35</v>
      </c>
      <c r="H15" s="178">
        <f t="shared" ref="H15" si="3">G15/D15</f>
        <v>2.0463049579045839E-3</v>
      </c>
      <c r="I15" s="448"/>
      <c r="J15" s="156">
        <v>180875</v>
      </c>
      <c r="K15" s="154">
        <v>218</v>
      </c>
      <c r="L15" s="379">
        <f t="shared" ref="L15" si="4">K15/J15</f>
        <v>1.2052522460262612E-3</v>
      </c>
      <c r="M15" s="516">
        <v>61</v>
      </c>
      <c r="N15" s="379">
        <f t="shared" ref="N15" si="5">M15/J15</f>
        <v>3.3724948168624739E-4</v>
      </c>
      <c r="O15" s="448"/>
    </row>
    <row r="16" spans="1:15" x14ac:dyDescent="0.3">
      <c r="B16" s="448"/>
      <c r="C16" s="448"/>
      <c r="D16" s="448"/>
      <c r="E16" s="448"/>
      <c r="F16" s="448"/>
      <c r="G16" s="448"/>
      <c r="H16" s="448"/>
      <c r="I16" s="448"/>
      <c r="J16" s="448"/>
      <c r="K16" s="448"/>
      <c r="L16" s="448"/>
      <c r="M16" s="448"/>
      <c r="N16" s="448"/>
      <c r="O16" s="448"/>
    </row>
    <row r="17" spans="2:15" x14ac:dyDescent="0.3">
      <c r="B17" s="448"/>
      <c r="C17" s="448"/>
      <c r="D17" s="448"/>
      <c r="E17" s="448"/>
      <c r="F17" s="448"/>
      <c r="G17" s="448"/>
      <c r="H17" s="448"/>
      <c r="I17" s="448"/>
      <c r="J17" s="448"/>
      <c r="K17" s="448"/>
      <c r="L17" s="448"/>
      <c r="M17" s="448"/>
      <c r="N17" s="448"/>
      <c r="O17" s="448"/>
    </row>
    <row r="18" spans="2:15" x14ac:dyDescent="0.3">
      <c r="B18" s="448"/>
      <c r="C18" s="448"/>
      <c r="D18" s="448"/>
      <c r="E18" s="448"/>
      <c r="F18" s="448"/>
      <c r="G18" s="448"/>
      <c r="H18" s="448"/>
      <c r="I18" s="448"/>
      <c r="J18" s="448"/>
      <c r="K18" s="448"/>
      <c r="L18" s="448"/>
      <c r="M18" s="448"/>
      <c r="N18" s="448"/>
      <c r="O18" s="448"/>
    </row>
    <row r="19" spans="2:15" x14ac:dyDescent="0.3">
      <c r="B19" s="448"/>
      <c r="C19" s="448"/>
      <c r="D19" s="448"/>
      <c r="E19" s="448"/>
      <c r="F19" s="448"/>
      <c r="G19" s="448"/>
      <c r="H19" s="448"/>
      <c r="I19" s="448"/>
      <c r="J19" s="448"/>
      <c r="K19" s="448"/>
      <c r="L19" s="448"/>
      <c r="M19" s="448"/>
      <c r="N19" s="448"/>
      <c r="O19" s="448"/>
    </row>
    <row r="20" spans="2:15" x14ac:dyDescent="0.3">
      <c r="B20" s="448"/>
      <c r="C20" s="448"/>
      <c r="D20" s="448"/>
      <c r="E20" s="448"/>
      <c r="F20" s="448"/>
      <c r="G20" s="448"/>
      <c r="H20" s="448"/>
      <c r="I20" s="448"/>
      <c r="J20" s="448"/>
      <c r="K20" s="448"/>
      <c r="L20" s="448"/>
      <c r="M20" s="448"/>
      <c r="N20" s="448"/>
      <c r="O20" s="448"/>
    </row>
    <row r="21" spans="2:15" x14ac:dyDescent="0.3">
      <c r="B21" s="448"/>
      <c r="C21" s="448"/>
      <c r="D21" s="448"/>
      <c r="E21" s="448"/>
      <c r="F21" s="448"/>
      <c r="G21" s="448"/>
      <c r="H21" s="448"/>
      <c r="I21" s="448"/>
      <c r="J21" s="448"/>
      <c r="K21" s="448"/>
      <c r="L21" s="448"/>
      <c r="M21" s="448"/>
      <c r="N21" s="448"/>
      <c r="O21" s="448"/>
    </row>
    <row r="22" spans="2:15" x14ac:dyDescent="0.3">
      <c r="B22" s="448"/>
      <c r="C22" s="448"/>
      <c r="D22" s="448"/>
      <c r="E22" s="448"/>
      <c r="F22" s="448"/>
      <c r="G22" s="448"/>
      <c r="H22" s="448"/>
      <c r="I22" s="448"/>
      <c r="J22" s="448"/>
      <c r="K22" s="448"/>
      <c r="L22" s="448"/>
      <c r="M22" s="448"/>
      <c r="N22" s="448"/>
      <c r="O22" s="448"/>
    </row>
    <row r="23" spans="2:15" x14ac:dyDescent="0.3">
      <c r="B23" s="448"/>
      <c r="C23" s="448"/>
      <c r="D23" s="448"/>
      <c r="E23" s="448"/>
      <c r="F23" s="448"/>
      <c r="G23" s="448"/>
      <c r="H23" s="448"/>
      <c r="I23" s="448"/>
      <c r="J23" s="448"/>
      <c r="K23" s="448"/>
      <c r="L23" s="448"/>
      <c r="M23" s="448"/>
      <c r="N23" s="448"/>
      <c r="O23" s="448"/>
    </row>
    <row r="24" spans="2:15" x14ac:dyDescent="0.3">
      <c r="B24" s="448"/>
      <c r="C24" s="448"/>
      <c r="D24" s="448"/>
      <c r="E24" s="448"/>
      <c r="F24" s="448"/>
      <c r="G24" s="448"/>
      <c r="H24" s="448"/>
      <c r="I24" s="448"/>
      <c r="J24" s="448"/>
      <c r="K24" s="448"/>
      <c r="L24" s="448"/>
      <c r="M24" s="448"/>
      <c r="N24" s="448"/>
      <c r="O24" s="448"/>
    </row>
  </sheetData>
  <sheetProtection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O12"/>
  <sheetViews>
    <sheetView showGridLines="0" topLeftCell="B2" zoomScale="120" zoomScaleNormal="120" workbookViewId="0">
      <selection activeCell="F8" sqref="F8:H8"/>
    </sheetView>
  </sheetViews>
  <sheetFormatPr defaultColWidth="9.109375" defaultRowHeight="13.8" x14ac:dyDescent="0.3"/>
  <cols>
    <col min="1" max="1" width="1" style="2" customWidth="1"/>
    <col min="2" max="2" width="22.44140625" style="2" customWidth="1"/>
    <col min="3" max="4" width="12" style="2" bestFit="1" customWidth="1"/>
    <col min="5" max="5" width="5.77734375" style="2" customWidth="1"/>
    <col min="6" max="6" width="11.44140625" style="2" customWidth="1"/>
    <col min="7" max="7" width="11" style="2" customWidth="1"/>
    <col min="8" max="8" width="5.77734375" style="2" customWidth="1"/>
    <col min="9" max="10" width="11.44140625" style="2" customWidth="1"/>
    <col min="11" max="11" width="5.77734375" style="2" customWidth="1"/>
    <col min="12" max="13" width="10.44140625" style="2" bestFit="1" customWidth="1"/>
    <col min="14" max="14" width="6.88671875" style="2" bestFit="1" customWidth="1"/>
    <col min="15" max="15" width="1.21875" style="2" customWidth="1"/>
    <col min="16" max="16384" width="9.109375" style="2"/>
  </cols>
  <sheetData>
    <row r="1" spans="1:15" ht="5.0999999999999996" customHeight="1" thickBot="1" x14ac:dyDescent="0.35"/>
    <row r="2" spans="1:15" ht="38.25" customHeight="1" thickBot="1" x14ac:dyDescent="0.35">
      <c r="B2" s="561" t="s">
        <v>601</v>
      </c>
      <c r="C2" s="561"/>
      <c r="D2" s="561"/>
      <c r="E2" s="561"/>
      <c r="F2" s="561"/>
      <c r="G2" s="561"/>
      <c r="H2" s="561"/>
      <c r="I2" s="561"/>
      <c r="J2" s="561"/>
      <c r="K2" s="561"/>
      <c r="L2" s="561"/>
      <c r="M2" s="561"/>
      <c r="N2" s="561"/>
    </row>
    <row r="3" spans="1:15" ht="4.6500000000000004" customHeight="1" thickBot="1" x14ac:dyDescent="0.35"/>
    <row r="4" spans="1:15" ht="20.25" customHeight="1" thickBot="1" x14ac:dyDescent="0.35">
      <c r="B4" s="677" t="s">
        <v>106</v>
      </c>
      <c r="C4" s="678"/>
      <c r="D4" s="679"/>
      <c r="E4" s="177" t="s">
        <v>602</v>
      </c>
    </row>
    <row r="5" spans="1:15" ht="15.75" customHeight="1" thickBot="1" x14ac:dyDescent="0.35"/>
    <row r="6" spans="1:15" ht="23.4" thickBot="1" x14ac:dyDescent="0.45">
      <c r="B6" s="658" t="str">
        <f>B4</f>
        <v>EM&amp;V</v>
      </c>
      <c r="C6" s="659"/>
      <c r="D6" s="659"/>
      <c r="E6" s="659"/>
      <c r="F6" s="659"/>
      <c r="G6" s="659"/>
      <c r="H6" s="659"/>
      <c r="I6" s="659"/>
      <c r="J6" s="659"/>
      <c r="K6" s="659"/>
      <c r="L6" s="659"/>
      <c r="M6" s="659"/>
      <c r="N6" s="660"/>
    </row>
    <row r="7" spans="1:15" ht="4.6500000000000004" customHeight="1" x14ac:dyDescent="0.3">
      <c r="B7" s="176"/>
    </row>
    <row r="8" spans="1:15" x14ac:dyDescent="0.3">
      <c r="B8" s="517"/>
      <c r="C8" s="680" t="s">
        <v>603</v>
      </c>
      <c r="D8" s="680"/>
      <c r="E8" s="680"/>
      <c r="F8" s="680" t="str">
        <f>"Energy Savings ("&amp;Titles!F13&amp;")"</f>
        <v>Energy Savings (kWh)</v>
      </c>
      <c r="G8" s="680"/>
      <c r="H8" s="680"/>
      <c r="I8" s="680" t="str">
        <f>"Demand Savings ("&amp;Titles!F15&amp;")"</f>
        <v>Demand Savings (kW)</v>
      </c>
      <c r="J8" s="680"/>
      <c r="K8" s="680"/>
      <c r="L8" s="681" t="s">
        <v>168</v>
      </c>
      <c r="M8" s="682"/>
      <c r="N8" s="683"/>
    </row>
    <row r="9" spans="1:15" x14ac:dyDescent="0.3">
      <c r="A9" s="448"/>
      <c r="B9" s="518" t="s">
        <v>349</v>
      </c>
      <c r="C9" s="518" t="s">
        <v>517</v>
      </c>
      <c r="D9" s="518" t="s">
        <v>518</v>
      </c>
      <c r="E9" s="518" t="s">
        <v>604</v>
      </c>
      <c r="F9" s="518" t="s">
        <v>519</v>
      </c>
      <c r="G9" s="518" t="s">
        <v>520</v>
      </c>
      <c r="H9" s="518" t="s">
        <v>604</v>
      </c>
      <c r="I9" s="518" t="s">
        <v>519</v>
      </c>
      <c r="J9" s="518" t="s">
        <v>520</v>
      </c>
      <c r="K9" s="518" t="s">
        <v>604</v>
      </c>
      <c r="L9" s="518" t="s">
        <v>519</v>
      </c>
      <c r="M9" s="518" t="s">
        <v>518</v>
      </c>
      <c r="N9" s="518" t="s">
        <v>604</v>
      </c>
      <c r="O9" s="448"/>
    </row>
    <row r="10" spans="1:15" ht="20.100000000000001" customHeight="1" x14ac:dyDescent="0.3">
      <c r="B10" s="519" t="str">
        <f>"Program Year "&amp;Titles!F2-2</f>
        <v>Program Year 2023</v>
      </c>
      <c r="C10" s="549">
        <v>14175</v>
      </c>
      <c r="D10" s="549">
        <v>0</v>
      </c>
      <c r="E10" s="520">
        <f>IF(ISERROR(D10/C10),"-",D10/C10)</f>
        <v>0</v>
      </c>
      <c r="F10" s="521">
        <v>92418</v>
      </c>
      <c r="G10" s="521">
        <v>0</v>
      </c>
      <c r="H10" s="520">
        <f>IF(ISERROR(G10/F10),"-",G10/F10)</f>
        <v>0</v>
      </c>
      <c r="I10" s="521">
        <v>9</v>
      </c>
      <c r="J10" s="521">
        <v>0</v>
      </c>
      <c r="K10" s="520">
        <f>IF(ISERROR(J10/I10),"-",J10/I10)</f>
        <v>0</v>
      </c>
      <c r="L10" s="521">
        <v>315</v>
      </c>
      <c r="M10" s="521">
        <v>304</v>
      </c>
      <c r="N10" s="520">
        <f>IF(ISERROR(M10/L10),"-",M10/L10)</f>
        <v>0.96507936507936509</v>
      </c>
      <c r="O10" s="448"/>
    </row>
    <row r="11" spans="1:15" ht="20.100000000000001" customHeight="1" x14ac:dyDescent="0.3">
      <c r="B11" s="519" t="str">
        <f>"Program Year "&amp;Titles!F2-1</f>
        <v>Program Year 2024</v>
      </c>
      <c r="C11" s="549">
        <v>17922</v>
      </c>
      <c r="D11" s="549">
        <v>0</v>
      </c>
      <c r="E11" s="520">
        <f>IF(ISERROR(D11/C11),"-",D11/C11)</f>
        <v>0</v>
      </c>
      <c r="F11" s="521">
        <v>92418</v>
      </c>
      <c r="G11" s="521">
        <v>15435</v>
      </c>
      <c r="H11" s="520">
        <f>IF(ISERROR(G11/F11),"-",G11/F11)</f>
        <v>0.16701291956112446</v>
      </c>
      <c r="I11" s="521">
        <v>9</v>
      </c>
      <c r="J11" s="521">
        <v>2</v>
      </c>
      <c r="K11" s="520">
        <f>IF(ISERROR(J11/I11),"-",J11/I11)</f>
        <v>0.22222222222222221</v>
      </c>
      <c r="L11" s="521">
        <v>315</v>
      </c>
      <c r="M11" s="521">
        <v>0</v>
      </c>
      <c r="N11" s="520">
        <f>IF(ISERROR(M11/L11),"-",M11/L11)</f>
        <v>0</v>
      </c>
      <c r="O11" s="448"/>
    </row>
    <row r="12" spans="1:15" ht="20.100000000000001" customHeight="1" x14ac:dyDescent="0.3">
      <c r="B12" s="522" t="str">
        <f>"Program Year "&amp;Titles!F2</f>
        <v>Program Year 2025</v>
      </c>
      <c r="C12" s="522">
        <f>VLOOKUP($B$4,Data!$B$4:$N$23,10,FALSE)</f>
        <v>2500</v>
      </c>
      <c r="D12" s="522">
        <f>VLOOKUP($B$4,Data!$B$29:$N$48,10,FALSE)</f>
        <v>2687.5</v>
      </c>
      <c r="E12" s="523">
        <f>IF(ISERROR(D12/C12),"-",D12/C12)</f>
        <v>1.075</v>
      </c>
      <c r="F12" s="524">
        <f>'Savings &amp; Participants'!E26</f>
        <v>64059</v>
      </c>
      <c r="G12" s="524">
        <f>'Evaluated Savings'!E26</f>
        <v>60720</v>
      </c>
      <c r="H12" s="523">
        <f>IF(ISERROR(G12/F12),"-",G12/F12)</f>
        <v>0.94787617664965107</v>
      </c>
      <c r="I12" s="524">
        <v>0</v>
      </c>
      <c r="J12" s="524">
        <v>12</v>
      </c>
      <c r="K12" s="523" t="str">
        <f>IF(ISERROR(J12/I12),"-",J12/I12)</f>
        <v>-</v>
      </c>
      <c r="L12" s="524">
        <f ca="1">'Report 1'!J29</f>
        <v>809</v>
      </c>
      <c r="M12" s="521">
        <v>352</v>
      </c>
      <c r="N12" s="523">
        <f ca="1">IF(ISERROR(M12/L12),"-",M12/L12)</f>
        <v>0.43510506798516685</v>
      </c>
      <c r="O12" s="448"/>
    </row>
  </sheetData>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700-000000000000}">
      <formula1>Prg_Names</formula1>
    </dataValidation>
  </dataValidations>
  <pageMargins left="0.3" right="0.3"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Q30"/>
  <sheetViews>
    <sheetView showGridLines="0" zoomScale="110" zoomScaleNormal="100" workbookViewId="0">
      <pane ySplit="2" topLeftCell="A5" activePane="bottomLeft" state="frozen"/>
      <selection activeCell="P31" sqref="P31"/>
      <selection pane="bottomLeft" activeCell="J9" sqref="J9"/>
    </sheetView>
  </sheetViews>
  <sheetFormatPr defaultColWidth="9.109375" defaultRowHeight="13.8" x14ac:dyDescent="0.3"/>
  <cols>
    <col min="1" max="1" width="1" style="2" customWidth="1"/>
    <col min="2" max="2" width="36" style="2" customWidth="1"/>
    <col min="3" max="3" width="21.109375" style="2" customWidth="1"/>
    <col min="4" max="4" width="12.77734375" style="2" customWidth="1"/>
    <col min="5" max="5" width="13.77734375" style="2" bestFit="1" customWidth="1"/>
    <col min="6" max="6" width="5.88671875" style="2" bestFit="1" customWidth="1"/>
    <col min="7" max="8" width="12.77734375" style="2" customWidth="1"/>
    <col min="9" max="9" width="7.44140625" style="2" bestFit="1" customWidth="1"/>
    <col min="10" max="11" width="9.77734375" style="2" customWidth="1"/>
    <col min="12" max="12" width="5.88671875" style="2" bestFit="1" customWidth="1"/>
    <col min="13" max="13" width="7.44140625" style="2" customWidth="1"/>
    <col min="14" max="14" width="1.21875" style="2" customWidth="1"/>
    <col min="15" max="16" width="9.109375" style="2"/>
    <col min="17" max="17" width="4.109375" style="2" hidden="1" customWidth="1"/>
    <col min="18" max="16384" width="9.109375" style="2"/>
  </cols>
  <sheetData>
    <row r="1" spans="1:17" ht="5.0999999999999996" customHeight="1" thickBot="1" x14ac:dyDescent="0.35"/>
    <row r="2" spans="1:17" ht="38.25" customHeight="1" thickBot="1" x14ac:dyDescent="0.35">
      <c r="B2" s="561" t="s">
        <v>549</v>
      </c>
      <c r="C2" s="561"/>
      <c r="D2" s="561"/>
      <c r="E2" s="561"/>
      <c r="F2" s="561"/>
      <c r="G2" s="561"/>
      <c r="H2" s="561"/>
      <c r="I2" s="561"/>
      <c r="J2" s="561"/>
      <c r="K2" s="561"/>
      <c r="L2" s="561"/>
      <c r="M2" s="561"/>
    </row>
    <row r="3" spans="1:17" ht="4.6500000000000004" customHeight="1" x14ac:dyDescent="0.3"/>
    <row r="4" spans="1:17" ht="22.8" x14ac:dyDescent="0.4">
      <c r="B4" s="684" t="str">
        <f>Titles!F2&amp;" Portfolio Results Detail"</f>
        <v>2025 Portfolio Results Detail</v>
      </c>
      <c r="C4" s="684"/>
      <c r="D4" s="684"/>
      <c r="E4" s="684"/>
      <c r="F4" s="684"/>
      <c r="G4" s="684"/>
      <c r="H4" s="684"/>
      <c r="I4" s="684"/>
      <c r="J4" s="684"/>
      <c r="K4" s="684"/>
      <c r="L4" s="684"/>
      <c r="M4" s="684"/>
    </row>
    <row r="5" spans="1:17" ht="4.6500000000000004" customHeight="1" thickBot="1" x14ac:dyDescent="0.35"/>
    <row r="6" spans="1:17" ht="14.25" customHeight="1" thickBot="1" x14ac:dyDescent="0.35">
      <c r="D6" s="687" t="s">
        <v>528</v>
      </c>
      <c r="E6" s="688"/>
      <c r="F6" s="689"/>
      <c r="G6" s="687" t="str">
        <f>"Savings ("&amp;Titles!F13&amp;")"</f>
        <v>Savings (kWh)</v>
      </c>
      <c r="H6" s="688"/>
      <c r="I6" s="689"/>
      <c r="J6" s="687" t="s">
        <v>168</v>
      </c>
      <c r="K6" s="688"/>
      <c r="L6" s="689"/>
      <c r="M6" s="685" t="s">
        <v>534</v>
      </c>
    </row>
    <row r="7" spans="1:17" ht="17.25" customHeight="1" thickBot="1" x14ac:dyDescent="0.35">
      <c r="A7" s="448"/>
      <c r="B7" s="189" t="s">
        <v>82</v>
      </c>
      <c r="C7" s="189" t="s">
        <v>83</v>
      </c>
      <c r="D7" s="232" t="s">
        <v>517</v>
      </c>
      <c r="E7" s="186" t="s">
        <v>518</v>
      </c>
      <c r="F7" s="187" t="s">
        <v>604</v>
      </c>
      <c r="G7" s="185" t="s">
        <v>519</v>
      </c>
      <c r="H7" s="186" t="s">
        <v>520</v>
      </c>
      <c r="I7" s="187" t="s">
        <v>604</v>
      </c>
      <c r="J7" s="185" t="s">
        <v>519</v>
      </c>
      <c r="K7" s="186" t="s">
        <v>518</v>
      </c>
      <c r="L7" s="187" t="s">
        <v>604</v>
      </c>
      <c r="M7" s="686"/>
      <c r="N7" s="448"/>
    </row>
    <row r="8" spans="1:17" x14ac:dyDescent="0.3">
      <c r="B8" s="188" t="str">
        <f ca="1">Tables!B58</f>
        <v>Residential Products</v>
      </c>
      <c r="C8" s="209" t="str">
        <f ca="1">Tables!C58</f>
        <v>Residential</v>
      </c>
      <c r="D8" s="233">
        <f ca="1">Tables!D58</f>
        <v>34885</v>
      </c>
      <c r="E8" s="214">
        <f ca="1">Tables!E58</f>
        <v>690</v>
      </c>
      <c r="F8" s="215">
        <f ca="1">IF(ISERROR(E8/D8),"-",E8/D8)</f>
        <v>1.9779274759925469E-2</v>
      </c>
      <c r="G8" s="216">
        <f ca="1">Tables!F58</f>
        <v>16803</v>
      </c>
      <c r="H8" s="217">
        <f ca="1">Tables!G58</f>
        <v>13464</v>
      </c>
      <c r="I8" s="215">
        <f t="shared" ref="I8:I29" ca="1" si="0">IF(ISERROR(H8/G8),"-",H8/G8)</f>
        <v>0.80128548473486882</v>
      </c>
      <c r="J8" s="216">
        <f ca="1">Tables!H58</f>
        <v>12</v>
      </c>
      <c r="K8" s="217">
        <f ca="1">Tables!I58</f>
        <v>10</v>
      </c>
      <c r="L8" s="215">
        <f t="shared" ref="L8:L29" ca="1" si="1">IF(ISERROR(K8/J8),"-",K8/J8)</f>
        <v>0.83333333333333337</v>
      </c>
      <c r="M8" s="218">
        <f ca="1">Tables!J58</f>
        <v>1.8666666666666665</v>
      </c>
      <c r="N8" s="448"/>
      <c r="Q8" s="2">
        <f ca="1">IF(B8="*Hide*",1)-IF(SUBTOTAL(103,B8)=1,0,1)</f>
        <v>0</v>
      </c>
    </row>
    <row r="9" spans="1:17" x14ac:dyDescent="0.3">
      <c r="B9" s="183" t="str">
        <f ca="1">Tables!B59</f>
        <v>School-Based Energy Education</v>
      </c>
      <c r="C9" s="188" t="str">
        <f ca="1">Tables!C59</f>
        <v>Residential</v>
      </c>
      <c r="D9" s="525">
        <f ca="1">Tables!D59</f>
        <v>16250</v>
      </c>
      <c r="E9" s="526">
        <f ca="1">Tables!E59</f>
        <v>29581.94</v>
      </c>
      <c r="F9" s="180">
        <f ca="1">IF(ISERROR(E9/D9),"-",E9/D9)</f>
        <v>1.8204270769230768</v>
      </c>
      <c r="G9" s="181">
        <f ca="1">Tables!F59</f>
        <v>47256</v>
      </c>
      <c r="H9" s="521">
        <f ca="1">Tables!G59</f>
        <v>47256</v>
      </c>
      <c r="I9" s="180">
        <f t="shared" ca="1" si="0"/>
        <v>1</v>
      </c>
      <c r="J9" s="181">
        <f ca="1">Tables!H59</f>
        <v>793</v>
      </c>
      <c r="K9" s="521">
        <f ca="1">Tables!I59</f>
        <v>793</v>
      </c>
      <c r="L9" s="180">
        <f t="shared" ca="1" si="1"/>
        <v>1</v>
      </c>
      <c r="M9" s="219">
        <f ca="1">Tables!J59</f>
        <v>40.304347826086961</v>
      </c>
      <c r="N9" s="448"/>
      <c r="Q9" s="2">
        <f t="shared" ref="Q9:Q27" ca="1" si="2">IF(B9="*Hide*",1)-IF(SUBTOTAL(103,B9)=1,0,1)</f>
        <v>0</v>
      </c>
    </row>
    <row r="10" spans="1:17" x14ac:dyDescent="0.3">
      <c r="B10" s="183" t="str">
        <f ca="1">Tables!B60</f>
        <v>Weatherization</v>
      </c>
      <c r="C10" s="188" t="str">
        <f ca="1">Tables!C60</f>
        <v>Residential</v>
      </c>
      <c r="D10" s="525">
        <f ca="1">Tables!D60</f>
        <v>24454</v>
      </c>
      <c r="E10" s="526">
        <f ca="1">Tables!E60</f>
        <v>0</v>
      </c>
      <c r="F10" s="180">
        <f ca="1">IF(ISERROR(E10/D10),"-",E10/D10)</f>
        <v>0</v>
      </c>
      <c r="G10" s="181">
        <f ca="1">Tables!F60</f>
        <v>0</v>
      </c>
      <c r="H10" s="521">
        <f ca="1">Tables!G60</f>
        <v>0</v>
      </c>
      <c r="I10" s="180" t="str">
        <f t="shared" ca="1" si="0"/>
        <v>-</v>
      </c>
      <c r="J10" s="181">
        <f ca="1">Tables!H60</f>
        <v>0</v>
      </c>
      <c r="K10" s="521">
        <f ca="1">Tables!I60</f>
        <v>6</v>
      </c>
      <c r="L10" s="180" t="str">
        <f t="shared" ca="1" si="1"/>
        <v>-</v>
      </c>
      <c r="M10" s="219" t="str">
        <f ca="1">Tables!J60</f>
        <v>n/a</v>
      </c>
      <c r="N10" s="448"/>
      <c r="Q10" s="2">
        <f t="shared" ca="1" si="2"/>
        <v>0</v>
      </c>
    </row>
    <row r="11" spans="1:17" x14ac:dyDescent="0.3">
      <c r="B11" s="183" t="str">
        <f ca="1">Tables!B61</f>
        <v>Commercial and Industrial (Custom)</v>
      </c>
      <c r="C11" s="188" t="str">
        <f ca="1">Tables!C61</f>
        <v>Commercial &amp; Industrial</v>
      </c>
      <c r="D11" s="525">
        <f ca="1">Tables!D61</f>
        <v>5812</v>
      </c>
      <c r="E11" s="526">
        <f ca="1">Tables!E61</f>
        <v>0</v>
      </c>
      <c r="F11" s="180">
        <f t="shared" ref="F11:F29" ca="1" si="3">IF(ISERROR(E11/D11),"-",E11/D11)</f>
        <v>0</v>
      </c>
      <c r="G11" s="181">
        <f ca="1">Tables!F61</f>
        <v>0</v>
      </c>
      <c r="H11" s="521">
        <f ca="1">Tables!G61</f>
        <v>0</v>
      </c>
      <c r="I11" s="180" t="str">
        <f t="shared" ca="1" si="0"/>
        <v>-</v>
      </c>
      <c r="J11" s="181">
        <f>Tables!H61</f>
        <v>2</v>
      </c>
      <c r="K11" s="521">
        <f ca="1">Tables!I61</f>
        <v>0</v>
      </c>
      <c r="L11" s="180">
        <f t="shared" ca="1" si="1"/>
        <v>0</v>
      </c>
      <c r="M11" s="219" t="str">
        <f ca="1">Tables!J61</f>
        <v>n/a</v>
      </c>
      <c r="N11" s="448"/>
      <c r="Q11" s="2">
        <f t="shared" ca="1" si="2"/>
        <v>0</v>
      </c>
    </row>
    <row r="12" spans="1:17" x14ac:dyDescent="0.3">
      <c r="B12" s="183" t="str">
        <f ca="1">Tables!B62</f>
        <v>Commercial and Industrial (Prescriptive)</v>
      </c>
      <c r="C12" s="188" t="str">
        <f ca="1">Tables!C62</f>
        <v>Commercial &amp; Industrial</v>
      </c>
      <c r="D12" s="525">
        <f ca="1">Tables!D62</f>
        <v>5000</v>
      </c>
      <c r="E12" s="526">
        <f ca="1">Tables!E62</f>
        <v>0</v>
      </c>
      <c r="F12" s="180">
        <f t="shared" ca="1" si="3"/>
        <v>0</v>
      </c>
      <c r="G12" s="181">
        <f ca="1">Tables!F62</f>
        <v>0</v>
      </c>
      <c r="H12" s="521">
        <f ca="1">Tables!G62</f>
        <v>0</v>
      </c>
      <c r="I12" s="180" t="str">
        <f t="shared" ca="1" si="0"/>
        <v>-</v>
      </c>
      <c r="J12" s="181">
        <f>Tables!H62</f>
        <v>2</v>
      </c>
      <c r="K12" s="521">
        <f ca="1">Tables!I62</f>
        <v>0</v>
      </c>
      <c r="L12" s="180">
        <f t="shared" ca="1" si="1"/>
        <v>0</v>
      </c>
      <c r="M12" s="219" t="str">
        <f ca="1">Tables!J62</f>
        <v>n/a</v>
      </c>
      <c r="N12" s="448"/>
      <c r="Q12" s="2">
        <f t="shared" ca="1" si="2"/>
        <v>0</v>
      </c>
    </row>
    <row r="13" spans="1:17" x14ac:dyDescent="0.3">
      <c r="B13" s="183" t="str">
        <f ca="1">Tables!B63</f>
        <v>Administration</v>
      </c>
      <c r="C13" s="188" t="str">
        <f ca="1">Tables!C63</f>
        <v>All Classes</v>
      </c>
      <c r="D13" s="525">
        <f ca="1">Tables!D63</f>
        <v>10000</v>
      </c>
      <c r="E13" s="526">
        <f ca="1">Tables!E63</f>
        <v>1000</v>
      </c>
      <c r="F13" s="180">
        <f t="shared" ca="1" si="3"/>
        <v>0.1</v>
      </c>
      <c r="G13" s="181">
        <f ca="1">Tables!F63</f>
        <v>0</v>
      </c>
      <c r="H13" s="521">
        <f ca="1">Tables!G63</f>
        <v>0</v>
      </c>
      <c r="I13" s="180" t="str">
        <f t="shared" ca="1" si="0"/>
        <v>-</v>
      </c>
      <c r="J13" s="181">
        <f ca="1">Tables!H63</f>
        <v>0</v>
      </c>
      <c r="K13" s="521">
        <f ca="1">Tables!I63</f>
        <v>0</v>
      </c>
      <c r="L13" s="180" t="str">
        <f t="shared" ca="1" si="1"/>
        <v>-</v>
      </c>
      <c r="M13" s="219" t="str">
        <f ca="1">Tables!J63</f>
        <v>n/a</v>
      </c>
      <c r="N13" s="448"/>
      <c r="Q13" s="2">
        <f t="shared" ca="1" si="2"/>
        <v>0</v>
      </c>
    </row>
    <row r="14" spans="1:17" x14ac:dyDescent="0.3">
      <c r="B14" s="183" t="str">
        <f ca="1">Tables!B64</f>
        <v>Marketing</v>
      </c>
      <c r="C14" s="188" t="str">
        <f ca="1">Tables!C64</f>
        <v>All Classes</v>
      </c>
      <c r="D14" s="525">
        <f ca="1">Tables!D64</f>
        <v>1200</v>
      </c>
      <c r="E14" s="526">
        <f ca="1">Tables!E64</f>
        <v>0</v>
      </c>
      <c r="F14" s="180">
        <f t="shared" ca="1" si="3"/>
        <v>0</v>
      </c>
      <c r="G14" s="181">
        <f ca="1">Tables!F64</f>
        <v>0</v>
      </c>
      <c r="H14" s="521">
        <f ca="1">Tables!G64</f>
        <v>0</v>
      </c>
      <c r="I14" s="180" t="str">
        <f t="shared" ca="1" si="0"/>
        <v>-</v>
      </c>
      <c r="J14" s="181">
        <f ca="1">Tables!H64</f>
        <v>0</v>
      </c>
      <c r="K14" s="521">
        <f ca="1">Tables!I64</f>
        <v>0</v>
      </c>
      <c r="L14" s="180" t="str">
        <f t="shared" ca="1" si="1"/>
        <v>-</v>
      </c>
      <c r="M14" s="219" t="str">
        <f ca="1">Tables!J64</f>
        <v>n/a</v>
      </c>
      <c r="N14" s="448"/>
      <c r="Q14" s="2">
        <f t="shared" ca="1" si="2"/>
        <v>0</v>
      </c>
    </row>
    <row r="15" spans="1:17" x14ac:dyDescent="0.3">
      <c r="B15" s="183" t="str">
        <f ca="1">Tables!B65</f>
        <v>Online Energy Calculator</v>
      </c>
      <c r="C15" s="188" t="str">
        <f ca="1">Tables!C65</f>
        <v>All Classes</v>
      </c>
      <c r="D15" s="525">
        <f ca="1">Tables!D65</f>
        <v>4000</v>
      </c>
      <c r="E15" s="526">
        <f ca="1">Tables!E65</f>
        <v>0</v>
      </c>
      <c r="F15" s="180">
        <f t="shared" ca="1" si="3"/>
        <v>0</v>
      </c>
      <c r="G15" s="181">
        <f ca="1">Tables!F65</f>
        <v>0</v>
      </c>
      <c r="H15" s="521">
        <f ca="1">Tables!G65</f>
        <v>0</v>
      </c>
      <c r="I15" s="180" t="str">
        <f t="shared" ca="1" si="0"/>
        <v>-</v>
      </c>
      <c r="J15" s="181">
        <f ca="1">Tables!H65</f>
        <v>0</v>
      </c>
      <c r="K15" s="521">
        <f ca="1">Tables!I65</f>
        <v>0</v>
      </c>
      <c r="L15" s="180" t="str">
        <f t="shared" ca="1" si="1"/>
        <v>-</v>
      </c>
      <c r="M15" s="219" t="str">
        <f ca="1">Tables!J65</f>
        <v>n/a</v>
      </c>
      <c r="N15" s="448"/>
      <c r="Q15" s="2">
        <f t="shared" ca="1" si="2"/>
        <v>0</v>
      </c>
    </row>
    <row r="16" spans="1:17" x14ac:dyDescent="0.3">
      <c r="B16" s="183" t="str">
        <f ca="1">Tables!B66</f>
        <v>EM&amp;V</v>
      </c>
      <c r="C16" s="188" t="str">
        <f ca="1">Tables!C66</f>
        <v>All Classes</v>
      </c>
      <c r="D16" s="525">
        <f ca="1">Tables!D66</f>
        <v>2500</v>
      </c>
      <c r="E16" s="526">
        <f ca="1">Tables!E66</f>
        <v>2687.5</v>
      </c>
      <c r="F16" s="180">
        <f t="shared" ca="1" si="3"/>
        <v>1.075</v>
      </c>
      <c r="G16" s="181">
        <f ca="1">Tables!F66</f>
        <v>0</v>
      </c>
      <c r="H16" s="521">
        <f ca="1">Tables!G66</f>
        <v>0</v>
      </c>
      <c r="I16" s="180" t="str">
        <f t="shared" ca="1" si="0"/>
        <v>-</v>
      </c>
      <c r="J16" s="181">
        <f ca="1">Tables!H66</f>
        <v>0</v>
      </c>
      <c r="K16" s="521">
        <f ca="1">Tables!I66</f>
        <v>0</v>
      </c>
      <c r="L16" s="180" t="str">
        <f t="shared" ca="1" si="1"/>
        <v>-</v>
      </c>
      <c r="M16" s="219">
        <f ca="1">Tables!J66</f>
        <v>0</v>
      </c>
      <c r="N16" s="448"/>
      <c r="Q16" s="2">
        <f t="shared" ca="1" si="2"/>
        <v>0</v>
      </c>
    </row>
    <row r="17" spans="2:17" hidden="1" x14ac:dyDescent="0.3">
      <c r="B17" s="183" t="str">
        <f ca="1">Tables!B67</f>
        <v>*Hide*</v>
      </c>
      <c r="C17" s="188" t="str">
        <f ca="1">Tables!C67</f>
        <v>-</v>
      </c>
      <c r="D17" s="525" t="str">
        <f ca="1">Tables!D67</f>
        <v>-</v>
      </c>
      <c r="E17" s="526" t="str">
        <f ca="1">Tables!E67</f>
        <v>-</v>
      </c>
      <c r="F17" s="180" t="str">
        <f t="shared" ca="1" si="3"/>
        <v>-</v>
      </c>
      <c r="G17" s="181" t="str">
        <f ca="1">Tables!F67</f>
        <v>-</v>
      </c>
      <c r="H17" s="521" t="str">
        <f ca="1">Tables!G67</f>
        <v>-</v>
      </c>
      <c r="I17" s="180" t="str">
        <f t="shared" ca="1" si="0"/>
        <v>-</v>
      </c>
      <c r="J17" s="181" t="str">
        <f ca="1">Tables!H67</f>
        <v>-</v>
      </c>
      <c r="K17" s="521" t="str">
        <f ca="1">Tables!I67</f>
        <v>-</v>
      </c>
      <c r="L17" s="180" t="str">
        <f t="shared" ca="1" si="1"/>
        <v>-</v>
      </c>
      <c r="M17" s="219" t="str">
        <f ca="1">Tables!J67</f>
        <v>-</v>
      </c>
      <c r="Q17" s="2">
        <f t="shared" ca="1" si="2"/>
        <v>0</v>
      </c>
    </row>
    <row r="18" spans="2:17" hidden="1" x14ac:dyDescent="0.3">
      <c r="B18" s="183" t="str">
        <f ca="1">Tables!B68</f>
        <v>*Hide*</v>
      </c>
      <c r="C18" s="188" t="str">
        <f ca="1">Tables!C68</f>
        <v>-</v>
      </c>
      <c r="D18" s="525" t="str">
        <f ca="1">Tables!D68</f>
        <v>-</v>
      </c>
      <c r="E18" s="526" t="str">
        <f ca="1">Tables!E68</f>
        <v>-</v>
      </c>
      <c r="F18" s="180" t="str">
        <f t="shared" ca="1" si="3"/>
        <v>-</v>
      </c>
      <c r="G18" s="181" t="str">
        <f ca="1">Tables!F68</f>
        <v>-</v>
      </c>
      <c r="H18" s="521" t="str">
        <f ca="1">Tables!G68</f>
        <v>-</v>
      </c>
      <c r="I18" s="180" t="str">
        <f t="shared" ca="1" si="0"/>
        <v>-</v>
      </c>
      <c r="J18" s="181" t="str">
        <f ca="1">Tables!H68</f>
        <v>-</v>
      </c>
      <c r="K18" s="521" t="str">
        <f ca="1">Tables!I68</f>
        <v>-</v>
      </c>
      <c r="L18" s="180" t="str">
        <f t="shared" ca="1" si="1"/>
        <v>-</v>
      </c>
      <c r="M18" s="219" t="str">
        <f ca="1">Tables!J68</f>
        <v>-</v>
      </c>
      <c r="Q18" s="2">
        <f t="shared" ca="1" si="2"/>
        <v>0</v>
      </c>
    </row>
    <row r="19" spans="2:17" hidden="1" x14ac:dyDescent="0.3">
      <c r="B19" s="183" t="str">
        <f ca="1">Tables!B69</f>
        <v>*Hide*</v>
      </c>
      <c r="C19" s="188" t="str">
        <f ca="1">Tables!C69</f>
        <v>-</v>
      </c>
      <c r="D19" s="525" t="str">
        <f ca="1">Tables!D69</f>
        <v>-</v>
      </c>
      <c r="E19" s="526" t="str">
        <f ca="1">Tables!E69</f>
        <v>-</v>
      </c>
      <c r="F19" s="180" t="str">
        <f t="shared" ca="1" si="3"/>
        <v>-</v>
      </c>
      <c r="G19" s="181" t="str">
        <f ca="1">Tables!F69</f>
        <v>-</v>
      </c>
      <c r="H19" s="521" t="str">
        <f ca="1">Tables!G69</f>
        <v>-</v>
      </c>
      <c r="I19" s="180" t="str">
        <f t="shared" ca="1" si="0"/>
        <v>-</v>
      </c>
      <c r="J19" s="181" t="str">
        <f ca="1">Tables!H69</f>
        <v>-</v>
      </c>
      <c r="K19" s="521" t="str">
        <f ca="1">Tables!I69</f>
        <v>-</v>
      </c>
      <c r="L19" s="180" t="str">
        <f t="shared" ca="1" si="1"/>
        <v>-</v>
      </c>
      <c r="M19" s="219" t="str">
        <f ca="1">Tables!J69</f>
        <v>-</v>
      </c>
      <c r="Q19" s="2">
        <f t="shared" ca="1" si="2"/>
        <v>0</v>
      </c>
    </row>
    <row r="20" spans="2:17" hidden="1" x14ac:dyDescent="0.3">
      <c r="B20" s="183" t="str">
        <f ca="1">Tables!B70</f>
        <v>*Hide*</v>
      </c>
      <c r="C20" s="188" t="str">
        <f ca="1">Tables!C70</f>
        <v>-</v>
      </c>
      <c r="D20" s="525" t="str">
        <f ca="1">Tables!D70</f>
        <v>-</v>
      </c>
      <c r="E20" s="526" t="str">
        <f ca="1">Tables!E70</f>
        <v>-</v>
      </c>
      <c r="F20" s="180" t="str">
        <f t="shared" ca="1" si="3"/>
        <v>-</v>
      </c>
      <c r="G20" s="181" t="str">
        <f ca="1">Tables!F70</f>
        <v>-</v>
      </c>
      <c r="H20" s="521" t="str">
        <f ca="1">Tables!G70</f>
        <v>-</v>
      </c>
      <c r="I20" s="180" t="str">
        <f t="shared" ca="1" si="0"/>
        <v>-</v>
      </c>
      <c r="J20" s="181" t="str">
        <f ca="1">Tables!H70</f>
        <v>-</v>
      </c>
      <c r="K20" s="521" t="str">
        <f ca="1">Tables!I70</f>
        <v>-</v>
      </c>
      <c r="L20" s="180" t="str">
        <f t="shared" ca="1" si="1"/>
        <v>-</v>
      </c>
      <c r="M20" s="219" t="str">
        <f ca="1">Tables!J70</f>
        <v>-</v>
      </c>
      <c r="Q20" s="2">
        <f t="shared" ca="1" si="2"/>
        <v>0</v>
      </c>
    </row>
    <row r="21" spans="2:17" hidden="1" x14ac:dyDescent="0.3">
      <c r="B21" s="183" t="str">
        <f ca="1">Tables!B71</f>
        <v>*Hide*</v>
      </c>
      <c r="C21" s="188" t="str">
        <f ca="1">Tables!C71</f>
        <v>-</v>
      </c>
      <c r="D21" s="525" t="str">
        <f ca="1">Tables!D71</f>
        <v>-</v>
      </c>
      <c r="E21" s="526" t="str">
        <f ca="1">Tables!E71</f>
        <v>-</v>
      </c>
      <c r="F21" s="180" t="str">
        <f t="shared" ca="1" si="3"/>
        <v>-</v>
      </c>
      <c r="G21" s="181" t="str">
        <f ca="1">Tables!F71</f>
        <v>-</v>
      </c>
      <c r="H21" s="521" t="str">
        <f ca="1">Tables!G71</f>
        <v>-</v>
      </c>
      <c r="I21" s="180" t="str">
        <f t="shared" ca="1" si="0"/>
        <v>-</v>
      </c>
      <c r="J21" s="181" t="str">
        <f ca="1">Tables!H71</f>
        <v>-</v>
      </c>
      <c r="K21" s="521" t="str">
        <f ca="1">Tables!I71</f>
        <v>-</v>
      </c>
      <c r="L21" s="180" t="str">
        <f t="shared" ca="1" si="1"/>
        <v>-</v>
      </c>
      <c r="M21" s="219" t="str">
        <f ca="1">Tables!J71</f>
        <v>-</v>
      </c>
      <c r="Q21" s="2">
        <f t="shared" ca="1" si="2"/>
        <v>0</v>
      </c>
    </row>
    <row r="22" spans="2:17" hidden="1" x14ac:dyDescent="0.3">
      <c r="B22" s="183" t="str">
        <f ca="1">Tables!B72</f>
        <v>*Hide*</v>
      </c>
      <c r="C22" s="188" t="str">
        <f ca="1">Tables!C72</f>
        <v>-</v>
      </c>
      <c r="D22" s="525" t="str">
        <f ca="1">Tables!D72</f>
        <v>-</v>
      </c>
      <c r="E22" s="526" t="str">
        <f ca="1">Tables!E72</f>
        <v>-</v>
      </c>
      <c r="F22" s="180" t="str">
        <f t="shared" ca="1" si="3"/>
        <v>-</v>
      </c>
      <c r="G22" s="181" t="str">
        <f ca="1">Tables!F72</f>
        <v>-</v>
      </c>
      <c r="H22" s="521" t="str">
        <f ca="1">Tables!G72</f>
        <v>-</v>
      </c>
      <c r="I22" s="180" t="str">
        <f t="shared" ca="1" si="0"/>
        <v>-</v>
      </c>
      <c r="J22" s="181" t="str">
        <f ca="1">Tables!H72</f>
        <v>-</v>
      </c>
      <c r="K22" s="521" t="str">
        <f ca="1">Tables!I72</f>
        <v>-</v>
      </c>
      <c r="L22" s="180" t="str">
        <f t="shared" ca="1" si="1"/>
        <v>-</v>
      </c>
      <c r="M22" s="219" t="str">
        <f ca="1">Tables!J72</f>
        <v>-</v>
      </c>
      <c r="Q22" s="2">
        <f t="shared" ca="1" si="2"/>
        <v>0</v>
      </c>
    </row>
    <row r="23" spans="2:17" hidden="1" x14ac:dyDescent="0.3">
      <c r="B23" s="183" t="str">
        <f ca="1">Tables!B73</f>
        <v>*Hide*</v>
      </c>
      <c r="C23" s="188" t="str">
        <f ca="1">Tables!C73</f>
        <v>-</v>
      </c>
      <c r="D23" s="525" t="str">
        <f ca="1">Tables!D73</f>
        <v>-</v>
      </c>
      <c r="E23" s="526" t="str">
        <f ca="1">Tables!E73</f>
        <v>-</v>
      </c>
      <c r="F23" s="180" t="str">
        <f t="shared" ca="1" si="3"/>
        <v>-</v>
      </c>
      <c r="G23" s="181" t="str">
        <f ca="1">Tables!F73</f>
        <v>-</v>
      </c>
      <c r="H23" s="521" t="str">
        <f ca="1">Tables!G73</f>
        <v>-</v>
      </c>
      <c r="I23" s="180" t="str">
        <f t="shared" ca="1" si="0"/>
        <v>-</v>
      </c>
      <c r="J23" s="181" t="str">
        <f ca="1">Tables!H73</f>
        <v>-</v>
      </c>
      <c r="K23" s="521" t="str">
        <f ca="1">Tables!I73</f>
        <v>-</v>
      </c>
      <c r="L23" s="180" t="str">
        <f t="shared" ca="1" si="1"/>
        <v>-</v>
      </c>
      <c r="M23" s="219" t="str">
        <f ca="1">Tables!J73</f>
        <v>-</v>
      </c>
      <c r="Q23" s="2">
        <f t="shared" ca="1" si="2"/>
        <v>0</v>
      </c>
    </row>
    <row r="24" spans="2:17" hidden="1" x14ac:dyDescent="0.3">
      <c r="B24" s="183" t="str">
        <f ca="1">Tables!B74</f>
        <v>*Hide*</v>
      </c>
      <c r="C24" s="188" t="str">
        <f ca="1">Tables!C74</f>
        <v>-</v>
      </c>
      <c r="D24" s="525" t="str">
        <f ca="1">Tables!D74</f>
        <v>-</v>
      </c>
      <c r="E24" s="526" t="str">
        <f ca="1">Tables!E74</f>
        <v>-</v>
      </c>
      <c r="F24" s="180" t="str">
        <f t="shared" ca="1" si="3"/>
        <v>-</v>
      </c>
      <c r="G24" s="181" t="str">
        <f ca="1">Tables!F74</f>
        <v>-</v>
      </c>
      <c r="H24" s="521" t="str">
        <f ca="1">Tables!G74</f>
        <v>-</v>
      </c>
      <c r="I24" s="180" t="str">
        <f t="shared" ca="1" si="0"/>
        <v>-</v>
      </c>
      <c r="J24" s="181" t="str">
        <f ca="1">Tables!H74</f>
        <v>-</v>
      </c>
      <c r="K24" s="521" t="str">
        <f ca="1">Tables!I74</f>
        <v>-</v>
      </c>
      <c r="L24" s="180" t="str">
        <f t="shared" ca="1" si="1"/>
        <v>-</v>
      </c>
      <c r="M24" s="219" t="str">
        <f ca="1">Tables!J74</f>
        <v>-</v>
      </c>
      <c r="Q24" s="2">
        <f t="shared" ca="1" si="2"/>
        <v>0</v>
      </c>
    </row>
    <row r="25" spans="2:17" hidden="1" x14ac:dyDescent="0.3">
      <c r="B25" s="183" t="str">
        <f ca="1">Tables!B75</f>
        <v>*Hide*</v>
      </c>
      <c r="C25" s="188" t="str">
        <f ca="1">Tables!C75</f>
        <v>-</v>
      </c>
      <c r="D25" s="525" t="str">
        <f ca="1">Tables!D75</f>
        <v>-</v>
      </c>
      <c r="E25" s="526" t="str">
        <f ca="1">Tables!E75</f>
        <v>-</v>
      </c>
      <c r="F25" s="180" t="str">
        <f t="shared" ca="1" si="3"/>
        <v>-</v>
      </c>
      <c r="G25" s="181" t="str">
        <f ca="1">Tables!F75</f>
        <v>-</v>
      </c>
      <c r="H25" s="521" t="str">
        <f ca="1">Tables!G75</f>
        <v>-</v>
      </c>
      <c r="I25" s="180" t="str">
        <f t="shared" ca="1" si="0"/>
        <v>-</v>
      </c>
      <c r="J25" s="181" t="str">
        <f ca="1">Tables!H75</f>
        <v>-</v>
      </c>
      <c r="K25" s="521" t="str">
        <f ca="1">Tables!I75</f>
        <v>-</v>
      </c>
      <c r="L25" s="180" t="str">
        <f t="shared" ca="1" si="1"/>
        <v>-</v>
      </c>
      <c r="M25" s="219" t="str">
        <f ca="1">Tables!J75</f>
        <v>-</v>
      </c>
      <c r="Q25" s="2">
        <f t="shared" ca="1" si="2"/>
        <v>0</v>
      </c>
    </row>
    <row r="26" spans="2:17" hidden="1" x14ac:dyDescent="0.3">
      <c r="B26" s="183" t="str">
        <f ca="1">Tables!B76</f>
        <v>*Hide*</v>
      </c>
      <c r="C26" s="188" t="str">
        <f ca="1">Tables!C76</f>
        <v>-</v>
      </c>
      <c r="D26" s="525" t="str">
        <f ca="1">Tables!D76</f>
        <v>-</v>
      </c>
      <c r="E26" s="526" t="str">
        <f ca="1">Tables!E76</f>
        <v>-</v>
      </c>
      <c r="F26" s="180" t="str">
        <f t="shared" ca="1" si="3"/>
        <v>-</v>
      </c>
      <c r="G26" s="181" t="str">
        <f ca="1">Tables!F76</f>
        <v>-</v>
      </c>
      <c r="H26" s="521" t="str">
        <f ca="1">Tables!G76</f>
        <v>-</v>
      </c>
      <c r="I26" s="180" t="str">
        <f t="shared" ca="1" si="0"/>
        <v>-</v>
      </c>
      <c r="J26" s="181" t="str">
        <f ca="1">Tables!H76</f>
        <v>-</v>
      </c>
      <c r="K26" s="521" t="str">
        <f ca="1">Tables!I76</f>
        <v>-</v>
      </c>
      <c r="L26" s="180" t="str">
        <f t="shared" ca="1" si="1"/>
        <v>-</v>
      </c>
      <c r="M26" s="219" t="str">
        <f ca="1">Tables!J76</f>
        <v>-</v>
      </c>
      <c r="Q26" s="2">
        <f t="shared" ca="1" si="2"/>
        <v>0</v>
      </c>
    </row>
    <row r="27" spans="2:17" hidden="1" x14ac:dyDescent="0.3">
      <c r="B27" s="183" t="str">
        <f ca="1">Tables!B77</f>
        <v>*Hide*</v>
      </c>
      <c r="C27" s="183" t="str">
        <f ca="1">Tables!C77</f>
        <v>-</v>
      </c>
      <c r="D27" s="527" t="str">
        <f ca="1">Tables!D77</f>
        <v>-</v>
      </c>
      <c r="E27" s="528" t="str">
        <f ca="1">Tables!E77</f>
        <v>-</v>
      </c>
      <c r="F27" s="211" t="str">
        <f t="shared" ca="1" si="3"/>
        <v>-</v>
      </c>
      <c r="G27" s="212" t="str">
        <f ca="1">Tables!F77</f>
        <v>-</v>
      </c>
      <c r="H27" s="529" t="str">
        <f ca="1">Tables!G77</f>
        <v>-</v>
      </c>
      <c r="I27" s="211" t="str">
        <f t="shared" ca="1" si="0"/>
        <v>-</v>
      </c>
      <c r="J27" s="212" t="str">
        <f ca="1">Tables!H77</f>
        <v>-</v>
      </c>
      <c r="K27" s="529" t="str">
        <f ca="1">Tables!I77</f>
        <v>-</v>
      </c>
      <c r="L27" s="211" t="str">
        <f t="shared" ca="1" si="1"/>
        <v>-</v>
      </c>
      <c r="M27" s="220" t="str">
        <f ca="1">Tables!J77</f>
        <v>-</v>
      </c>
      <c r="Q27" s="2">
        <f t="shared" ca="1" si="2"/>
        <v>0</v>
      </c>
    </row>
    <row r="28" spans="2:17" ht="14.4" thickBot="1" x14ac:dyDescent="0.35">
      <c r="B28" s="234" t="str">
        <f>Budgets!H26</f>
        <v>Regulatory</v>
      </c>
      <c r="C28" s="184"/>
      <c r="D28" s="527">
        <f>Budgets!I26</f>
        <v>3000</v>
      </c>
      <c r="E28" s="528">
        <f>'Actual Expenses'!I91</f>
        <v>923.35</v>
      </c>
      <c r="F28" s="211"/>
      <c r="G28" s="212"/>
      <c r="H28" s="529"/>
      <c r="I28" s="211"/>
      <c r="J28" s="212"/>
      <c r="K28" s="529"/>
      <c r="L28" s="211"/>
      <c r="M28" s="220"/>
      <c r="Q28" s="2">
        <f>IF(SUBTOTAL(103,B28)=1,0,-1)</f>
        <v>0</v>
      </c>
    </row>
    <row r="29" spans="2:17" ht="15" thickBot="1" x14ac:dyDescent="0.35">
      <c r="C29" s="230" t="s">
        <v>605</v>
      </c>
      <c r="D29" s="224">
        <f ca="1">SUM(D8:D28)</f>
        <v>107101</v>
      </c>
      <c r="E29" s="225">
        <f ca="1">SUM(E8:E28)</f>
        <v>34882.79</v>
      </c>
      <c r="F29" s="226">
        <f t="shared" ca="1" si="3"/>
        <v>0.32569994677920844</v>
      </c>
      <c r="G29" s="227">
        <f ca="1">SUM(G8:G27)</f>
        <v>64059</v>
      </c>
      <c r="H29" s="228">
        <f ca="1">SUM(H8:H27)</f>
        <v>60720</v>
      </c>
      <c r="I29" s="226">
        <f t="shared" ca="1" si="0"/>
        <v>0.94787617664965107</v>
      </c>
      <c r="J29" s="227">
        <f ca="1">SUM(J8:J27)</f>
        <v>809</v>
      </c>
      <c r="K29" s="228">
        <f ca="1">SUM(K8:K27)</f>
        <v>809</v>
      </c>
      <c r="L29" s="226">
        <f t="shared" ca="1" si="1"/>
        <v>1</v>
      </c>
      <c r="M29" s="229">
        <f>'Cost-Benefits'!J27</f>
        <v>16.40087145969499</v>
      </c>
      <c r="Q29" s="2">
        <f ca="1">SUM(Q8:Q28)</f>
        <v>0</v>
      </c>
    </row>
    <row r="30" spans="2:17" ht="15.75" customHeight="1" x14ac:dyDescent="0.3">
      <c r="B30" s="322" t="str">
        <f ca="1">IF(Q29&gt;0,"Select all cells in the 'Program Name' column that contain *Hide* and press Ctrl+9 to hide rows.",IF(Q29&lt;0,"Select all cells in Program Name column and press Shift+Ctrl+9 to unhide all rows.",""))</f>
        <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6" priority="1">
      <formula>$B8="*Hide*"</formula>
    </cfRule>
  </conditionalFormatting>
  <pageMargins left="0.25" right="0.25" top="0.75" bottom="0.75" header="0.3" footer="0.3"/>
  <pageSetup scale="82"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M25"/>
  <sheetViews>
    <sheetView showGridLines="0" zoomScaleNormal="100" workbookViewId="0">
      <pane ySplit="2" topLeftCell="A17" activePane="bottomLeft" state="frozen"/>
      <selection activeCell="P31" sqref="P31"/>
      <selection pane="bottomLeft" activeCell="R11" sqref="R11"/>
    </sheetView>
  </sheetViews>
  <sheetFormatPr defaultColWidth="9.109375" defaultRowHeight="13.8" x14ac:dyDescent="0.3"/>
  <cols>
    <col min="1" max="1" width="1" style="2" customWidth="1"/>
    <col min="2" max="2" width="36" style="2" customWidth="1"/>
    <col min="3" max="4" width="12.21875" style="2" bestFit="1" customWidth="1"/>
    <col min="5" max="5" width="5.88671875" style="2" bestFit="1" customWidth="1"/>
    <col min="6" max="6" width="12" style="2" bestFit="1" customWidth="1"/>
    <col min="7" max="7" width="11.77734375" style="2" bestFit="1" customWidth="1"/>
    <col min="8" max="8" width="5.88671875" style="2" bestFit="1" customWidth="1"/>
    <col min="9" max="10" width="10.44140625" style="2" bestFit="1" customWidth="1"/>
    <col min="11" max="11" width="5.88671875" style="2" bestFit="1" customWidth="1"/>
    <col min="12" max="12" width="7.44140625" style="2" customWidth="1"/>
    <col min="13" max="13" width="1.21875" style="2" customWidth="1"/>
    <col min="14" max="16384" width="9.109375" style="2"/>
  </cols>
  <sheetData>
    <row r="1" spans="1:13" ht="5.0999999999999996" customHeight="1" thickBot="1" x14ac:dyDescent="0.35"/>
    <row r="2" spans="1:13" ht="38.25" customHeight="1" thickBot="1" x14ac:dyDescent="0.35">
      <c r="B2" s="561" t="s">
        <v>552</v>
      </c>
      <c r="C2" s="561"/>
      <c r="D2" s="561"/>
      <c r="E2" s="561"/>
      <c r="F2" s="561"/>
      <c r="G2" s="561"/>
      <c r="H2" s="561"/>
      <c r="I2" s="561"/>
      <c r="J2" s="561"/>
      <c r="K2" s="561"/>
      <c r="L2" s="561"/>
    </row>
    <row r="3" spans="1:13" ht="4.6500000000000004" customHeight="1" x14ac:dyDescent="0.3"/>
    <row r="4" spans="1:13" ht="22.8" x14ac:dyDescent="0.4">
      <c r="B4" s="684" t="str">
        <f>Titles!F2&amp;" Portfolio Results Detail by Target Sector"</f>
        <v>2025 Portfolio Results Detail by Target Sector</v>
      </c>
      <c r="C4" s="684"/>
      <c r="D4" s="684"/>
      <c r="E4" s="684"/>
      <c r="F4" s="684"/>
      <c r="G4" s="684"/>
      <c r="H4" s="684"/>
      <c r="I4" s="684"/>
      <c r="J4" s="684"/>
      <c r="K4" s="684"/>
      <c r="L4" s="684"/>
    </row>
    <row r="5" spans="1:13" ht="4.6500000000000004" customHeight="1" thickBot="1" x14ac:dyDescent="0.35"/>
    <row r="6" spans="1:13" ht="14.25" customHeight="1" thickBot="1" x14ac:dyDescent="0.35">
      <c r="C6" s="687" t="s">
        <v>528</v>
      </c>
      <c r="D6" s="688"/>
      <c r="E6" s="689"/>
      <c r="F6" s="687" t="str">
        <f>"Savings ("&amp;Titles!F13&amp;")"</f>
        <v>Savings (kWh)</v>
      </c>
      <c r="G6" s="688"/>
      <c r="H6" s="689"/>
      <c r="I6" s="687" t="s">
        <v>168</v>
      </c>
      <c r="J6" s="688"/>
      <c r="K6" s="689"/>
      <c r="L6" s="685" t="s">
        <v>534</v>
      </c>
    </row>
    <row r="7" spans="1:13" ht="17.25" customHeight="1" thickBot="1" x14ac:dyDescent="0.35">
      <c r="A7" s="448"/>
      <c r="B7" s="223" t="s">
        <v>83</v>
      </c>
      <c r="C7" s="221" t="s">
        <v>517</v>
      </c>
      <c r="D7" s="530" t="s">
        <v>518</v>
      </c>
      <c r="E7" s="222" t="s">
        <v>604</v>
      </c>
      <c r="F7" s="221" t="s">
        <v>519</v>
      </c>
      <c r="G7" s="530" t="s">
        <v>520</v>
      </c>
      <c r="H7" s="222" t="s">
        <v>604</v>
      </c>
      <c r="I7" s="221" t="s">
        <v>519</v>
      </c>
      <c r="J7" s="530" t="s">
        <v>518</v>
      </c>
      <c r="K7" s="222" t="s">
        <v>604</v>
      </c>
      <c r="L7" s="690"/>
      <c r="M7" s="448"/>
    </row>
    <row r="8" spans="1:13" x14ac:dyDescent="0.3">
      <c r="B8" s="206" t="str">
        <f>Tables!B82</f>
        <v>Residential</v>
      </c>
      <c r="C8" s="179">
        <f ca="1">Tables!D82</f>
        <v>75589</v>
      </c>
      <c r="D8" s="526">
        <f ca="1">Tables!E82</f>
        <v>30271.94</v>
      </c>
      <c r="E8" s="180">
        <f ca="1">IF(ISERROR(D8/C8),"-",D8/C8)</f>
        <v>0.40048075778221698</v>
      </c>
      <c r="F8" s="181">
        <f ca="1">Tables!F82</f>
        <v>64059</v>
      </c>
      <c r="G8" s="521">
        <f ca="1">Tables!G82</f>
        <v>60720</v>
      </c>
      <c r="H8" s="180">
        <f t="shared" ref="H8:H21" ca="1" si="0">IF(ISERROR(G8/F8),"-",G8/F8)</f>
        <v>0.94787617664965107</v>
      </c>
      <c r="I8" s="181">
        <f ca="1">Tables!H82</f>
        <v>805</v>
      </c>
      <c r="J8" s="521">
        <f ca="1">Tables!I82</f>
        <v>809</v>
      </c>
      <c r="K8" s="180">
        <f t="shared" ref="K8:K21" ca="1" si="1">IF(ISERROR(J8/I8),"-",J8/I8)</f>
        <v>1.004968944099379</v>
      </c>
      <c r="L8" s="182">
        <f ca="1">Tables!M82</f>
        <v>30.852459016393446</v>
      </c>
      <c r="M8" s="448"/>
    </row>
    <row r="9" spans="1:13" x14ac:dyDescent="0.3">
      <c r="B9" s="206" t="str">
        <f>Tables!B83</f>
        <v>Small Business</v>
      </c>
      <c r="C9" s="179">
        <f ca="1">Tables!D83</f>
        <v>0</v>
      </c>
      <c r="D9" s="526">
        <f ca="1">Tables!E83</f>
        <v>0</v>
      </c>
      <c r="E9" s="180" t="str">
        <f ca="1">IF(ISERROR(D9/C9),"-",D9/C9)</f>
        <v>-</v>
      </c>
      <c r="F9" s="181">
        <f ca="1">Tables!F83</f>
        <v>0</v>
      </c>
      <c r="G9" s="521">
        <f ca="1">Tables!G83</f>
        <v>0</v>
      </c>
      <c r="H9" s="180" t="str">
        <f t="shared" ca="1" si="0"/>
        <v>-</v>
      </c>
      <c r="I9" s="181">
        <f ca="1">Tables!H83</f>
        <v>0</v>
      </c>
      <c r="J9" s="521">
        <f ca="1">Tables!I83</f>
        <v>0</v>
      </c>
      <c r="K9" s="180" t="str">
        <f t="shared" ca="1" si="1"/>
        <v>-</v>
      </c>
      <c r="L9" s="182" t="str">
        <f ca="1">Tables!M83</f>
        <v>n/a</v>
      </c>
      <c r="M9" s="448"/>
    </row>
    <row r="10" spans="1:13" x14ac:dyDescent="0.3">
      <c r="B10" s="206" t="str">
        <f>Tables!B84</f>
        <v>Commercial &amp; Industrial</v>
      </c>
      <c r="C10" s="179">
        <f ca="1">Tables!D84</f>
        <v>10812</v>
      </c>
      <c r="D10" s="526">
        <f ca="1">Tables!E84</f>
        <v>0</v>
      </c>
      <c r="E10" s="180">
        <f ca="1">IF(ISERROR(D10/C10),"-",D10/C10)</f>
        <v>0</v>
      </c>
      <c r="F10" s="181">
        <f ca="1">Tables!F84</f>
        <v>0</v>
      </c>
      <c r="G10" s="521">
        <f ca="1">Tables!G84</f>
        <v>0</v>
      </c>
      <c r="H10" s="180" t="str">
        <f t="shared" ca="1" si="0"/>
        <v>-</v>
      </c>
      <c r="I10" s="181">
        <f ca="1">Tables!H84</f>
        <v>4</v>
      </c>
      <c r="J10" s="521">
        <f ca="1">Tables!I84</f>
        <v>0</v>
      </c>
      <c r="K10" s="180">
        <f t="shared" ca="1" si="1"/>
        <v>0</v>
      </c>
      <c r="L10" s="182" t="str">
        <f ca="1">Tables!M84</f>
        <v>n/a</v>
      </c>
      <c r="M10" s="448"/>
    </row>
    <row r="11" spans="1:13" x14ac:dyDescent="0.3">
      <c r="B11" s="206" t="str">
        <f>Tables!B85</f>
        <v>Municipalities/Schools</v>
      </c>
      <c r="C11" s="179">
        <f ca="1">Tables!D85</f>
        <v>0</v>
      </c>
      <c r="D11" s="526">
        <f ca="1">Tables!E85</f>
        <v>0</v>
      </c>
      <c r="E11" s="180" t="str">
        <f t="shared" ref="E11:E21" ca="1" si="2">IF(ISERROR(D11/C11),"-",D11/C11)</f>
        <v>-</v>
      </c>
      <c r="F11" s="181">
        <f ca="1">Tables!F85</f>
        <v>0</v>
      </c>
      <c r="G11" s="521">
        <f ca="1">Tables!G85</f>
        <v>0</v>
      </c>
      <c r="H11" s="180" t="str">
        <f t="shared" ca="1" si="0"/>
        <v>-</v>
      </c>
      <c r="I11" s="181">
        <f ca="1">Tables!H85</f>
        <v>0</v>
      </c>
      <c r="J11" s="521">
        <f ca="1">Tables!I85</f>
        <v>0</v>
      </c>
      <c r="K11" s="180" t="str">
        <f t="shared" ca="1" si="1"/>
        <v>-</v>
      </c>
      <c r="L11" s="182" t="str">
        <f ca="1">Tables!M85</f>
        <v>n/a</v>
      </c>
      <c r="M11" s="448"/>
    </row>
    <row r="12" spans="1:13" x14ac:dyDescent="0.3">
      <c r="B12" s="206" t="str">
        <f>Tables!B86</f>
        <v>Agriculture</v>
      </c>
      <c r="C12" s="179">
        <f ca="1">Tables!D86</f>
        <v>0</v>
      </c>
      <c r="D12" s="526">
        <f ca="1">Tables!E86</f>
        <v>0</v>
      </c>
      <c r="E12" s="180" t="str">
        <f t="shared" ca="1" si="2"/>
        <v>-</v>
      </c>
      <c r="F12" s="181">
        <f ca="1">Tables!F86</f>
        <v>0</v>
      </c>
      <c r="G12" s="521">
        <f ca="1">Tables!G86</f>
        <v>0</v>
      </c>
      <c r="H12" s="180" t="str">
        <f t="shared" ca="1" si="0"/>
        <v>-</v>
      </c>
      <c r="I12" s="181">
        <f ca="1">Tables!H86</f>
        <v>0</v>
      </c>
      <c r="J12" s="521">
        <f ca="1">Tables!I86</f>
        <v>0</v>
      </c>
      <c r="K12" s="180" t="str">
        <f t="shared" ca="1" si="1"/>
        <v>-</v>
      </c>
      <c r="L12" s="182" t="str">
        <f ca="1">Tables!M86</f>
        <v>n/a</v>
      </c>
      <c r="M12" s="448"/>
    </row>
    <row r="13" spans="1:13" x14ac:dyDescent="0.3">
      <c r="B13" s="206" t="str">
        <f>Tables!B87</f>
        <v>Other</v>
      </c>
      <c r="C13" s="179">
        <f ca="1">Tables!D87</f>
        <v>0</v>
      </c>
      <c r="D13" s="526">
        <f ca="1">Tables!E87</f>
        <v>0</v>
      </c>
      <c r="E13" s="180" t="str">
        <f t="shared" ca="1" si="2"/>
        <v>-</v>
      </c>
      <c r="F13" s="181">
        <f ca="1">Tables!F87</f>
        <v>0</v>
      </c>
      <c r="G13" s="521">
        <f ca="1">Tables!G87</f>
        <v>0</v>
      </c>
      <c r="H13" s="180" t="str">
        <f t="shared" ca="1" si="0"/>
        <v>-</v>
      </c>
      <c r="I13" s="181">
        <f ca="1">Tables!H87</f>
        <v>0</v>
      </c>
      <c r="J13" s="521">
        <f ca="1">Tables!I87</f>
        <v>0</v>
      </c>
      <c r="K13" s="180" t="str">
        <f t="shared" ca="1" si="1"/>
        <v>-</v>
      </c>
      <c r="L13" s="182" t="str">
        <f ca="1">Tables!M87</f>
        <v>n/a</v>
      </c>
      <c r="M13" s="448"/>
    </row>
    <row r="14" spans="1:13" x14ac:dyDescent="0.3">
      <c r="B14" s="207"/>
      <c r="C14" s="179"/>
      <c r="D14" s="526"/>
      <c r="E14" s="180"/>
      <c r="F14" s="181"/>
      <c r="G14" s="521"/>
      <c r="H14" s="180"/>
      <c r="I14" s="181"/>
      <c r="J14" s="521"/>
      <c r="K14" s="180"/>
      <c r="L14" s="182"/>
      <c r="M14" s="448"/>
    </row>
    <row r="15" spans="1:13" x14ac:dyDescent="0.3">
      <c r="B15" s="207" t="str">
        <f>Tables!B88</f>
        <v>Res/Small Business</v>
      </c>
      <c r="C15" s="179">
        <f ca="1">Tables!D88</f>
        <v>0</v>
      </c>
      <c r="D15" s="526">
        <f ca="1">Tables!E88</f>
        <v>0</v>
      </c>
      <c r="E15" s="180" t="str">
        <f t="shared" ca="1" si="2"/>
        <v>-</v>
      </c>
      <c r="F15" s="181">
        <f ca="1">Tables!F88</f>
        <v>0</v>
      </c>
      <c r="G15" s="521">
        <f ca="1">Tables!G88</f>
        <v>0</v>
      </c>
      <c r="H15" s="180" t="str">
        <f t="shared" ca="1" si="0"/>
        <v>-</v>
      </c>
      <c r="I15" s="181">
        <f ca="1">Tables!H88</f>
        <v>0</v>
      </c>
      <c r="J15" s="521">
        <f ca="1">Tables!I88</f>
        <v>0</v>
      </c>
      <c r="K15" s="180" t="str">
        <f t="shared" ca="1" si="1"/>
        <v>-</v>
      </c>
      <c r="L15" s="182" t="str">
        <f ca="1">Tables!M88</f>
        <v>n/a</v>
      </c>
      <c r="M15" s="448"/>
    </row>
    <row r="16" spans="1:13" x14ac:dyDescent="0.3">
      <c r="B16" s="207" t="str">
        <f>Tables!B89</f>
        <v>Res/C&amp;I</v>
      </c>
      <c r="C16" s="179">
        <f ca="1">Tables!D89</f>
        <v>0</v>
      </c>
      <c r="D16" s="526">
        <f ca="1">Tables!E89</f>
        <v>0</v>
      </c>
      <c r="E16" s="180" t="str">
        <f t="shared" ca="1" si="2"/>
        <v>-</v>
      </c>
      <c r="F16" s="181">
        <f ca="1">Tables!F89</f>
        <v>0</v>
      </c>
      <c r="G16" s="521">
        <f ca="1">Tables!G89</f>
        <v>0</v>
      </c>
      <c r="H16" s="180" t="str">
        <f t="shared" ca="1" si="0"/>
        <v>-</v>
      </c>
      <c r="I16" s="181">
        <f ca="1">Tables!H89</f>
        <v>0</v>
      </c>
      <c r="J16" s="521">
        <f ca="1">Tables!I89</f>
        <v>0</v>
      </c>
      <c r="K16" s="180" t="str">
        <f t="shared" ca="1" si="1"/>
        <v>-</v>
      </c>
      <c r="L16" s="182" t="str">
        <f ca="1">Tables!M89</f>
        <v>n/a</v>
      </c>
      <c r="M16" s="448"/>
    </row>
    <row r="17" spans="2:12" x14ac:dyDescent="0.3">
      <c r="B17" s="207" t="str">
        <f>Tables!B90</f>
        <v>Small Business/C&amp;I</v>
      </c>
      <c r="C17" s="179">
        <f ca="1">Tables!D90</f>
        <v>0</v>
      </c>
      <c r="D17" s="526">
        <f ca="1">Tables!E90</f>
        <v>0</v>
      </c>
      <c r="E17" s="180" t="str">
        <f t="shared" ca="1" si="2"/>
        <v>-</v>
      </c>
      <c r="F17" s="181">
        <f ca="1">Tables!F90</f>
        <v>0</v>
      </c>
      <c r="G17" s="521">
        <f ca="1">Tables!G90</f>
        <v>0</v>
      </c>
      <c r="H17" s="180" t="str">
        <f t="shared" ca="1" si="0"/>
        <v>-</v>
      </c>
      <c r="I17" s="181">
        <f ca="1">Tables!H90</f>
        <v>0</v>
      </c>
      <c r="J17" s="521">
        <f ca="1">Tables!I90</f>
        <v>0</v>
      </c>
      <c r="K17" s="180" t="str">
        <f t="shared" ca="1" si="1"/>
        <v>-</v>
      </c>
      <c r="L17" s="182" t="str">
        <f ca="1">Tables!M90</f>
        <v>n/a</v>
      </c>
    </row>
    <row r="18" spans="2:12" x14ac:dyDescent="0.3">
      <c r="B18" s="207"/>
      <c r="C18" s="179"/>
      <c r="D18" s="526"/>
      <c r="E18" s="180"/>
      <c r="F18" s="181"/>
      <c r="G18" s="521"/>
      <c r="H18" s="180"/>
      <c r="I18" s="181"/>
      <c r="J18" s="521"/>
      <c r="K18" s="180"/>
      <c r="L18" s="182"/>
    </row>
    <row r="19" spans="2:12" x14ac:dyDescent="0.3">
      <c r="B19" s="207" t="str">
        <f>Tables!B91</f>
        <v>All Classes</v>
      </c>
      <c r="C19" s="179">
        <f ca="1">Tables!D91</f>
        <v>17700</v>
      </c>
      <c r="D19" s="526">
        <f ca="1">Tables!E91</f>
        <v>3687.5</v>
      </c>
      <c r="E19" s="180">
        <f t="shared" ca="1" si="2"/>
        <v>0.20833333333333334</v>
      </c>
      <c r="F19" s="181">
        <f ca="1">Tables!F91</f>
        <v>0</v>
      </c>
      <c r="G19" s="521">
        <f ca="1">Tables!G91</f>
        <v>0</v>
      </c>
      <c r="H19" s="180" t="str">
        <f t="shared" ca="1" si="0"/>
        <v>-</v>
      </c>
      <c r="I19" s="181">
        <f ca="1">Tables!H91</f>
        <v>0</v>
      </c>
      <c r="J19" s="521">
        <f ca="1">Tables!I91</f>
        <v>0</v>
      </c>
      <c r="K19" s="180" t="str">
        <f t="shared" ca="1" si="1"/>
        <v>-</v>
      </c>
      <c r="L19" s="182">
        <f ca="1">Tables!M91</f>
        <v>0</v>
      </c>
    </row>
    <row r="20" spans="2:12" ht="14.4" thickBot="1" x14ac:dyDescent="0.35">
      <c r="B20" s="208"/>
      <c r="C20" s="210" t="str">
        <f ca="1">Tables!D77</f>
        <v>-</v>
      </c>
      <c r="D20" s="528" t="str">
        <f ca="1">Tables!E77</f>
        <v>-</v>
      </c>
      <c r="E20" s="211" t="str">
        <f t="shared" ca="1" si="2"/>
        <v>-</v>
      </c>
      <c r="F20" s="212" t="str">
        <f ca="1">Tables!F77</f>
        <v>-</v>
      </c>
      <c r="G20" s="529" t="str">
        <f ca="1">Tables!G77</f>
        <v>-</v>
      </c>
      <c r="H20" s="211" t="str">
        <f t="shared" ca="1" si="0"/>
        <v>-</v>
      </c>
      <c r="I20" s="212" t="str">
        <f ca="1">Tables!H77</f>
        <v>-</v>
      </c>
      <c r="J20" s="529" t="str">
        <f ca="1">Tables!I77</f>
        <v>-</v>
      </c>
      <c r="K20" s="211" t="str">
        <f t="shared" ca="1" si="1"/>
        <v>-</v>
      </c>
      <c r="L20" s="213" t="str">
        <f ca="1">Tables!J77</f>
        <v>-</v>
      </c>
    </row>
    <row r="21" spans="2:12" ht="15" thickBot="1" x14ac:dyDescent="0.35">
      <c r="B21" s="230" t="s">
        <v>606</v>
      </c>
      <c r="C21" s="224">
        <f ca="1">SUM(C8:C20)</f>
        <v>104101</v>
      </c>
      <c r="D21" s="225">
        <f ca="1">SUM(D8:D20)</f>
        <v>33959.440000000002</v>
      </c>
      <c r="E21" s="226">
        <f t="shared" ca="1" si="2"/>
        <v>0.32621627073707266</v>
      </c>
      <c r="F21" s="227">
        <f ca="1">SUM(F8:F20)</f>
        <v>64059</v>
      </c>
      <c r="G21" s="228">
        <f ca="1">SUM(G8:G20)</f>
        <v>60720</v>
      </c>
      <c r="H21" s="226">
        <f t="shared" ca="1" si="0"/>
        <v>0.94787617664965107</v>
      </c>
      <c r="I21" s="227">
        <f ca="1">SUM(I8:I20)</f>
        <v>809</v>
      </c>
      <c r="J21" s="228">
        <f ca="1">SUM(J8:J20)</f>
        <v>809</v>
      </c>
      <c r="K21" s="226">
        <f t="shared" ca="1" si="1"/>
        <v>1</v>
      </c>
      <c r="L21" s="229">
        <f>'Cost-Benefits'!J27</f>
        <v>16.40087145969499</v>
      </c>
    </row>
    <row r="23" spans="2:12" x14ac:dyDescent="0.3">
      <c r="B23" s="2" t="s">
        <v>607</v>
      </c>
    </row>
    <row r="24" spans="2:12" x14ac:dyDescent="0.3">
      <c r="B24" s="169" t="s">
        <v>608</v>
      </c>
      <c r="D24" s="2" t="s">
        <v>609</v>
      </c>
    </row>
    <row r="25" spans="2:12" x14ac:dyDescent="0.3">
      <c r="D25" s="2" t="str">
        <f>F6</f>
        <v>Savings (kWh)</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900-000000000000}">
      <formula1>G_List</formula1>
    </dataValidation>
  </dataValidations>
  <pageMargins left="0.25" right="0.25" top="0.75" bottom="0.75" header="0.3" footer="0.3"/>
  <pageSetup scale="94"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dimension ref="B1:O23"/>
  <sheetViews>
    <sheetView showGridLines="0" topLeftCell="B1" zoomScale="110" zoomScaleNormal="110" workbookViewId="0">
      <selection activeCell="P31" sqref="P31"/>
    </sheetView>
  </sheetViews>
  <sheetFormatPr defaultRowHeight="13.2" x14ac:dyDescent="0.25"/>
  <cols>
    <col min="1" max="1" width="1.44140625" customWidth="1"/>
    <col min="2" max="2" width="1.77734375" customWidth="1"/>
    <col min="3" max="7" width="10.77734375" customWidth="1"/>
    <col min="8" max="8" width="12.44140625" customWidth="1"/>
    <col min="9" max="14" width="10.77734375" customWidth="1"/>
    <col min="15" max="15" width="2.77734375" customWidth="1"/>
  </cols>
  <sheetData>
    <row r="1" spans="2:15" ht="5.0999999999999996" customHeight="1" thickBot="1" x14ac:dyDescent="0.3"/>
    <row r="2" spans="2:15" ht="38.25" customHeight="1" x14ac:dyDescent="0.25">
      <c r="B2" s="697" t="s">
        <v>610</v>
      </c>
      <c r="C2" s="698"/>
      <c r="D2" s="698"/>
      <c r="E2" s="698"/>
      <c r="F2" s="698"/>
      <c r="G2" s="698"/>
      <c r="H2" s="698"/>
      <c r="I2" s="698"/>
      <c r="J2" s="698"/>
      <c r="K2" s="698"/>
      <c r="L2" s="698"/>
      <c r="M2" s="698"/>
      <c r="N2" s="698"/>
      <c r="O2" s="699"/>
    </row>
    <row r="3" spans="2:15" ht="22.8" x14ac:dyDescent="0.4">
      <c r="B3" s="700" t="s">
        <v>611</v>
      </c>
      <c r="C3" s="701"/>
      <c r="D3" s="701"/>
      <c r="E3" s="701"/>
      <c r="F3" s="701"/>
      <c r="G3" s="701"/>
      <c r="H3" s="701"/>
      <c r="I3" s="701"/>
      <c r="J3" s="701"/>
      <c r="K3" s="701"/>
      <c r="L3" s="701"/>
      <c r="M3" s="701"/>
      <c r="N3" s="701"/>
      <c r="O3" s="702"/>
    </row>
    <row r="4" spans="2:15" x14ac:dyDescent="0.25">
      <c r="B4" s="8"/>
      <c r="O4" s="18"/>
    </row>
    <row r="5" spans="2:15" ht="13.8" thickBot="1" x14ac:dyDescent="0.3">
      <c r="B5" s="8"/>
      <c r="O5" s="18"/>
    </row>
    <row r="6" spans="2:15" ht="13.8" x14ac:dyDescent="0.3">
      <c r="B6" s="8"/>
      <c r="C6" s="40" t="s">
        <v>612</v>
      </c>
      <c r="D6" s="43" t="s">
        <v>613</v>
      </c>
      <c r="E6" s="35"/>
      <c r="F6" s="40" t="s">
        <v>614</v>
      </c>
      <c r="G6" s="40" t="s">
        <v>615</v>
      </c>
      <c r="H6" s="49"/>
      <c r="I6" s="43" t="s">
        <v>616</v>
      </c>
      <c r="J6" s="35"/>
      <c r="K6" s="43" t="s">
        <v>617</v>
      </c>
      <c r="L6" s="35"/>
      <c r="M6" s="39" t="s">
        <v>618</v>
      </c>
      <c r="N6" s="35"/>
      <c r="O6" s="18"/>
    </row>
    <row r="7" spans="2:15" ht="55.5" customHeight="1" x14ac:dyDescent="0.25">
      <c r="B7" s="8"/>
      <c r="C7" s="303" t="s">
        <v>74</v>
      </c>
      <c r="D7" s="44" t="s">
        <v>619</v>
      </c>
      <c r="E7" s="45" t="s">
        <v>620</v>
      </c>
      <c r="F7" s="47" t="s">
        <v>621</v>
      </c>
      <c r="G7" s="47" t="s">
        <v>622</v>
      </c>
      <c r="H7" s="50" t="s">
        <v>623</v>
      </c>
      <c r="I7" s="52" t="s">
        <v>624</v>
      </c>
      <c r="J7" s="36" t="s">
        <v>625</v>
      </c>
      <c r="K7" s="44" t="s">
        <v>626</v>
      </c>
      <c r="L7" s="36" t="s">
        <v>625</v>
      </c>
      <c r="M7" s="531" t="s">
        <v>627</v>
      </c>
      <c r="N7" s="36" t="s">
        <v>625</v>
      </c>
      <c r="O7" s="18"/>
    </row>
    <row r="8" spans="2:15" ht="14.4" thickBot="1" x14ac:dyDescent="0.35">
      <c r="B8" s="8"/>
      <c r="C8" s="41"/>
      <c r="D8" s="37"/>
      <c r="E8" s="46"/>
      <c r="F8" s="41"/>
      <c r="G8" s="41"/>
      <c r="H8" s="51" t="s">
        <v>224</v>
      </c>
      <c r="I8" s="53" t="s">
        <v>224</v>
      </c>
      <c r="J8" s="38" t="s">
        <v>628</v>
      </c>
      <c r="K8" s="53" t="s">
        <v>224</v>
      </c>
      <c r="L8" s="38" t="s">
        <v>629</v>
      </c>
      <c r="M8" s="48" t="s">
        <v>224</v>
      </c>
      <c r="N8" s="38" t="s">
        <v>630</v>
      </c>
      <c r="O8" s="18"/>
    </row>
    <row r="9" spans="2:15" ht="14.4" thickBot="1" x14ac:dyDescent="0.35">
      <c r="B9" s="8"/>
      <c r="C9" s="42">
        <f>Prg_Year</f>
        <v>2025</v>
      </c>
      <c r="D9" s="200">
        <f>'Utility Information'!D13</f>
        <v>1</v>
      </c>
      <c r="E9" s="59">
        <f>IF(ISERROR(D9/(H9/1000)),"-",(D9/(H9/1000)))</f>
        <v>28.667431704860768</v>
      </c>
      <c r="F9" s="299">
        <f>Training!D6</f>
        <v>0</v>
      </c>
      <c r="G9" s="299">
        <f>Training!F6</f>
        <v>0</v>
      </c>
      <c r="H9" s="296">
        <f>'Table 3'!F15/1000</f>
        <v>34.88279</v>
      </c>
      <c r="I9" s="297">
        <f>'Table 3'!F9/1000</f>
        <v>0</v>
      </c>
      <c r="J9" s="60">
        <f>IF(ISERROR(I9/$H9),"-",(I9/$H9))</f>
        <v>0</v>
      </c>
      <c r="K9" s="61">
        <f>H9-I9-M9</f>
        <v>32.19529</v>
      </c>
      <c r="L9" s="60">
        <f>IF(ISERROR(K9/$H9),"-",(K9/$H9))</f>
        <v>0.92295627729318674</v>
      </c>
      <c r="M9" s="298">
        <f>'Table 3'!F12/1000</f>
        <v>2.6875</v>
      </c>
      <c r="N9" s="60">
        <f>IF(ISERROR(M9/$H9),"-",(M9/$H9))</f>
        <v>7.7043722706813297E-2</v>
      </c>
      <c r="O9" s="18"/>
    </row>
    <row r="10" spans="2:15" ht="13.8" x14ac:dyDescent="0.3">
      <c r="B10" s="8"/>
      <c r="C10" s="2"/>
      <c r="D10" s="2"/>
      <c r="E10" s="2"/>
      <c r="F10" s="2"/>
      <c r="G10" s="2"/>
      <c r="H10" s="2"/>
      <c r="I10" s="2"/>
      <c r="J10" s="2"/>
      <c r="K10" s="2"/>
      <c r="L10" s="2"/>
      <c r="M10" s="2"/>
      <c r="N10" s="2"/>
      <c r="O10" s="18"/>
    </row>
    <row r="11" spans="2:15" ht="14.4" thickBot="1" x14ac:dyDescent="0.35">
      <c r="B11" s="8"/>
      <c r="C11" s="2"/>
      <c r="D11" s="2"/>
      <c r="E11" s="2"/>
      <c r="F11" s="2"/>
      <c r="G11" s="2"/>
      <c r="H11" s="2"/>
      <c r="I11" s="2"/>
      <c r="J11" s="2"/>
      <c r="K11" s="2"/>
      <c r="L11" s="2"/>
      <c r="M11" s="2"/>
      <c r="N11" s="2"/>
      <c r="O11" s="18"/>
    </row>
    <row r="12" spans="2:15" ht="15" thickBot="1" x14ac:dyDescent="0.35">
      <c r="B12" s="8"/>
      <c r="C12" s="2"/>
      <c r="D12" s="691" t="s">
        <v>631</v>
      </c>
      <c r="E12" s="692"/>
      <c r="F12" s="692"/>
      <c r="G12" s="692"/>
      <c r="H12" s="692"/>
      <c r="I12" s="692"/>
      <c r="J12" s="692"/>
      <c r="K12" s="692"/>
      <c r="L12" s="692"/>
      <c r="M12" s="693"/>
      <c r="N12" s="2"/>
      <c r="O12" s="18"/>
    </row>
    <row r="13" spans="2:15" ht="14.4" thickBot="1" x14ac:dyDescent="0.35">
      <c r="B13" s="8"/>
      <c r="C13" s="2"/>
      <c r="D13" s="71" t="s">
        <v>612</v>
      </c>
      <c r="E13" s="694" t="s">
        <v>632</v>
      </c>
      <c r="F13" s="695"/>
      <c r="G13" s="695"/>
      <c r="H13" s="695"/>
      <c r="I13" s="695"/>
      <c r="J13" s="695"/>
      <c r="K13" s="696"/>
      <c r="L13" s="694" t="s">
        <v>633</v>
      </c>
      <c r="M13" s="696"/>
      <c r="N13" s="2"/>
      <c r="O13" s="18"/>
    </row>
    <row r="14" spans="2:15" ht="13.8" x14ac:dyDescent="0.3">
      <c r="B14" s="8"/>
      <c r="C14" s="2"/>
      <c r="D14" s="72">
        <v>1</v>
      </c>
      <c r="E14" s="75" t="s">
        <v>634</v>
      </c>
      <c r="F14" s="6"/>
      <c r="G14" s="6"/>
      <c r="H14" s="6"/>
      <c r="I14" s="6"/>
      <c r="J14" s="6"/>
      <c r="K14" s="76"/>
      <c r="L14" s="75" t="s">
        <v>635</v>
      </c>
      <c r="M14" s="76"/>
      <c r="N14" s="2"/>
      <c r="O14" s="18"/>
    </row>
    <row r="15" spans="2:15" ht="13.8" x14ac:dyDescent="0.3">
      <c r="B15" s="8"/>
      <c r="C15" s="2"/>
      <c r="D15" s="73">
        <v>2</v>
      </c>
      <c r="E15" s="77" t="s">
        <v>636</v>
      </c>
      <c r="F15" s="454"/>
      <c r="G15" s="454"/>
      <c r="H15" s="454"/>
      <c r="I15" s="454"/>
      <c r="J15" s="454"/>
      <c r="K15" s="78"/>
      <c r="L15" s="77" t="s">
        <v>635</v>
      </c>
      <c r="M15" s="78"/>
      <c r="N15" s="2"/>
      <c r="O15" s="18"/>
    </row>
    <row r="16" spans="2:15" ht="13.8" x14ac:dyDescent="0.3">
      <c r="B16" s="8"/>
      <c r="C16" s="2"/>
      <c r="D16" s="73">
        <v>3</v>
      </c>
      <c r="E16" s="77" t="s">
        <v>637</v>
      </c>
      <c r="F16" s="454"/>
      <c r="G16" s="454"/>
      <c r="H16" s="454"/>
      <c r="I16" s="454"/>
      <c r="J16" s="454"/>
      <c r="K16" s="78"/>
      <c r="L16" s="77" t="s">
        <v>635</v>
      </c>
      <c r="M16" s="78"/>
      <c r="N16" s="2"/>
      <c r="O16" s="18"/>
    </row>
    <row r="17" spans="2:15" ht="13.8" x14ac:dyDescent="0.3">
      <c r="B17" s="8"/>
      <c r="C17" s="2"/>
      <c r="D17" s="73">
        <v>4</v>
      </c>
      <c r="E17" s="77" t="s">
        <v>638</v>
      </c>
      <c r="F17" s="454"/>
      <c r="G17" s="454"/>
      <c r="H17" s="454"/>
      <c r="I17" s="454"/>
      <c r="J17" s="454"/>
      <c r="K17" s="78"/>
      <c r="L17" s="77" t="s">
        <v>639</v>
      </c>
      <c r="M17" s="78"/>
      <c r="N17" s="2"/>
      <c r="O17" s="18"/>
    </row>
    <row r="18" spans="2:15" ht="13.8" x14ac:dyDescent="0.3">
      <c r="B18" s="8"/>
      <c r="C18" s="2"/>
      <c r="D18" s="73">
        <v>5</v>
      </c>
      <c r="E18" s="77" t="s">
        <v>640</v>
      </c>
      <c r="F18" s="454"/>
      <c r="G18" s="454"/>
      <c r="H18" s="454"/>
      <c r="I18" s="454"/>
      <c r="J18" s="454"/>
      <c r="K18" s="78"/>
      <c r="L18" s="77" t="s">
        <v>641</v>
      </c>
      <c r="M18" s="78"/>
      <c r="N18" s="2"/>
      <c r="O18" s="18"/>
    </row>
    <row r="19" spans="2:15" ht="13.8" x14ac:dyDescent="0.3">
      <c r="B19" s="8"/>
      <c r="C19" s="2"/>
      <c r="D19" s="73">
        <v>6</v>
      </c>
      <c r="E19" s="77" t="s">
        <v>642</v>
      </c>
      <c r="F19" s="454"/>
      <c r="G19" s="454"/>
      <c r="H19" s="454"/>
      <c r="I19" s="454"/>
      <c r="J19" s="454"/>
      <c r="K19" s="78"/>
      <c r="L19" s="77" t="s">
        <v>639</v>
      </c>
      <c r="M19" s="78"/>
      <c r="N19" s="2"/>
      <c r="O19" s="18"/>
    </row>
    <row r="20" spans="2:15" ht="13.8" x14ac:dyDescent="0.3">
      <c r="B20" s="8"/>
      <c r="C20" s="2"/>
      <c r="D20" s="73">
        <v>7</v>
      </c>
      <c r="E20" s="77" t="s">
        <v>643</v>
      </c>
      <c r="F20" s="454"/>
      <c r="G20" s="454"/>
      <c r="H20" s="454"/>
      <c r="I20" s="454"/>
      <c r="J20" s="454"/>
      <c r="K20" s="78"/>
      <c r="L20" s="77" t="s">
        <v>644</v>
      </c>
      <c r="M20" s="78"/>
      <c r="N20" s="2"/>
      <c r="O20" s="18"/>
    </row>
    <row r="21" spans="2:15" ht="14.4" thickBot="1" x14ac:dyDescent="0.35">
      <c r="B21" s="8"/>
      <c r="C21" s="2"/>
      <c r="D21" s="74">
        <v>8</v>
      </c>
      <c r="E21" s="79" t="s">
        <v>645</v>
      </c>
      <c r="F21" s="80"/>
      <c r="G21" s="80"/>
      <c r="H21" s="80"/>
      <c r="I21" s="80"/>
      <c r="J21" s="80"/>
      <c r="K21" s="81"/>
      <c r="L21" s="79" t="s">
        <v>644</v>
      </c>
      <c r="M21" s="81"/>
      <c r="N21" s="2"/>
      <c r="O21" s="18"/>
    </row>
    <row r="22" spans="2:15" x14ac:dyDescent="0.25">
      <c r="B22" s="8"/>
      <c r="O22" s="18"/>
    </row>
    <row r="23" spans="2:15" x14ac:dyDescent="0.25">
      <c r="B23" s="300"/>
      <c r="C23" s="301"/>
      <c r="D23" s="301"/>
      <c r="E23" s="301"/>
      <c r="F23" s="301"/>
      <c r="G23" s="301"/>
      <c r="H23" s="301"/>
      <c r="I23" s="301"/>
      <c r="J23" s="301"/>
      <c r="K23" s="301"/>
      <c r="L23" s="301"/>
      <c r="M23" s="301"/>
      <c r="N23" s="301"/>
      <c r="O23" s="302"/>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dimension ref="A1:W27"/>
  <sheetViews>
    <sheetView showGridLines="0" zoomScale="75" zoomScaleNormal="75" workbookViewId="0">
      <pane xSplit="5" ySplit="2" topLeftCell="F3" activePane="bottomRight" state="frozen"/>
      <selection activeCell="P31" sqref="P31"/>
      <selection pane="topRight" activeCell="P31" sqref="P31"/>
      <selection pane="bottomLeft" activeCell="P31" sqref="P31"/>
      <selection pane="bottomRight" activeCell="P31" sqref="P31"/>
    </sheetView>
  </sheetViews>
  <sheetFormatPr defaultColWidth="9.109375" defaultRowHeight="13.8" x14ac:dyDescent="0.3"/>
  <cols>
    <col min="1" max="1" width="1" style="2" customWidth="1"/>
    <col min="2" max="2" width="36" style="2" customWidth="1"/>
    <col min="3" max="3" width="20.21875" style="2" bestFit="1" customWidth="1"/>
    <col min="4" max="4" width="26.44140625" style="2" bestFit="1" customWidth="1"/>
    <col min="5" max="5" width="28.109375" style="2" bestFit="1" customWidth="1"/>
    <col min="6" max="6" width="11.44140625" style="2" customWidth="1"/>
    <col min="7" max="7" width="12" style="2" bestFit="1" customWidth="1"/>
    <col min="8" max="11" width="13.77734375" style="2" customWidth="1"/>
    <col min="12" max="13" width="10.44140625" style="2" bestFit="1" customWidth="1"/>
    <col min="14" max="14" width="18" style="2" bestFit="1" customWidth="1"/>
    <col min="15" max="15" width="18" style="2" customWidth="1"/>
    <col min="16" max="16" width="15.77734375" style="2" bestFit="1" customWidth="1"/>
    <col min="17" max="18" width="15.77734375" style="2" customWidth="1"/>
    <col min="19" max="19" width="15.77734375" style="2" bestFit="1" customWidth="1"/>
    <col min="20" max="20" width="1.21875" style="2" customWidth="1"/>
    <col min="21" max="16384" width="9.109375" style="2"/>
  </cols>
  <sheetData>
    <row r="1" spans="1:23" ht="5.0999999999999996" customHeight="1" thickBot="1" x14ac:dyDescent="0.35"/>
    <row r="2" spans="1:23" ht="38.25" customHeight="1" thickBot="1" x14ac:dyDescent="0.35">
      <c r="B2" s="561" t="s">
        <v>15</v>
      </c>
      <c r="C2" s="561"/>
      <c r="D2" s="561"/>
      <c r="E2" s="561"/>
      <c r="F2" s="561"/>
      <c r="G2" s="561"/>
      <c r="H2" s="561"/>
      <c r="I2" s="561"/>
      <c r="J2" s="561"/>
      <c r="K2" s="561"/>
      <c r="L2" s="561"/>
      <c r="M2" s="561"/>
      <c r="N2" s="561"/>
      <c r="O2" s="561"/>
      <c r="P2" s="561"/>
      <c r="Q2" s="561"/>
      <c r="R2" s="561"/>
      <c r="S2" s="561"/>
    </row>
    <row r="3" spans="1:23" ht="4.6500000000000004" customHeight="1" x14ac:dyDescent="0.3"/>
    <row r="4" spans="1:23" ht="22.8" x14ac:dyDescent="0.4">
      <c r="B4" s="684" t="str">
        <f>Titles!F2&amp;" Portfolio Data"</f>
        <v>2025 Portfolio Data</v>
      </c>
      <c r="C4" s="684"/>
      <c r="D4" s="684"/>
      <c r="E4" s="684"/>
      <c r="F4" s="684"/>
      <c r="G4" s="684"/>
      <c r="H4" s="684"/>
      <c r="I4" s="684"/>
      <c r="J4" s="684"/>
      <c r="K4" s="684"/>
      <c r="L4" s="684"/>
      <c r="M4" s="684"/>
      <c r="N4" s="684"/>
      <c r="O4" s="684"/>
      <c r="P4" s="684"/>
      <c r="Q4" s="684"/>
      <c r="R4" s="684"/>
      <c r="S4" s="684"/>
    </row>
    <row r="5" spans="1:23" ht="4.6500000000000004" customHeight="1" x14ac:dyDescent="0.3"/>
    <row r="6" spans="1:23" ht="15.75" customHeight="1" x14ac:dyDescent="0.3">
      <c r="F6" s="703" t="s">
        <v>646</v>
      </c>
      <c r="G6" s="703"/>
      <c r="H6" s="703" t="str">
        <f>"Energy Savings ("&amp;Titles!F13&amp;")"</f>
        <v>Energy Savings (kWh)</v>
      </c>
      <c r="I6" s="703"/>
      <c r="J6" s="703" t="str">
        <f>"Demand Savings ("&amp;Titles!F15&amp;")"</f>
        <v>Demand Savings (kW)</v>
      </c>
      <c r="K6" s="703"/>
      <c r="L6" s="703" t="s">
        <v>168</v>
      </c>
      <c r="M6" s="703"/>
      <c r="N6" s="703" t="s">
        <v>220</v>
      </c>
      <c r="O6" s="703"/>
      <c r="P6" s="703"/>
      <c r="Q6" s="703"/>
      <c r="R6" s="703"/>
      <c r="S6" s="703"/>
      <c r="W6" s="236"/>
    </row>
    <row r="7" spans="1:23" ht="24.75" customHeight="1" x14ac:dyDescent="0.3">
      <c r="A7" s="448"/>
      <c r="B7" s="480" t="s">
        <v>82</v>
      </c>
      <c r="C7" s="480" t="s">
        <v>83</v>
      </c>
      <c r="D7" s="480" t="s">
        <v>84</v>
      </c>
      <c r="E7" s="480" t="s">
        <v>85</v>
      </c>
      <c r="F7" s="480" t="s">
        <v>517</v>
      </c>
      <c r="G7" s="480" t="s">
        <v>518</v>
      </c>
      <c r="H7" s="480" t="s">
        <v>519</v>
      </c>
      <c r="I7" s="480" t="s">
        <v>520</v>
      </c>
      <c r="J7" s="480" t="s">
        <v>519</v>
      </c>
      <c r="K7" s="480" t="s">
        <v>520</v>
      </c>
      <c r="L7" s="480" t="s">
        <v>519</v>
      </c>
      <c r="M7" s="480" t="s">
        <v>518</v>
      </c>
      <c r="N7" s="480" t="str">
        <f>"Lifetime Savings ("&amp;Titles!F14&amp;")"</f>
        <v>Lifetime Savings (MWh)</v>
      </c>
      <c r="O7" s="480" t="s">
        <v>647</v>
      </c>
      <c r="P7" s="480" t="s">
        <v>218</v>
      </c>
      <c r="Q7" s="480" t="s">
        <v>331</v>
      </c>
      <c r="R7" s="480" t="s">
        <v>223</v>
      </c>
      <c r="S7" s="480" t="s">
        <v>648</v>
      </c>
      <c r="T7" s="448"/>
      <c r="U7" s="238"/>
      <c r="V7" s="238"/>
      <c r="W7" s="238"/>
    </row>
    <row r="8" spans="1:23" x14ac:dyDescent="0.3">
      <c r="B8" s="532" t="str">
        <f>Data!B4</f>
        <v>Residential Products</v>
      </c>
      <c r="C8" s="532" t="str">
        <f>Data!C4</f>
        <v>Residential</v>
      </c>
      <c r="D8" s="532" t="str">
        <f>Data!D4</f>
        <v>Consumer Product Rebate</v>
      </c>
      <c r="E8" s="532" t="str">
        <f>Data!E4</f>
        <v>Trade Ally</v>
      </c>
      <c r="F8" s="526">
        <f>Data!K4</f>
        <v>34885</v>
      </c>
      <c r="G8" s="526">
        <f>Data!K29</f>
        <v>690</v>
      </c>
      <c r="H8" s="521">
        <f>Data!M4</f>
        <v>16803</v>
      </c>
      <c r="I8" s="521">
        <f>Data!M29</f>
        <v>13464</v>
      </c>
      <c r="J8" s="521">
        <f>Data!L4</f>
        <v>0</v>
      </c>
      <c r="K8" s="521">
        <f>Data!L29</f>
        <v>0</v>
      </c>
      <c r="L8" s="521">
        <f>Data!N4</f>
        <v>12</v>
      </c>
      <c r="M8" s="521">
        <f>Data!N29</f>
        <v>10</v>
      </c>
      <c r="N8" s="521">
        <f>Data!O29</f>
        <v>135</v>
      </c>
      <c r="O8" s="526">
        <f>Data!P29</f>
        <v>0.75</v>
      </c>
      <c r="P8" s="526">
        <f>Data!Q29</f>
        <v>1.4</v>
      </c>
      <c r="Q8" s="526">
        <f>Data!R29</f>
        <v>0.64999999999999991</v>
      </c>
      <c r="R8" s="533">
        <f>Data!S29</f>
        <v>1.8666666666666665</v>
      </c>
      <c r="S8" s="534">
        <f>Data!T29</f>
        <v>7.6254234911556588E-3</v>
      </c>
      <c r="T8" s="448"/>
      <c r="U8" s="239"/>
      <c r="V8" s="237"/>
    </row>
    <row r="9" spans="1:23" x14ac:dyDescent="0.3">
      <c r="B9" s="532" t="str">
        <f>Data!B5</f>
        <v>School-Based Energy Education</v>
      </c>
      <c r="C9" s="532" t="str">
        <f>Data!C5</f>
        <v>Residential</v>
      </c>
      <c r="D9" s="532" t="str">
        <f>Data!D5</f>
        <v>Consumer Product Rebate</v>
      </c>
      <c r="E9" s="532" t="str">
        <f>Data!E5</f>
        <v>Self-Install</v>
      </c>
      <c r="F9" s="526">
        <f>Data!K5</f>
        <v>16250</v>
      </c>
      <c r="G9" s="526">
        <f>Data!K30</f>
        <v>29581.94</v>
      </c>
      <c r="H9" s="521">
        <f>Data!M5</f>
        <v>47256</v>
      </c>
      <c r="I9" s="521">
        <f>Data!M30</f>
        <v>47256</v>
      </c>
      <c r="J9" s="521">
        <f>Data!L5</f>
        <v>5.1100000000000003</v>
      </c>
      <c r="K9" s="521">
        <f>Data!L30</f>
        <v>5.1100000000000003</v>
      </c>
      <c r="L9" s="521">
        <f>Data!N5</f>
        <v>793</v>
      </c>
      <c r="M9" s="521">
        <f>Data!N30</f>
        <v>793</v>
      </c>
      <c r="N9" s="521">
        <f>Data!O30</f>
        <v>473</v>
      </c>
      <c r="O9" s="526">
        <f>Data!P30</f>
        <v>2.2999999999999998</v>
      </c>
      <c r="P9" s="526">
        <f>Data!Q30</f>
        <v>92.7</v>
      </c>
      <c r="Q9" s="526">
        <f>Data!R30</f>
        <v>90.4</v>
      </c>
      <c r="R9" s="533">
        <f>Data!S30</f>
        <v>40.304347826086961</v>
      </c>
      <c r="S9" s="534">
        <f>Data!T30</f>
        <v>6.671112407893507E-3</v>
      </c>
      <c r="T9" s="448"/>
      <c r="U9" s="239"/>
      <c r="V9" s="237"/>
    </row>
    <row r="10" spans="1:23" x14ac:dyDescent="0.3">
      <c r="B10" s="532" t="str">
        <f>Data!B6</f>
        <v>Weatherization</v>
      </c>
      <c r="C10" s="532" t="str">
        <f>Data!C6</f>
        <v>Residential</v>
      </c>
      <c r="D10" s="532" t="str">
        <f>Data!D6</f>
        <v>Whole Home</v>
      </c>
      <c r="E10" s="532" t="str">
        <f>Data!E6</f>
        <v>Trade Ally</v>
      </c>
      <c r="F10" s="526">
        <f>Data!K6</f>
        <v>24454</v>
      </c>
      <c r="G10" s="526">
        <f>Data!K31</f>
        <v>0</v>
      </c>
      <c r="H10" s="521">
        <f>Data!M6</f>
        <v>0</v>
      </c>
      <c r="I10" s="521">
        <f>Data!M31</f>
        <v>0</v>
      </c>
      <c r="J10" s="521">
        <f>Data!L6</f>
        <v>0</v>
      </c>
      <c r="K10" s="521">
        <f>Data!L31</f>
        <v>0</v>
      </c>
      <c r="L10" s="521">
        <f>Data!N6</f>
        <v>0</v>
      </c>
      <c r="M10" s="521">
        <f>Data!N31</f>
        <v>6</v>
      </c>
      <c r="N10" s="521">
        <f>Data!O31</f>
        <v>0</v>
      </c>
      <c r="O10" s="526">
        <f>Data!P31</f>
        <v>0</v>
      </c>
      <c r="P10" s="526">
        <f>Data!Q31</f>
        <v>0</v>
      </c>
      <c r="Q10" s="526">
        <f>Data!R31</f>
        <v>0</v>
      </c>
      <c r="R10" s="533" t="str">
        <f>Data!S31</f>
        <v>n/a</v>
      </c>
      <c r="S10" s="534" t="str">
        <f>Data!T31</f>
        <v>n/a</v>
      </c>
      <c r="T10" s="448"/>
      <c r="U10" s="239"/>
      <c r="V10" s="237"/>
    </row>
    <row r="11" spans="1:23" x14ac:dyDescent="0.3">
      <c r="B11" s="532" t="str">
        <f>Data!B7</f>
        <v>Commercial and Industrial (Custom)</v>
      </c>
      <c r="C11" s="532" t="str">
        <f>Data!C7</f>
        <v>Commercial &amp; Industrial</v>
      </c>
      <c r="D11" s="532" t="str">
        <f>Data!D7</f>
        <v>Custom</v>
      </c>
      <c r="E11" s="532" t="str">
        <f>Data!E7</f>
        <v>Trade Ally</v>
      </c>
      <c r="F11" s="526">
        <f>Data!K7</f>
        <v>5812</v>
      </c>
      <c r="G11" s="526">
        <f>Data!K32</f>
        <v>0</v>
      </c>
      <c r="H11" s="521">
        <f>Data!M7</f>
        <v>0</v>
      </c>
      <c r="I11" s="521">
        <f>Data!M32</f>
        <v>0</v>
      </c>
      <c r="J11" s="521">
        <f>Data!L7</f>
        <v>0</v>
      </c>
      <c r="K11" s="521">
        <f>Data!L32</f>
        <v>0</v>
      </c>
      <c r="L11" s="521">
        <f>Data!N7</f>
        <v>0</v>
      </c>
      <c r="M11" s="521">
        <f>Data!N32</f>
        <v>0</v>
      </c>
      <c r="N11" s="521">
        <f>Data!O32</f>
        <v>0</v>
      </c>
      <c r="O11" s="526">
        <f>Data!P32</f>
        <v>0</v>
      </c>
      <c r="P11" s="526">
        <f>Data!Q32</f>
        <v>0</v>
      </c>
      <c r="Q11" s="526">
        <f>Data!R32</f>
        <v>0</v>
      </c>
      <c r="R11" s="533" t="str">
        <f>Data!S32</f>
        <v>n/a</v>
      </c>
      <c r="S11" s="534" t="str">
        <f>Data!T32</f>
        <v>n/a</v>
      </c>
      <c r="T11" s="448"/>
      <c r="U11" s="239"/>
      <c r="V11" s="237"/>
    </row>
    <row r="12" spans="1:23" x14ac:dyDescent="0.3">
      <c r="B12" s="532" t="str">
        <f>Data!B8</f>
        <v>Commercial and Industrial (Prescriptive)</v>
      </c>
      <c r="C12" s="532" t="str">
        <f>Data!C8</f>
        <v>Commercial &amp; Industrial</v>
      </c>
      <c r="D12" s="532" t="str">
        <f>Data!D8</f>
        <v>Prescriptive/Standard Offer</v>
      </c>
      <c r="E12" s="532" t="str">
        <f>Data!E8</f>
        <v>Trade Ally</v>
      </c>
      <c r="F12" s="526">
        <f>Data!K8</f>
        <v>5000</v>
      </c>
      <c r="G12" s="526">
        <f>Data!K33</f>
        <v>0</v>
      </c>
      <c r="H12" s="521">
        <f>Data!M8</f>
        <v>0</v>
      </c>
      <c r="I12" s="521">
        <f>Data!M33</f>
        <v>0</v>
      </c>
      <c r="J12" s="521">
        <f>Data!L8</f>
        <v>0</v>
      </c>
      <c r="K12" s="521">
        <f>Data!L33</f>
        <v>0</v>
      </c>
      <c r="L12" s="521">
        <f>Data!N8</f>
        <v>0</v>
      </c>
      <c r="M12" s="521">
        <f>Data!N33</f>
        <v>0</v>
      </c>
      <c r="N12" s="521">
        <f>Data!O33</f>
        <v>0</v>
      </c>
      <c r="O12" s="526">
        <f>Data!P33</f>
        <v>0</v>
      </c>
      <c r="P12" s="526">
        <f>Data!Q33</f>
        <v>0</v>
      </c>
      <c r="Q12" s="526">
        <f>Data!R33</f>
        <v>0</v>
      </c>
      <c r="R12" s="533" t="str">
        <f>Data!S33</f>
        <v>n/a</v>
      </c>
      <c r="S12" s="534" t="str">
        <f>Data!T33</f>
        <v>n/a</v>
      </c>
      <c r="T12" s="448"/>
      <c r="U12" s="239"/>
      <c r="V12" s="237"/>
    </row>
    <row r="13" spans="1:23" x14ac:dyDescent="0.3">
      <c r="B13" s="532" t="str">
        <f>Data!B9</f>
        <v>Online Energy Calculator</v>
      </c>
      <c r="C13" s="532" t="str">
        <f>Data!C9</f>
        <v>All Classes</v>
      </c>
      <c r="D13" s="532" t="str">
        <f>Data!D9</f>
        <v>Behavior/Education</v>
      </c>
      <c r="E13" s="532" t="str">
        <f>Data!E9</f>
        <v>Trade Ally</v>
      </c>
      <c r="F13" s="526">
        <f>Data!K9</f>
        <v>4000</v>
      </c>
      <c r="G13" s="526">
        <f>Data!K34</f>
        <v>0</v>
      </c>
      <c r="H13" s="521">
        <f>Data!M9</f>
        <v>0</v>
      </c>
      <c r="I13" s="521">
        <f>Data!M34</f>
        <v>0</v>
      </c>
      <c r="J13" s="521">
        <f>Data!L9</f>
        <v>0</v>
      </c>
      <c r="K13" s="521">
        <f>Data!L34</f>
        <v>0</v>
      </c>
      <c r="L13" s="521">
        <f>Data!N9</f>
        <v>0</v>
      </c>
      <c r="M13" s="521">
        <f>Data!N34</f>
        <v>0</v>
      </c>
      <c r="N13" s="521">
        <f>Data!O34</f>
        <v>0</v>
      </c>
      <c r="O13" s="526">
        <f>Data!P34</f>
        <v>0</v>
      </c>
      <c r="P13" s="526">
        <f>Data!Q34</f>
        <v>0</v>
      </c>
      <c r="Q13" s="526">
        <f>Data!R34</f>
        <v>0</v>
      </c>
      <c r="R13" s="533" t="str">
        <f>Data!S34</f>
        <v>n/a</v>
      </c>
      <c r="S13" s="534" t="str">
        <f>Data!T34</f>
        <v>n/a</v>
      </c>
      <c r="T13" s="448"/>
      <c r="U13" s="239"/>
      <c r="V13" s="237"/>
    </row>
    <row r="14" spans="1:23" x14ac:dyDescent="0.3">
      <c r="B14" s="532" t="str">
        <f>Data!B10</f>
        <v>Administration</v>
      </c>
      <c r="C14" s="532" t="str">
        <f>Data!C10</f>
        <v>All Classes</v>
      </c>
      <c r="D14" s="532" t="str">
        <f>Data!D10</f>
        <v>Other</v>
      </c>
      <c r="E14" s="532" t="str">
        <f>Data!E10</f>
        <v>Utility Outreach (email/direct mail)</v>
      </c>
      <c r="F14" s="526">
        <f>Data!K10</f>
        <v>10000</v>
      </c>
      <c r="G14" s="526">
        <f>Data!K35</f>
        <v>1000</v>
      </c>
      <c r="H14" s="521">
        <f>Data!M10</f>
        <v>0</v>
      </c>
      <c r="I14" s="521">
        <f>Data!M35</f>
        <v>0</v>
      </c>
      <c r="J14" s="521">
        <f>Data!L10</f>
        <v>0</v>
      </c>
      <c r="K14" s="521">
        <f>Data!L35</f>
        <v>0</v>
      </c>
      <c r="L14" s="521">
        <f>Data!N10</f>
        <v>0</v>
      </c>
      <c r="M14" s="521">
        <f>Data!N35</f>
        <v>0</v>
      </c>
      <c r="N14" s="521">
        <f>Data!O35</f>
        <v>0</v>
      </c>
      <c r="O14" s="526">
        <f>Data!P35</f>
        <v>0</v>
      </c>
      <c r="P14" s="526">
        <f>Data!Q35</f>
        <v>0</v>
      </c>
      <c r="Q14" s="526">
        <f>Data!R35</f>
        <v>0</v>
      </c>
      <c r="R14" s="533" t="str">
        <f>Data!S35</f>
        <v>n/a</v>
      </c>
      <c r="S14" s="534" t="str">
        <f>Data!T35</f>
        <v>n/a</v>
      </c>
      <c r="T14" s="448"/>
      <c r="U14" s="239"/>
      <c r="V14" s="237"/>
    </row>
    <row r="15" spans="1:23" x14ac:dyDescent="0.3">
      <c r="B15" s="532" t="str">
        <f>Data!B11</f>
        <v>Marketing</v>
      </c>
      <c r="C15" s="532" t="str">
        <f>Data!C11</f>
        <v>All Classes</v>
      </c>
      <c r="D15" s="532" t="str">
        <f>Data!D11</f>
        <v>Other</v>
      </c>
      <c r="E15" s="532" t="str">
        <f>Data!E11</f>
        <v>Utility Outreach (email/direct mail)</v>
      </c>
      <c r="F15" s="526">
        <f>Data!K11</f>
        <v>1200</v>
      </c>
      <c r="G15" s="526">
        <f>Data!K36</f>
        <v>0</v>
      </c>
      <c r="H15" s="521">
        <f>Data!M11</f>
        <v>0</v>
      </c>
      <c r="I15" s="521">
        <f>Data!M36</f>
        <v>0</v>
      </c>
      <c r="J15" s="521">
        <f>Data!L11</f>
        <v>0</v>
      </c>
      <c r="K15" s="521">
        <f>Data!L36</f>
        <v>0</v>
      </c>
      <c r="L15" s="521">
        <f>Data!N11</f>
        <v>0</v>
      </c>
      <c r="M15" s="521">
        <f>Data!N36</f>
        <v>0</v>
      </c>
      <c r="N15" s="521">
        <f>Data!O36</f>
        <v>0</v>
      </c>
      <c r="O15" s="526">
        <f>Data!P36</f>
        <v>0</v>
      </c>
      <c r="P15" s="526">
        <f>Data!Q36</f>
        <v>0</v>
      </c>
      <c r="Q15" s="526">
        <f>Data!R36</f>
        <v>0</v>
      </c>
      <c r="R15" s="533" t="str">
        <f>Data!S36</f>
        <v>n/a</v>
      </c>
      <c r="S15" s="534" t="str">
        <f>Data!T36</f>
        <v>n/a</v>
      </c>
      <c r="T15" s="448"/>
      <c r="U15" s="239"/>
      <c r="V15" s="237"/>
    </row>
    <row r="16" spans="1:23" x14ac:dyDescent="0.3">
      <c r="B16" s="532" t="str">
        <f>Data!B12</f>
        <v>EM&amp;V</v>
      </c>
      <c r="C16" s="532" t="str">
        <f>Data!C12</f>
        <v>All Classes</v>
      </c>
      <c r="D16" s="532" t="str">
        <f>Data!D12</f>
        <v>Other</v>
      </c>
      <c r="E16" s="532" t="str">
        <f>Data!E12</f>
        <v>Statewide Administrator</v>
      </c>
      <c r="F16" s="526">
        <f>Data!K12</f>
        <v>2500</v>
      </c>
      <c r="G16" s="526">
        <f>Data!K37</f>
        <v>2687.5</v>
      </c>
      <c r="H16" s="521">
        <f>Data!M12</f>
        <v>0</v>
      </c>
      <c r="I16" s="521">
        <f>Data!M37</f>
        <v>0</v>
      </c>
      <c r="J16" s="521">
        <f>Data!L12</f>
        <v>0</v>
      </c>
      <c r="K16" s="521">
        <f>Data!L37</f>
        <v>0</v>
      </c>
      <c r="L16" s="521">
        <f>Data!N12</f>
        <v>0</v>
      </c>
      <c r="M16" s="521">
        <f>Data!N37</f>
        <v>0</v>
      </c>
      <c r="N16" s="521">
        <f>Data!O37</f>
        <v>0</v>
      </c>
      <c r="O16" s="526">
        <f>Data!P37</f>
        <v>2.6875</v>
      </c>
      <c r="P16" s="526">
        <f>Data!Q37</f>
        <v>0</v>
      </c>
      <c r="Q16" s="526">
        <f>Data!R37</f>
        <v>-2.6875</v>
      </c>
      <c r="R16" s="533">
        <f>Data!S37</f>
        <v>0</v>
      </c>
      <c r="S16" s="534" t="str">
        <f>Data!T37</f>
        <v>n/a</v>
      </c>
      <c r="T16" s="448"/>
      <c r="U16" s="239"/>
      <c r="V16" s="237"/>
    </row>
    <row r="17" spans="2:22" x14ac:dyDescent="0.3">
      <c r="B17" s="532" t="str">
        <f>Data!B13</f>
        <v>Empty</v>
      </c>
      <c r="C17" s="532" t="str">
        <f>Data!C13</f>
        <v/>
      </c>
      <c r="D17" s="532" t="str">
        <f>Data!D13</f>
        <v/>
      </c>
      <c r="E17" s="532" t="str">
        <f>Data!E13</f>
        <v/>
      </c>
      <c r="F17" s="526">
        <f>Data!K13</f>
        <v>0</v>
      </c>
      <c r="G17" s="526">
        <f>Data!K38</f>
        <v>0</v>
      </c>
      <c r="H17" s="521">
        <f>Data!M13</f>
        <v>0</v>
      </c>
      <c r="I17" s="521">
        <f>Data!M38</f>
        <v>0</v>
      </c>
      <c r="J17" s="521">
        <f>Data!L13</f>
        <v>0</v>
      </c>
      <c r="K17" s="521">
        <f>Data!L38</f>
        <v>0</v>
      </c>
      <c r="L17" s="521">
        <f>Data!N13</f>
        <v>0</v>
      </c>
      <c r="M17" s="521">
        <f>Data!N38</f>
        <v>0</v>
      </c>
      <c r="N17" s="521">
        <f>Data!O38</f>
        <v>0</v>
      </c>
      <c r="O17" s="526">
        <f>Data!P38</f>
        <v>0</v>
      </c>
      <c r="P17" s="526">
        <f>Data!Q38</f>
        <v>0</v>
      </c>
      <c r="Q17" s="526">
        <f>Data!R38</f>
        <v>0</v>
      </c>
      <c r="R17" s="533" t="str">
        <f>Data!S38</f>
        <v>n/a</v>
      </c>
      <c r="S17" s="534" t="str">
        <f>Data!T38</f>
        <v>n/a</v>
      </c>
      <c r="U17" s="239"/>
      <c r="V17" s="237"/>
    </row>
    <row r="18" spans="2:22" x14ac:dyDescent="0.3">
      <c r="B18" s="532" t="str">
        <f>Data!B14</f>
        <v>Empty</v>
      </c>
      <c r="C18" s="532" t="str">
        <f>Data!C14</f>
        <v/>
      </c>
      <c r="D18" s="532" t="str">
        <f>Data!D14</f>
        <v/>
      </c>
      <c r="E18" s="532" t="str">
        <f>Data!E14</f>
        <v/>
      </c>
      <c r="F18" s="526">
        <f>Data!K14</f>
        <v>0</v>
      </c>
      <c r="G18" s="526">
        <f>Data!K39</f>
        <v>0</v>
      </c>
      <c r="H18" s="521">
        <f>Data!M14</f>
        <v>0</v>
      </c>
      <c r="I18" s="521">
        <f>Data!M39</f>
        <v>0</v>
      </c>
      <c r="J18" s="521">
        <f>Data!L14</f>
        <v>0</v>
      </c>
      <c r="K18" s="521">
        <f>Data!L39</f>
        <v>0</v>
      </c>
      <c r="L18" s="521">
        <f>Data!N14</f>
        <v>0</v>
      </c>
      <c r="M18" s="521">
        <f>Data!N39</f>
        <v>0</v>
      </c>
      <c r="N18" s="521">
        <f>Data!O39</f>
        <v>0</v>
      </c>
      <c r="O18" s="526">
        <f>Data!P39</f>
        <v>0</v>
      </c>
      <c r="P18" s="526">
        <f>Data!Q39</f>
        <v>0</v>
      </c>
      <c r="Q18" s="526">
        <f>Data!R39</f>
        <v>0</v>
      </c>
      <c r="R18" s="533" t="str">
        <f>Data!S39</f>
        <v>n/a</v>
      </c>
      <c r="S18" s="534" t="str">
        <f>Data!T39</f>
        <v>n/a</v>
      </c>
      <c r="U18" s="239"/>
      <c r="V18" s="237"/>
    </row>
    <row r="19" spans="2:22" x14ac:dyDescent="0.3">
      <c r="B19" s="532" t="str">
        <f>Data!B15</f>
        <v>Empty</v>
      </c>
      <c r="C19" s="532" t="str">
        <f>Data!C15</f>
        <v/>
      </c>
      <c r="D19" s="532" t="str">
        <f>Data!D15</f>
        <v/>
      </c>
      <c r="E19" s="532" t="str">
        <f>Data!E15</f>
        <v/>
      </c>
      <c r="F19" s="526">
        <f>Data!K15</f>
        <v>0</v>
      </c>
      <c r="G19" s="526">
        <f>Data!K40</f>
        <v>0</v>
      </c>
      <c r="H19" s="521">
        <f>Data!M15</f>
        <v>0</v>
      </c>
      <c r="I19" s="521">
        <f>Data!M40</f>
        <v>0</v>
      </c>
      <c r="J19" s="521">
        <f>Data!L15</f>
        <v>0</v>
      </c>
      <c r="K19" s="521">
        <f>Data!L40</f>
        <v>0</v>
      </c>
      <c r="L19" s="521">
        <f>Data!N15</f>
        <v>0</v>
      </c>
      <c r="M19" s="521">
        <f>Data!N40</f>
        <v>0</v>
      </c>
      <c r="N19" s="521">
        <f>Data!O40</f>
        <v>0</v>
      </c>
      <c r="O19" s="526">
        <f>Data!P40</f>
        <v>0</v>
      </c>
      <c r="P19" s="526">
        <f>Data!Q40</f>
        <v>0</v>
      </c>
      <c r="Q19" s="526">
        <f>Data!R40</f>
        <v>0</v>
      </c>
      <c r="R19" s="533" t="str">
        <f>Data!S40</f>
        <v>n/a</v>
      </c>
      <c r="S19" s="534" t="str">
        <f>Data!T40</f>
        <v>n/a</v>
      </c>
      <c r="U19" s="239"/>
      <c r="V19" s="237"/>
    </row>
    <row r="20" spans="2:22" x14ac:dyDescent="0.3">
      <c r="B20" s="532" t="str">
        <f>Data!B16</f>
        <v>Empty</v>
      </c>
      <c r="C20" s="532" t="str">
        <f>Data!C16</f>
        <v/>
      </c>
      <c r="D20" s="532" t="str">
        <f>Data!D16</f>
        <v/>
      </c>
      <c r="E20" s="532" t="str">
        <f>Data!E16</f>
        <v/>
      </c>
      <c r="F20" s="526">
        <f>Data!K16</f>
        <v>0</v>
      </c>
      <c r="G20" s="526">
        <f>Data!K41</f>
        <v>0</v>
      </c>
      <c r="H20" s="521">
        <f>Data!M16</f>
        <v>0</v>
      </c>
      <c r="I20" s="521">
        <f>Data!M41</f>
        <v>0</v>
      </c>
      <c r="J20" s="521">
        <f>Data!L16</f>
        <v>0</v>
      </c>
      <c r="K20" s="521">
        <f>Data!L41</f>
        <v>0</v>
      </c>
      <c r="L20" s="521">
        <f>Data!N16</f>
        <v>0</v>
      </c>
      <c r="M20" s="521">
        <f>Data!N41</f>
        <v>0</v>
      </c>
      <c r="N20" s="521">
        <f>Data!O41</f>
        <v>0</v>
      </c>
      <c r="O20" s="526">
        <f>Data!P41</f>
        <v>0</v>
      </c>
      <c r="P20" s="526">
        <f>Data!Q41</f>
        <v>0</v>
      </c>
      <c r="Q20" s="526">
        <f>Data!R41</f>
        <v>0</v>
      </c>
      <c r="R20" s="533" t="str">
        <f>Data!S41</f>
        <v>n/a</v>
      </c>
      <c r="S20" s="534" t="str">
        <f>Data!T41</f>
        <v>n/a</v>
      </c>
      <c r="U20" s="239"/>
      <c r="V20" s="237"/>
    </row>
    <row r="21" spans="2:22" x14ac:dyDescent="0.3">
      <c r="B21" s="532" t="str">
        <f>Data!B17</f>
        <v>Empty</v>
      </c>
      <c r="C21" s="532" t="str">
        <f>Data!C17</f>
        <v/>
      </c>
      <c r="D21" s="532" t="str">
        <f>Data!D17</f>
        <v/>
      </c>
      <c r="E21" s="532" t="str">
        <f>Data!E17</f>
        <v/>
      </c>
      <c r="F21" s="526">
        <f>Data!K17</f>
        <v>0</v>
      </c>
      <c r="G21" s="526">
        <f>Data!K42</f>
        <v>0</v>
      </c>
      <c r="H21" s="521">
        <f>Data!M17</f>
        <v>0</v>
      </c>
      <c r="I21" s="521">
        <f>Data!M42</f>
        <v>0</v>
      </c>
      <c r="J21" s="521">
        <f>Data!L17</f>
        <v>0</v>
      </c>
      <c r="K21" s="521">
        <f>Data!L42</f>
        <v>0</v>
      </c>
      <c r="L21" s="521">
        <f>Data!N17</f>
        <v>0</v>
      </c>
      <c r="M21" s="521">
        <f>Data!N42</f>
        <v>0</v>
      </c>
      <c r="N21" s="521">
        <f>Data!O42</f>
        <v>0</v>
      </c>
      <c r="O21" s="526">
        <f>Data!P42</f>
        <v>0</v>
      </c>
      <c r="P21" s="526">
        <f>Data!Q42</f>
        <v>0</v>
      </c>
      <c r="Q21" s="526">
        <f>Data!R42</f>
        <v>0</v>
      </c>
      <c r="R21" s="533" t="str">
        <f>Data!S42</f>
        <v>n/a</v>
      </c>
      <c r="S21" s="534" t="str">
        <f>Data!T42</f>
        <v>n/a</v>
      </c>
      <c r="U21" s="239"/>
      <c r="V21" s="237"/>
    </row>
    <row r="22" spans="2:22" x14ac:dyDescent="0.3">
      <c r="B22" s="532" t="str">
        <f>Data!B18</f>
        <v>Empty</v>
      </c>
      <c r="C22" s="532" t="str">
        <f>Data!C18</f>
        <v/>
      </c>
      <c r="D22" s="532" t="str">
        <f>Data!D18</f>
        <v/>
      </c>
      <c r="E22" s="532" t="str">
        <f>Data!E18</f>
        <v/>
      </c>
      <c r="F22" s="526">
        <f>Data!K18</f>
        <v>0</v>
      </c>
      <c r="G22" s="526">
        <f>Data!K43</f>
        <v>0</v>
      </c>
      <c r="H22" s="521">
        <f>Data!M18</f>
        <v>0</v>
      </c>
      <c r="I22" s="521">
        <f>Data!M43</f>
        <v>0</v>
      </c>
      <c r="J22" s="521">
        <f>Data!L18</f>
        <v>0</v>
      </c>
      <c r="K22" s="521">
        <f>Data!L43</f>
        <v>0</v>
      </c>
      <c r="L22" s="521">
        <f>Data!N18</f>
        <v>0</v>
      </c>
      <c r="M22" s="521">
        <f>Data!N43</f>
        <v>0</v>
      </c>
      <c r="N22" s="521">
        <f>Data!O43</f>
        <v>0</v>
      </c>
      <c r="O22" s="526">
        <f>Data!P43</f>
        <v>0</v>
      </c>
      <c r="P22" s="526">
        <f>Data!Q43</f>
        <v>0</v>
      </c>
      <c r="Q22" s="526">
        <f>Data!R43</f>
        <v>0</v>
      </c>
      <c r="R22" s="533" t="str">
        <f>Data!S43</f>
        <v>n/a</v>
      </c>
      <c r="S22" s="534" t="str">
        <f>Data!T43</f>
        <v>n/a</v>
      </c>
      <c r="U22" s="239"/>
      <c r="V22" s="237"/>
    </row>
    <row r="23" spans="2:22" x14ac:dyDescent="0.3">
      <c r="B23" s="532" t="str">
        <f>Data!B19</f>
        <v>Empty</v>
      </c>
      <c r="C23" s="532" t="str">
        <f>Data!C19</f>
        <v/>
      </c>
      <c r="D23" s="532" t="str">
        <f>Data!D19</f>
        <v/>
      </c>
      <c r="E23" s="532" t="str">
        <f>Data!E19</f>
        <v/>
      </c>
      <c r="F23" s="526">
        <f>Data!K19</f>
        <v>0</v>
      </c>
      <c r="G23" s="526">
        <f>Data!K44</f>
        <v>0</v>
      </c>
      <c r="H23" s="521">
        <f>Data!M19</f>
        <v>0</v>
      </c>
      <c r="I23" s="521">
        <f>Data!M44</f>
        <v>0</v>
      </c>
      <c r="J23" s="521">
        <f>Data!L19</f>
        <v>0</v>
      </c>
      <c r="K23" s="521">
        <f>Data!L44</f>
        <v>0</v>
      </c>
      <c r="L23" s="521">
        <f>Data!N19</f>
        <v>0</v>
      </c>
      <c r="M23" s="521">
        <f>Data!N44</f>
        <v>0</v>
      </c>
      <c r="N23" s="521">
        <f>Data!O44</f>
        <v>0</v>
      </c>
      <c r="O23" s="526">
        <f>Data!P44</f>
        <v>0</v>
      </c>
      <c r="P23" s="526">
        <f>Data!Q44</f>
        <v>0</v>
      </c>
      <c r="Q23" s="526">
        <f>Data!R44</f>
        <v>0</v>
      </c>
      <c r="R23" s="533" t="str">
        <f>Data!S44</f>
        <v>n/a</v>
      </c>
      <c r="S23" s="534" t="str">
        <f>Data!T44</f>
        <v>n/a</v>
      </c>
      <c r="U23" s="239"/>
      <c r="V23" s="237"/>
    </row>
    <row r="24" spans="2:22" x14ac:dyDescent="0.3">
      <c r="B24" s="532" t="str">
        <f>Data!B20</f>
        <v>Empty</v>
      </c>
      <c r="C24" s="532" t="str">
        <f>Data!C20</f>
        <v/>
      </c>
      <c r="D24" s="532" t="str">
        <f>Data!D20</f>
        <v/>
      </c>
      <c r="E24" s="532" t="str">
        <f>Data!E20</f>
        <v/>
      </c>
      <c r="F24" s="526">
        <f>Data!K20</f>
        <v>0</v>
      </c>
      <c r="G24" s="526">
        <f>Data!K45</f>
        <v>0</v>
      </c>
      <c r="H24" s="521">
        <f>Data!M20</f>
        <v>0</v>
      </c>
      <c r="I24" s="521">
        <f>Data!M45</f>
        <v>0</v>
      </c>
      <c r="J24" s="521">
        <f>Data!L20</f>
        <v>0</v>
      </c>
      <c r="K24" s="521">
        <f>Data!L45</f>
        <v>0</v>
      </c>
      <c r="L24" s="521">
        <f>Data!N20</f>
        <v>0</v>
      </c>
      <c r="M24" s="521">
        <f>Data!N45</f>
        <v>0</v>
      </c>
      <c r="N24" s="521">
        <f>Data!O45</f>
        <v>0</v>
      </c>
      <c r="O24" s="526">
        <f>Data!P45</f>
        <v>0</v>
      </c>
      <c r="P24" s="526">
        <f>Data!Q45</f>
        <v>0</v>
      </c>
      <c r="Q24" s="526">
        <f>Data!R45</f>
        <v>0</v>
      </c>
      <c r="R24" s="533" t="str">
        <f>Data!S45</f>
        <v>n/a</v>
      </c>
      <c r="S24" s="534" t="str">
        <f>Data!T45</f>
        <v>n/a</v>
      </c>
      <c r="U24" s="239"/>
      <c r="V24" s="237"/>
    </row>
    <row r="25" spans="2:22" x14ac:dyDescent="0.3">
      <c r="B25" s="532" t="str">
        <f>Data!B21</f>
        <v>Empty</v>
      </c>
      <c r="C25" s="532" t="str">
        <f>Data!C21</f>
        <v/>
      </c>
      <c r="D25" s="532" t="str">
        <f>Data!D21</f>
        <v/>
      </c>
      <c r="E25" s="532" t="str">
        <f>Data!E21</f>
        <v/>
      </c>
      <c r="F25" s="526">
        <f>Data!K21</f>
        <v>0</v>
      </c>
      <c r="G25" s="526">
        <f>Data!K46</f>
        <v>0</v>
      </c>
      <c r="H25" s="521">
        <f>Data!M21</f>
        <v>0</v>
      </c>
      <c r="I25" s="521">
        <f>Data!M46</f>
        <v>0</v>
      </c>
      <c r="J25" s="521">
        <f>Data!L21</f>
        <v>0</v>
      </c>
      <c r="K25" s="521">
        <f>Data!L46</f>
        <v>0</v>
      </c>
      <c r="L25" s="521">
        <f>Data!N21</f>
        <v>0</v>
      </c>
      <c r="M25" s="521">
        <f>Data!N46</f>
        <v>0</v>
      </c>
      <c r="N25" s="521">
        <f>Data!O46</f>
        <v>0</v>
      </c>
      <c r="O25" s="526">
        <f>Data!P46</f>
        <v>0</v>
      </c>
      <c r="P25" s="526">
        <f>Data!Q46</f>
        <v>0</v>
      </c>
      <c r="Q25" s="526">
        <f>Data!R46</f>
        <v>0</v>
      </c>
      <c r="R25" s="533" t="str">
        <f>Data!S46</f>
        <v>n/a</v>
      </c>
      <c r="S25" s="534" t="str">
        <f>Data!T46</f>
        <v>n/a</v>
      </c>
      <c r="U25" s="239"/>
      <c r="V25" s="237"/>
    </row>
    <row r="26" spans="2:22" x14ac:dyDescent="0.3">
      <c r="B26" s="532" t="str">
        <f>Data!B22</f>
        <v>Empty</v>
      </c>
      <c r="C26" s="532" t="str">
        <f>Data!C22</f>
        <v/>
      </c>
      <c r="D26" s="532" t="str">
        <f>Data!D22</f>
        <v/>
      </c>
      <c r="E26" s="532" t="str">
        <f>Data!E22</f>
        <v/>
      </c>
      <c r="F26" s="526">
        <f>Data!K22</f>
        <v>0</v>
      </c>
      <c r="G26" s="526">
        <f>Data!K47</f>
        <v>0</v>
      </c>
      <c r="H26" s="521">
        <f>Data!M22</f>
        <v>0</v>
      </c>
      <c r="I26" s="521">
        <f>Data!M47</f>
        <v>0</v>
      </c>
      <c r="J26" s="521">
        <f>Data!L22</f>
        <v>0</v>
      </c>
      <c r="K26" s="521">
        <f>Data!L47</f>
        <v>0</v>
      </c>
      <c r="L26" s="521">
        <f>Data!N22</f>
        <v>0</v>
      </c>
      <c r="M26" s="521">
        <f>Data!N47</f>
        <v>0</v>
      </c>
      <c r="N26" s="521">
        <f>Data!O47</f>
        <v>0</v>
      </c>
      <c r="O26" s="526">
        <f>Data!P47</f>
        <v>0</v>
      </c>
      <c r="P26" s="526">
        <f>Data!Q47</f>
        <v>0</v>
      </c>
      <c r="Q26" s="526">
        <f>Data!R47</f>
        <v>0</v>
      </c>
      <c r="R26" s="533" t="str">
        <f>Data!S47</f>
        <v>n/a</v>
      </c>
      <c r="S26" s="534" t="str">
        <f>Data!T47</f>
        <v>n/a</v>
      </c>
      <c r="U26" s="239"/>
      <c r="V26" s="237"/>
    </row>
    <row r="27" spans="2:22" x14ac:dyDescent="0.3">
      <c r="B27" s="532" t="str">
        <f>Data!B23</f>
        <v>Empty</v>
      </c>
      <c r="C27" s="532" t="str">
        <f>Data!C23</f>
        <v/>
      </c>
      <c r="D27" s="532" t="str">
        <f>Data!D23</f>
        <v/>
      </c>
      <c r="E27" s="532" t="str">
        <f>Data!E23</f>
        <v/>
      </c>
      <c r="F27" s="526">
        <f>Data!K23</f>
        <v>0</v>
      </c>
      <c r="G27" s="526">
        <f>Data!K48</f>
        <v>0</v>
      </c>
      <c r="H27" s="521">
        <f>Data!M23</f>
        <v>0</v>
      </c>
      <c r="I27" s="521">
        <f>Data!M48</f>
        <v>0</v>
      </c>
      <c r="J27" s="521">
        <f>Data!L23</f>
        <v>0</v>
      </c>
      <c r="K27" s="521">
        <f>Data!L48</f>
        <v>0</v>
      </c>
      <c r="L27" s="521">
        <f>Data!N23</f>
        <v>0</v>
      </c>
      <c r="M27" s="521">
        <f>Data!N48</f>
        <v>0</v>
      </c>
      <c r="N27" s="521">
        <f>Data!O48</f>
        <v>0</v>
      </c>
      <c r="O27" s="526">
        <f>Data!P48</f>
        <v>0</v>
      </c>
      <c r="P27" s="526">
        <f>Data!Q48</f>
        <v>0</v>
      </c>
      <c r="Q27" s="526">
        <f>Data!R48</f>
        <v>0</v>
      </c>
      <c r="R27" s="533" t="str">
        <f>Data!S48</f>
        <v>n/a</v>
      </c>
      <c r="S27" s="534" t="str">
        <f>Data!T48</f>
        <v>n/a</v>
      </c>
      <c r="U27" s="239"/>
      <c r="V27" s="237"/>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dimension ref="B1:U44"/>
  <sheetViews>
    <sheetView showGridLines="0" showRowColHeaders="0" zoomScale="110" zoomScaleNormal="110" workbookViewId="0">
      <pane ySplit="2" topLeftCell="A20" activePane="bottomLeft" state="frozen"/>
      <selection activeCell="P31" sqref="P31"/>
      <selection pane="bottomLeft" activeCell="P31" sqref="P31"/>
    </sheetView>
  </sheetViews>
  <sheetFormatPr defaultColWidth="9.109375" defaultRowHeight="13.8" x14ac:dyDescent="0.3"/>
  <cols>
    <col min="1" max="1" width="1" style="2" customWidth="1"/>
    <col min="2" max="2" width="4" style="2" customWidth="1"/>
    <col min="3" max="3" width="36.21875" style="2" bestFit="1" customWidth="1"/>
    <col min="4" max="4" width="21.88671875" style="2" customWidth="1"/>
    <col min="5" max="5" width="1.77734375" style="2" customWidth="1"/>
    <col min="6" max="9" width="13.77734375" style="2" customWidth="1"/>
    <col min="10" max="10" width="1.77734375" style="2" customWidth="1"/>
    <col min="11" max="14" width="10.77734375" style="2" customWidth="1"/>
    <col min="15" max="15" width="1.77734375" style="2" customWidth="1"/>
    <col min="16" max="19" width="10.77734375" style="2" customWidth="1"/>
    <col min="20" max="20" width="3.44140625" style="2" customWidth="1"/>
    <col min="21" max="21" width="3.109375" style="2" customWidth="1"/>
    <col min="22" max="22" width="1" style="2" customWidth="1"/>
    <col min="23" max="16384" width="9.109375" style="2"/>
  </cols>
  <sheetData>
    <row r="1" spans="2:21" ht="5.0999999999999996" customHeight="1" thickBot="1" x14ac:dyDescent="0.35"/>
    <row r="2" spans="2:21" ht="38.25" customHeight="1" x14ac:dyDescent="0.3">
      <c r="B2" s="631" t="s">
        <v>649</v>
      </c>
      <c r="C2" s="631"/>
      <c r="D2" s="631"/>
      <c r="E2" s="631"/>
      <c r="F2" s="631"/>
      <c r="G2" s="631"/>
      <c r="H2" s="631"/>
      <c r="I2" s="631"/>
      <c r="J2" s="631"/>
      <c r="K2" s="631"/>
      <c r="L2" s="631"/>
      <c r="M2" s="631"/>
      <c r="N2" s="631"/>
      <c r="O2" s="631"/>
      <c r="P2" s="631"/>
      <c r="Q2" s="631"/>
      <c r="R2" s="631"/>
      <c r="S2" s="631"/>
      <c r="T2" s="631"/>
      <c r="U2" s="631"/>
    </row>
    <row r="3" spans="2:21" x14ac:dyDescent="0.3">
      <c r="B3" s="456"/>
      <c r="C3" s="336"/>
      <c r="D3" s="336"/>
      <c r="E3" s="336"/>
      <c r="F3" s="336"/>
      <c r="G3" s="336"/>
      <c r="H3" s="336"/>
      <c r="I3" s="336"/>
      <c r="J3" s="336"/>
      <c r="K3" s="336"/>
      <c r="L3" s="336"/>
      <c r="M3" s="336"/>
      <c r="N3" s="336"/>
      <c r="O3" s="336"/>
      <c r="P3" s="336"/>
      <c r="Q3" s="336"/>
      <c r="R3" s="336"/>
      <c r="S3" s="336"/>
      <c r="T3" s="336"/>
      <c r="U3" s="457"/>
    </row>
    <row r="4" spans="2:21" x14ac:dyDescent="0.3">
      <c r="B4" s="3"/>
      <c r="U4" s="4"/>
    </row>
    <row r="5" spans="2:21" ht="16.2" thickBot="1" x14ac:dyDescent="0.35">
      <c r="B5" s="3"/>
      <c r="F5" s="639" t="s">
        <v>650</v>
      </c>
      <c r="G5" s="639"/>
      <c r="H5" s="639"/>
      <c r="I5" s="639"/>
      <c r="K5" s="639" t="str">
        <f>"Annual Net Energy Savings ("&amp;Energy_1&amp;")"</f>
        <v>Annual Net Energy Savings (kWh)</v>
      </c>
      <c r="L5" s="639"/>
      <c r="M5" s="639"/>
      <c r="N5" s="639"/>
      <c r="P5" s="639" t="str">
        <f>"Annual Net Demand Savings ("&amp;Demand_1&amp;")"</f>
        <v>Annual Net Demand Savings (kW)</v>
      </c>
      <c r="Q5" s="639"/>
      <c r="R5" s="639"/>
      <c r="S5" s="639"/>
      <c r="U5" s="4"/>
    </row>
    <row r="6" spans="2:21" x14ac:dyDescent="0.3">
      <c r="B6" s="3"/>
      <c r="F6" s="637">
        <f>Titles!F2-1</f>
        <v>2024</v>
      </c>
      <c r="G6" s="638"/>
      <c r="H6" s="637">
        <f>F6+1</f>
        <v>2025</v>
      </c>
      <c r="I6" s="638"/>
      <c r="K6" s="637">
        <f>F6</f>
        <v>2024</v>
      </c>
      <c r="L6" s="638"/>
      <c r="M6" s="637">
        <f>H6</f>
        <v>2025</v>
      </c>
      <c r="N6" s="638"/>
      <c r="P6" s="637">
        <f>K6</f>
        <v>2024</v>
      </c>
      <c r="Q6" s="638"/>
      <c r="R6" s="637">
        <f>M6</f>
        <v>2025</v>
      </c>
      <c r="S6" s="638"/>
      <c r="U6" s="4"/>
    </row>
    <row r="7" spans="2:21" ht="12.75" customHeight="1" thickBot="1" x14ac:dyDescent="0.35">
      <c r="B7" s="8"/>
      <c r="C7" s="9" t="s">
        <v>82</v>
      </c>
      <c r="D7" s="9" t="s">
        <v>83</v>
      </c>
      <c r="E7" s="9"/>
      <c r="F7" s="126" t="s">
        <v>517</v>
      </c>
      <c r="G7" s="127" t="s">
        <v>518</v>
      </c>
      <c r="H7" s="126" t="s">
        <v>517</v>
      </c>
      <c r="I7" s="127" t="s">
        <v>518</v>
      </c>
      <c r="J7" s="9"/>
      <c r="K7" s="126" t="s">
        <v>519</v>
      </c>
      <c r="L7" s="127" t="s">
        <v>520</v>
      </c>
      <c r="M7" s="126" t="s">
        <v>519</v>
      </c>
      <c r="N7" s="127" t="s">
        <v>520</v>
      </c>
      <c r="O7" s="9"/>
      <c r="P7" s="126" t="s">
        <v>519</v>
      </c>
      <c r="Q7" s="127" t="s">
        <v>520</v>
      </c>
      <c r="R7" s="126" t="s">
        <v>519</v>
      </c>
      <c r="S7" s="127" t="s">
        <v>520</v>
      </c>
      <c r="T7" s="9"/>
      <c r="U7" s="4"/>
    </row>
    <row r="8" spans="2:21" ht="12.75" customHeight="1" x14ac:dyDescent="0.3">
      <c r="B8" s="259">
        <v>1</v>
      </c>
      <c r="C8" s="260" t="str">
        <f>'Program Descriptions'!C5</f>
        <v>Residential Products</v>
      </c>
      <c r="D8" s="260" t="str">
        <f>IF(ISBLANK('Program Descriptions'!E5),"",'Program Descriptions'!E5)</f>
        <v>Residential</v>
      </c>
      <c r="E8" s="260"/>
      <c r="F8" s="190">
        <f>'Prior Year Program'!H9</f>
        <v>39885</v>
      </c>
      <c r="G8" s="202">
        <f>'Prior Year Program'!I9</f>
        <v>1300</v>
      </c>
      <c r="H8" s="190">
        <f>Data!K4</f>
        <v>34885</v>
      </c>
      <c r="I8" s="191">
        <f>Data!K29</f>
        <v>690</v>
      </c>
      <c r="J8" s="9"/>
      <c r="K8" s="196">
        <f>'Prior Year Program'!M9</f>
        <v>79927</v>
      </c>
      <c r="L8" s="204">
        <f>'Prior Year Program'!N9</f>
        <v>7623</v>
      </c>
      <c r="M8" s="196">
        <f>Data!M4</f>
        <v>16803</v>
      </c>
      <c r="N8" s="197">
        <f>Data!M29</f>
        <v>13464</v>
      </c>
      <c r="O8" s="9"/>
      <c r="P8" s="196">
        <f>'Prior Year Program'!R9</f>
        <v>15</v>
      </c>
      <c r="Q8" s="204">
        <f>'Prior Year Program'!S9</f>
        <v>0.47</v>
      </c>
      <c r="R8" s="196">
        <f>Data!L4</f>
        <v>0</v>
      </c>
      <c r="S8" s="197">
        <f>Data!L29</f>
        <v>0</v>
      </c>
      <c r="T8" s="9"/>
      <c r="U8" s="4"/>
    </row>
    <row r="9" spans="2:21" ht="12.75" customHeight="1" x14ac:dyDescent="0.3">
      <c r="B9" s="259">
        <v>2</v>
      </c>
      <c r="C9" s="260" t="str">
        <f>'Program Descriptions'!C6</f>
        <v>School-Based Energy Education</v>
      </c>
      <c r="D9" s="260" t="str">
        <f>IF(ISBLANK('Program Descriptions'!E6),"",'Program Descriptions'!E6)</f>
        <v>Residential</v>
      </c>
      <c r="E9" s="260"/>
      <c r="F9" s="192">
        <f>'Prior Year Program'!H10</f>
        <v>16250</v>
      </c>
      <c r="G9" s="535">
        <f>'Prior Year Program'!I10</f>
        <v>12083</v>
      </c>
      <c r="H9" s="192">
        <f>Data!K5</f>
        <v>16250</v>
      </c>
      <c r="I9" s="193">
        <f>Data!K30</f>
        <v>29581.94</v>
      </c>
      <c r="J9" s="9"/>
      <c r="K9" s="198">
        <f>'Prior Year Program'!M10</f>
        <v>23962</v>
      </c>
      <c r="L9" s="536">
        <f>'Prior Year Program'!N10</f>
        <v>15683</v>
      </c>
      <c r="M9" s="198">
        <f>Data!M5</f>
        <v>47256</v>
      </c>
      <c r="N9" s="199">
        <f>Data!M30</f>
        <v>47256</v>
      </c>
      <c r="O9" s="9"/>
      <c r="P9" s="198">
        <f>'Prior Year Program'!R10</f>
        <v>2</v>
      </c>
      <c r="Q9" s="536">
        <f>'Prior Year Program'!S10</f>
        <v>2.5099999999999998</v>
      </c>
      <c r="R9" s="198">
        <f>Data!L5</f>
        <v>5.1100000000000003</v>
      </c>
      <c r="S9" s="199">
        <f>Data!L30</f>
        <v>5.1100000000000003</v>
      </c>
      <c r="T9" s="9"/>
      <c r="U9" s="4"/>
    </row>
    <row r="10" spans="2:21" ht="12.75" customHeight="1" x14ac:dyDescent="0.3">
      <c r="B10" s="259">
        <v>3</v>
      </c>
      <c r="C10" s="260" t="str">
        <f>'Program Descriptions'!C8</f>
        <v>Commercial and Industrial (Custom)</v>
      </c>
      <c r="D10" s="260" t="str">
        <f>IF(ISBLANK('Program Descriptions'!E7),"",'Program Descriptions'!E7)</f>
        <v>Residential</v>
      </c>
      <c r="E10" s="260"/>
      <c r="F10" s="192">
        <f>'Prior Year Program'!H11</f>
        <v>24454</v>
      </c>
      <c r="G10" s="535">
        <f>'Prior Year Program'!I11</f>
        <v>7151</v>
      </c>
      <c r="H10" s="192">
        <f>Data!K6</f>
        <v>24454</v>
      </c>
      <c r="I10" s="193">
        <f>Data!K31</f>
        <v>0</v>
      </c>
      <c r="J10" s="9"/>
      <c r="K10" s="198">
        <f>'Prior Year Program'!M11</f>
        <v>62390</v>
      </c>
      <c r="L10" s="536">
        <f>'Prior Year Program'!N11</f>
        <v>13957</v>
      </c>
      <c r="M10" s="198">
        <f>Data!M6</f>
        <v>0</v>
      </c>
      <c r="N10" s="199">
        <f>Data!M31</f>
        <v>0</v>
      </c>
      <c r="O10" s="9"/>
      <c r="P10" s="198">
        <f>'Prior Year Program'!R11</f>
        <v>12.6</v>
      </c>
      <c r="Q10" s="536">
        <f>'Prior Year Program'!S11</f>
        <v>9.44</v>
      </c>
      <c r="R10" s="198">
        <f>Data!L6</f>
        <v>0</v>
      </c>
      <c r="S10" s="199">
        <f>Data!L31</f>
        <v>0</v>
      </c>
      <c r="T10" s="9"/>
      <c r="U10" s="4"/>
    </row>
    <row r="11" spans="2:21" ht="12.75" customHeight="1" x14ac:dyDescent="0.3">
      <c r="B11" s="259">
        <v>4</v>
      </c>
      <c r="C11" s="260" t="str">
        <f>'Program Descriptions'!C9</f>
        <v>Commercial and Industrial (Prescriptive)</v>
      </c>
      <c r="D11" s="260" t="str">
        <f>IF(ISBLANK('Program Descriptions'!E7),"",'Program Descriptions'!E7)</f>
        <v>Residential</v>
      </c>
      <c r="E11" s="260"/>
      <c r="F11" s="192">
        <f>'Prior Year Program'!H12</f>
        <v>5812</v>
      </c>
      <c r="G11" s="192">
        <f>'Prior Year Program'!I12</f>
        <v>0</v>
      </c>
      <c r="H11" s="192">
        <f>Data!K7</f>
        <v>5812</v>
      </c>
      <c r="I11" s="193">
        <f>Data!K32</f>
        <v>0</v>
      </c>
      <c r="J11" s="9"/>
      <c r="K11" s="198">
        <f>'Prior Year Program'!M12</f>
        <v>15034</v>
      </c>
      <c r="L11" s="536">
        <f>'Prior Year Program'!N12</f>
        <v>0</v>
      </c>
      <c r="M11" s="198">
        <f>Data!M7</f>
        <v>0</v>
      </c>
      <c r="N11" s="199">
        <f>Data!M32</f>
        <v>0</v>
      </c>
      <c r="O11" s="9"/>
      <c r="P11" s="198">
        <f>'Prior Year Program'!R12</f>
        <v>5.3</v>
      </c>
      <c r="Q11" s="536">
        <f>'Prior Year Program'!S12</f>
        <v>0</v>
      </c>
      <c r="R11" s="198">
        <f>Data!L7</f>
        <v>0</v>
      </c>
      <c r="S11" s="199">
        <f>Data!L32</f>
        <v>0</v>
      </c>
      <c r="T11" s="9"/>
      <c r="U11" s="4"/>
    </row>
    <row r="12" spans="2:21" ht="12.75" customHeight="1" x14ac:dyDescent="0.3">
      <c r="B12" s="259">
        <v>5</v>
      </c>
      <c r="C12" s="260" t="str">
        <f>'Program Descriptions'!C10</f>
        <v>Online Energy Calculator</v>
      </c>
      <c r="D12" s="260" t="str">
        <f>IF(ISBLANK('Program Descriptions'!E9),"",'Program Descriptions'!E9)</f>
        <v>Commercial &amp; Industrial</v>
      </c>
      <c r="E12" s="260"/>
      <c r="F12" s="192">
        <f>'Prior Year Program'!H13</f>
        <v>5000</v>
      </c>
      <c r="G12" s="192">
        <f>'Prior Year Program'!I13</f>
        <v>0</v>
      </c>
      <c r="H12" s="192">
        <f>Data!K8</f>
        <v>5000</v>
      </c>
      <c r="I12" s="193">
        <f>Data!K33</f>
        <v>0</v>
      </c>
      <c r="J12" s="9"/>
      <c r="K12" s="198">
        <f>'Prior Year Program'!M13</f>
        <v>36643</v>
      </c>
      <c r="L12" s="536">
        <f>'Prior Year Program'!N13</f>
        <v>0</v>
      </c>
      <c r="M12" s="198">
        <f>Data!M8</f>
        <v>0</v>
      </c>
      <c r="N12" s="199">
        <f>Data!M33</f>
        <v>0</v>
      </c>
      <c r="O12" s="9"/>
      <c r="P12" s="198">
        <f>'Prior Year Program'!R13</f>
        <v>9.1999999999999993</v>
      </c>
      <c r="Q12" s="536" t="e">
        <f>'Prior Year Program'!#REF!</f>
        <v>#REF!</v>
      </c>
      <c r="R12" s="198">
        <f>Data!L8</f>
        <v>0</v>
      </c>
      <c r="S12" s="199">
        <f>Data!L33</f>
        <v>0</v>
      </c>
      <c r="T12" s="9"/>
      <c r="U12" s="4"/>
    </row>
    <row r="13" spans="2:21" ht="12.75" customHeight="1" x14ac:dyDescent="0.3">
      <c r="B13" s="259">
        <v>6</v>
      </c>
      <c r="C13" s="260" t="str">
        <f>'Program Descriptions'!D10</f>
        <v>Online Energy Calculator</v>
      </c>
      <c r="D13" s="260" t="str">
        <f>IF(ISBLANK('Program Descriptions'!E9),"",'Program Descriptions'!E9)</f>
        <v>Commercial &amp; Industrial</v>
      </c>
      <c r="E13" s="260"/>
      <c r="F13" s="192">
        <f>'Prior Year Program'!H14</f>
        <v>4000</v>
      </c>
      <c r="G13" s="535">
        <f>'Prior Year Program'!I14</f>
        <v>0</v>
      </c>
      <c r="H13" s="192">
        <f>Data!K9</f>
        <v>4000</v>
      </c>
      <c r="I13" s="193">
        <f>Data!K34</f>
        <v>0</v>
      </c>
      <c r="J13" s="9"/>
      <c r="K13" s="198">
        <f>'Prior Year Program'!M14</f>
        <v>0</v>
      </c>
      <c r="L13" s="536">
        <f>'Prior Year Program'!N14</f>
        <v>0</v>
      </c>
      <c r="M13" s="198">
        <f>Data!M9</f>
        <v>0</v>
      </c>
      <c r="N13" s="199">
        <f>Data!M34</f>
        <v>0</v>
      </c>
      <c r="O13" s="9"/>
      <c r="P13" s="198">
        <f>'Prior Year Program'!R14</f>
        <v>0</v>
      </c>
      <c r="Q13" s="536">
        <f>'Prior Year Program'!S13</f>
        <v>0</v>
      </c>
      <c r="R13" s="198">
        <f>Data!L9</f>
        <v>0</v>
      </c>
      <c r="S13" s="199">
        <f>Data!L34</f>
        <v>0</v>
      </c>
      <c r="T13" s="9"/>
      <c r="U13" s="4"/>
    </row>
    <row r="14" spans="2:21" ht="12.75" customHeight="1" x14ac:dyDescent="0.3">
      <c r="B14" s="259">
        <v>7</v>
      </c>
      <c r="C14" s="260" t="str">
        <f>'Program Descriptions'!C11</f>
        <v>Administration</v>
      </c>
      <c r="D14" s="260" t="str">
        <f>IF(ISBLANK('Program Descriptions'!E11),"",'Program Descriptions'!E11)</f>
        <v>All Classes</v>
      </c>
      <c r="E14" s="260"/>
      <c r="F14" s="192">
        <f>'Prior Year Program'!H15</f>
        <v>10000</v>
      </c>
      <c r="G14" s="535">
        <f>'Prior Year Program'!I15</f>
        <v>0</v>
      </c>
      <c r="H14" s="192">
        <f>Data!K10</f>
        <v>10000</v>
      </c>
      <c r="I14" s="193">
        <f>Data!K35</f>
        <v>1000</v>
      </c>
      <c r="J14" s="9"/>
      <c r="K14" s="198">
        <f>'Prior Year Program'!M15</f>
        <v>0</v>
      </c>
      <c r="L14" s="536">
        <f>'Prior Year Program'!N15</f>
        <v>0</v>
      </c>
      <c r="M14" s="198">
        <f>Data!M10</f>
        <v>0</v>
      </c>
      <c r="N14" s="199">
        <f>Data!M35</f>
        <v>0</v>
      </c>
      <c r="O14" s="9"/>
      <c r="P14" s="198">
        <f>'Prior Year Program'!R15</f>
        <v>0</v>
      </c>
      <c r="Q14" s="536">
        <f>'Prior Year Program'!S15</f>
        <v>0</v>
      </c>
      <c r="R14" s="198">
        <f>Data!L10</f>
        <v>0</v>
      </c>
      <c r="S14" s="199">
        <f>Data!L35</f>
        <v>0</v>
      </c>
      <c r="T14" s="9"/>
      <c r="U14" s="4"/>
    </row>
    <row r="15" spans="2:21" ht="12.75" customHeight="1" x14ac:dyDescent="0.3">
      <c r="B15" s="259">
        <v>8</v>
      </c>
      <c r="C15" s="260" t="str">
        <f>'Program Descriptions'!C12</f>
        <v>Marketing</v>
      </c>
      <c r="D15" s="260" t="str">
        <f>IF(ISBLANK('Program Descriptions'!E12),"",'Program Descriptions'!E12)</f>
        <v>All Classes</v>
      </c>
      <c r="E15" s="260"/>
      <c r="F15" s="192">
        <f>'Prior Year Program'!H16</f>
        <v>1400</v>
      </c>
      <c r="G15" s="535">
        <f>'Prior Year Program'!I16</f>
        <v>209</v>
      </c>
      <c r="H15" s="192">
        <f>Data!K11</f>
        <v>1200</v>
      </c>
      <c r="I15" s="193">
        <f>Data!K36</f>
        <v>0</v>
      </c>
      <c r="J15" s="9"/>
      <c r="K15" s="198">
        <f>'Prior Year Program'!M16</f>
        <v>0</v>
      </c>
      <c r="L15" s="536">
        <f>'Prior Year Program'!N16</f>
        <v>0</v>
      </c>
      <c r="M15" s="198">
        <f>Data!M11</f>
        <v>0</v>
      </c>
      <c r="N15" s="199">
        <f>Data!M36</f>
        <v>0</v>
      </c>
      <c r="O15" s="9"/>
      <c r="P15" s="198">
        <f>'Prior Year Program'!R16</f>
        <v>0</v>
      </c>
      <c r="Q15" s="536">
        <f>'Prior Year Program'!S16</f>
        <v>0</v>
      </c>
      <c r="R15" s="198">
        <f>Data!L11</f>
        <v>0</v>
      </c>
      <c r="S15" s="199">
        <f>Data!L36</f>
        <v>0</v>
      </c>
      <c r="T15" s="9"/>
      <c r="U15" s="4"/>
    </row>
    <row r="16" spans="2:21" ht="12.75" customHeight="1" x14ac:dyDescent="0.3">
      <c r="B16" s="259">
        <v>9</v>
      </c>
      <c r="C16" s="260" t="str">
        <f>'Program Descriptions'!C13</f>
        <v>EM&amp;V</v>
      </c>
      <c r="D16" s="260" t="str">
        <f>IF(ISBLANK('Program Descriptions'!E13),"",'Program Descriptions'!E13)</f>
        <v>All Classes</v>
      </c>
      <c r="E16" s="260"/>
      <c r="F16" s="192">
        <f>'Prior Year Program'!H17</f>
        <v>2500</v>
      </c>
      <c r="G16" s="535">
        <f>'Prior Year Program'!I17</f>
        <v>2500</v>
      </c>
      <c r="H16" s="192">
        <f>Data!K12</f>
        <v>2500</v>
      </c>
      <c r="I16" s="193">
        <f>Data!K37</f>
        <v>2687.5</v>
      </c>
      <c r="J16" s="9"/>
      <c r="K16" s="198">
        <f>'Prior Year Program'!M17</f>
        <v>0</v>
      </c>
      <c r="L16" s="536">
        <f>'Prior Year Program'!N17</f>
        <v>0</v>
      </c>
      <c r="M16" s="198">
        <f>Data!M12</f>
        <v>0</v>
      </c>
      <c r="N16" s="199">
        <f>Data!M37</f>
        <v>0</v>
      </c>
      <c r="O16" s="9"/>
      <c r="P16" s="198">
        <f>'Prior Year Program'!R17</f>
        <v>0</v>
      </c>
      <c r="Q16" s="536">
        <f>'Prior Year Program'!S17</f>
        <v>0</v>
      </c>
      <c r="R16" s="198">
        <f>Data!L12</f>
        <v>0</v>
      </c>
      <c r="S16" s="199">
        <f>Data!L37</f>
        <v>0</v>
      </c>
      <c r="T16" s="9"/>
      <c r="U16" s="4"/>
    </row>
    <row r="17" spans="2:21" ht="12.75" customHeight="1" x14ac:dyDescent="0.3">
      <c r="B17" s="259">
        <v>10</v>
      </c>
      <c r="C17" s="260" t="str">
        <f>'Program Descriptions'!C14</f>
        <v>Empty</v>
      </c>
      <c r="D17" s="260" t="str">
        <f>IF(ISBLANK('Program Descriptions'!E14),"",'Program Descriptions'!E14)</f>
        <v/>
      </c>
      <c r="E17" s="260"/>
      <c r="F17" s="192">
        <f>'Prior Year Program'!H18</f>
        <v>0</v>
      </c>
      <c r="G17" s="535">
        <f>'Prior Year Program'!I18</f>
        <v>0</v>
      </c>
      <c r="H17" s="192">
        <f>Data!K13</f>
        <v>0</v>
      </c>
      <c r="I17" s="193">
        <f>Data!K38</f>
        <v>0</v>
      </c>
      <c r="J17" s="9"/>
      <c r="K17" s="198">
        <f>'Prior Year Program'!M18</f>
        <v>0</v>
      </c>
      <c r="L17" s="536">
        <f>'Prior Year Program'!N18</f>
        <v>0</v>
      </c>
      <c r="M17" s="198">
        <f>Data!M13</f>
        <v>0</v>
      </c>
      <c r="N17" s="199">
        <f>Data!M38</f>
        <v>0</v>
      </c>
      <c r="O17" s="9"/>
      <c r="P17" s="198">
        <f>'Prior Year Program'!R18</f>
        <v>0</v>
      </c>
      <c r="Q17" s="536">
        <f>'Prior Year Program'!S18</f>
        <v>0</v>
      </c>
      <c r="R17" s="198">
        <f>Data!L13</f>
        <v>0</v>
      </c>
      <c r="S17" s="199">
        <f>Data!L38</f>
        <v>0</v>
      </c>
      <c r="T17" s="9"/>
      <c r="U17" s="4"/>
    </row>
    <row r="18" spans="2:21" ht="12.75" customHeight="1" x14ac:dyDescent="0.3">
      <c r="B18" s="259">
        <v>11</v>
      </c>
      <c r="C18" s="260" t="str">
        <f>'Program Descriptions'!C15</f>
        <v>Empty</v>
      </c>
      <c r="D18" s="260" t="str">
        <f>IF(ISBLANK('Program Descriptions'!E15),"",'Program Descriptions'!E15)</f>
        <v/>
      </c>
      <c r="E18" s="260"/>
      <c r="F18" s="192">
        <f>'Prior Year Program'!H19</f>
        <v>0</v>
      </c>
      <c r="G18" s="535">
        <f>'Prior Year Program'!I19</f>
        <v>0</v>
      </c>
      <c r="H18" s="192">
        <f>Data!K14</f>
        <v>0</v>
      </c>
      <c r="I18" s="193">
        <f>Data!K39</f>
        <v>0</v>
      </c>
      <c r="J18" s="9"/>
      <c r="K18" s="198">
        <f>'Prior Year Program'!M19</f>
        <v>0</v>
      </c>
      <c r="L18" s="536">
        <f>'Prior Year Program'!N19</f>
        <v>0</v>
      </c>
      <c r="M18" s="198">
        <f>Data!M14</f>
        <v>0</v>
      </c>
      <c r="N18" s="199">
        <f>Data!M39</f>
        <v>0</v>
      </c>
      <c r="O18" s="9"/>
      <c r="P18" s="198">
        <f>'Prior Year Program'!R19</f>
        <v>0</v>
      </c>
      <c r="Q18" s="536">
        <f>'Prior Year Program'!S19</f>
        <v>0</v>
      </c>
      <c r="R18" s="198">
        <f>Data!L14</f>
        <v>0</v>
      </c>
      <c r="S18" s="199">
        <f>Data!L39</f>
        <v>0</v>
      </c>
      <c r="T18" s="9"/>
      <c r="U18" s="4"/>
    </row>
    <row r="19" spans="2:21" ht="12.75" customHeight="1" x14ac:dyDescent="0.3">
      <c r="B19" s="259">
        <v>12</v>
      </c>
      <c r="C19" s="260" t="str">
        <f>'Program Descriptions'!C16</f>
        <v>Empty</v>
      </c>
      <c r="D19" s="260" t="str">
        <f>IF(ISBLANK('Program Descriptions'!E16),"",'Program Descriptions'!E16)</f>
        <v/>
      </c>
      <c r="E19" s="260"/>
      <c r="F19" s="192">
        <f>'Prior Year Program'!H20</f>
        <v>0</v>
      </c>
      <c r="G19" s="535">
        <f>'Prior Year Program'!I20</f>
        <v>0</v>
      </c>
      <c r="H19" s="192">
        <f>Data!K15</f>
        <v>0</v>
      </c>
      <c r="I19" s="193">
        <f>Data!K40</f>
        <v>0</v>
      </c>
      <c r="J19" s="9"/>
      <c r="K19" s="198">
        <f>'Prior Year Program'!M20</f>
        <v>0</v>
      </c>
      <c r="L19" s="536">
        <f>'Prior Year Program'!N20</f>
        <v>0</v>
      </c>
      <c r="M19" s="198">
        <f>Data!M15</f>
        <v>0</v>
      </c>
      <c r="N19" s="199">
        <f>Data!M40</f>
        <v>0</v>
      </c>
      <c r="O19" s="9"/>
      <c r="P19" s="198">
        <f>'Prior Year Program'!R20</f>
        <v>0</v>
      </c>
      <c r="Q19" s="536">
        <f>'Prior Year Program'!S20</f>
        <v>0</v>
      </c>
      <c r="R19" s="198">
        <f>Data!L15</f>
        <v>0</v>
      </c>
      <c r="S19" s="199">
        <f>Data!L40</f>
        <v>0</v>
      </c>
      <c r="T19" s="9"/>
      <c r="U19" s="4"/>
    </row>
    <row r="20" spans="2:21" ht="12.75" customHeight="1" x14ac:dyDescent="0.3">
      <c r="B20" s="259">
        <v>13</v>
      </c>
      <c r="C20" s="260" t="str">
        <f>'Program Descriptions'!C17</f>
        <v>Empty</v>
      </c>
      <c r="D20" s="260" t="str">
        <f>IF(ISBLANK('Program Descriptions'!E17),"",'Program Descriptions'!E17)</f>
        <v/>
      </c>
      <c r="E20" s="260"/>
      <c r="F20" s="192">
        <f>'Prior Year Program'!H21</f>
        <v>0</v>
      </c>
      <c r="G20" s="535">
        <f>'Prior Year Program'!I21</f>
        <v>0</v>
      </c>
      <c r="H20" s="192">
        <f>Data!K16</f>
        <v>0</v>
      </c>
      <c r="I20" s="193">
        <f>Data!K41</f>
        <v>0</v>
      </c>
      <c r="J20" s="9"/>
      <c r="K20" s="198">
        <f>'Prior Year Program'!M21</f>
        <v>0</v>
      </c>
      <c r="L20" s="536">
        <f>'Prior Year Program'!N21</f>
        <v>0</v>
      </c>
      <c r="M20" s="198">
        <f>Data!M16</f>
        <v>0</v>
      </c>
      <c r="N20" s="199">
        <f>Data!M41</f>
        <v>0</v>
      </c>
      <c r="O20" s="9"/>
      <c r="P20" s="198">
        <f>'Prior Year Program'!R21</f>
        <v>0</v>
      </c>
      <c r="Q20" s="536">
        <f>'Prior Year Program'!S21</f>
        <v>0</v>
      </c>
      <c r="R20" s="198">
        <f>Data!L16</f>
        <v>0</v>
      </c>
      <c r="S20" s="199">
        <f>Data!L41</f>
        <v>0</v>
      </c>
      <c r="T20" s="9"/>
      <c r="U20" s="4"/>
    </row>
    <row r="21" spans="2:21" ht="12.75" customHeight="1" x14ac:dyDescent="0.3">
      <c r="B21" s="259">
        <v>14</v>
      </c>
      <c r="C21" s="260" t="str">
        <f>'Program Descriptions'!C18</f>
        <v>Empty</v>
      </c>
      <c r="D21" s="260" t="str">
        <f>IF(ISBLANK('Program Descriptions'!E18),"",'Program Descriptions'!E18)</f>
        <v/>
      </c>
      <c r="E21" s="260"/>
      <c r="F21" s="192">
        <f>'Prior Year Program'!H22</f>
        <v>0</v>
      </c>
      <c r="G21" s="535">
        <f>'Prior Year Program'!I22</f>
        <v>0</v>
      </c>
      <c r="H21" s="192">
        <f>Data!K17</f>
        <v>0</v>
      </c>
      <c r="I21" s="193">
        <f>Data!K42</f>
        <v>0</v>
      </c>
      <c r="J21" s="9"/>
      <c r="K21" s="198">
        <f>'Prior Year Program'!M22</f>
        <v>0</v>
      </c>
      <c r="L21" s="536">
        <f>'Prior Year Program'!N22</f>
        <v>0</v>
      </c>
      <c r="M21" s="198">
        <f>Data!M17</f>
        <v>0</v>
      </c>
      <c r="N21" s="199">
        <f>Data!M42</f>
        <v>0</v>
      </c>
      <c r="O21" s="9"/>
      <c r="P21" s="198">
        <f>'Prior Year Program'!R22</f>
        <v>0</v>
      </c>
      <c r="Q21" s="536">
        <f>'Prior Year Program'!S22</f>
        <v>0</v>
      </c>
      <c r="R21" s="198">
        <f>Data!L17</f>
        <v>0</v>
      </c>
      <c r="S21" s="199">
        <f>Data!L42</f>
        <v>0</v>
      </c>
      <c r="T21" s="9"/>
      <c r="U21" s="4"/>
    </row>
    <row r="22" spans="2:21" ht="12.75" customHeight="1" x14ac:dyDescent="0.3">
      <c r="B22" s="259">
        <v>15</v>
      </c>
      <c r="C22" s="260" t="str">
        <f>'Program Descriptions'!C19</f>
        <v>Empty</v>
      </c>
      <c r="D22" s="260" t="str">
        <f>IF(ISBLANK('Program Descriptions'!E19),"",'Program Descriptions'!E19)</f>
        <v/>
      </c>
      <c r="E22" s="260"/>
      <c r="F22" s="192">
        <f>'Prior Year Program'!H23</f>
        <v>0</v>
      </c>
      <c r="G22" s="535">
        <f>'Prior Year Program'!I23</f>
        <v>0</v>
      </c>
      <c r="H22" s="192">
        <f>Data!K18</f>
        <v>0</v>
      </c>
      <c r="I22" s="193">
        <f>Data!K43</f>
        <v>0</v>
      </c>
      <c r="J22" s="9"/>
      <c r="K22" s="198">
        <f>'Prior Year Program'!M23</f>
        <v>0</v>
      </c>
      <c r="L22" s="536">
        <f>'Prior Year Program'!N23</f>
        <v>0</v>
      </c>
      <c r="M22" s="198">
        <f>Data!M18</f>
        <v>0</v>
      </c>
      <c r="N22" s="199">
        <f>Data!M43</f>
        <v>0</v>
      </c>
      <c r="O22" s="9"/>
      <c r="P22" s="198">
        <f>'Prior Year Program'!R23</f>
        <v>0</v>
      </c>
      <c r="Q22" s="536">
        <f>'Prior Year Program'!S23</f>
        <v>0</v>
      </c>
      <c r="R22" s="198">
        <f>Data!L18</f>
        <v>0</v>
      </c>
      <c r="S22" s="199">
        <f>Data!L43</f>
        <v>0</v>
      </c>
      <c r="T22" s="9"/>
      <c r="U22" s="4"/>
    </row>
    <row r="23" spans="2:21" ht="12.75" customHeight="1" x14ac:dyDescent="0.3">
      <c r="B23" s="259">
        <v>16</v>
      </c>
      <c r="C23" s="260" t="str">
        <f>'Program Descriptions'!C20</f>
        <v>Empty</v>
      </c>
      <c r="D23" s="260" t="str">
        <f>IF(ISBLANK('Program Descriptions'!E20),"",'Program Descriptions'!E20)</f>
        <v/>
      </c>
      <c r="E23" s="260"/>
      <c r="F23" s="192">
        <f>'Prior Year Program'!H24</f>
        <v>0</v>
      </c>
      <c r="G23" s="535">
        <f>'Prior Year Program'!I24</f>
        <v>0</v>
      </c>
      <c r="H23" s="192">
        <f>Data!K19</f>
        <v>0</v>
      </c>
      <c r="I23" s="193">
        <f>Data!K44</f>
        <v>0</v>
      </c>
      <c r="J23" s="9"/>
      <c r="K23" s="198">
        <f>'Prior Year Program'!M24</f>
        <v>0</v>
      </c>
      <c r="L23" s="536">
        <f>'Prior Year Program'!N24</f>
        <v>0</v>
      </c>
      <c r="M23" s="198">
        <f>Data!M19</f>
        <v>0</v>
      </c>
      <c r="N23" s="199">
        <f>Data!M44</f>
        <v>0</v>
      </c>
      <c r="O23" s="9"/>
      <c r="P23" s="198">
        <f>'Prior Year Program'!R24</f>
        <v>0</v>
      </c>
      <c r="Q23" s="536">
        <f>'Prior Year Program'!S24</f>
        <v>0</v>
      </c>
      <c r="R23" s="198">
        <f>Data!L19</f>
        <v>0</v>
      </c>
      <c r="S23" s="199">
        <f>Data!L44</f>
        <v>0</v>
      </c>
      <c r="T23" s="9"/>
      <c r="U23" s="4"/>
    </row>
    <row r="24" spans="2:21" ht="12.75" customHeight="1" x14ac:dyDescent="0.3">
      <c r="B24" s="259">
        <v>17</v>
      </c>
      <c r="C24" s="260" t="str">
        <f>'Program Descriptions'!C21</f>
        <v>Empty</v>
      </c>
      <c r="D24" s="260" t="str">
        <f>IF(ISBLANK('Program Descriptions'!E21),"",'Program Descriptions'!E21)</f>
        <v/>
      </c>
      <c r="E24" s="260"/>
      <c r="F24" s="192">
        <f>'Prior Year Program'!H25</f>
        <v>0</v>
      </c>
      <c r="G24" s="535">
        <f>'Prior Year Program'!I25</f>
        <v>0</v>
      </c>
      <c r="H24" s="192">
        <f>Data!K20</f>
        <v>0</v>
      </c>
      <c r="I24" s="193">
        <f>Data!K45</f>
        <v>0</v>
      </c>
      <c r="J24" s="9"/>
      <c r="K24" s="198">
        <f>'Prior Year Program'!M25</f>
        <v>0</v>
      </c>
      <c r="L24" s="536">
        <f>'Prior Year Program'!N25</f>
        <v>0</v>
      </c>
      <c r="M24" s="198">
        <f>Data!M20</f>
        <v>0</v>
      </c>
      <c r="N24" s="199">
        <f>Data!M45</f>
        <v>0</v>
      </c>
      <c r="O24" s="9"/>
      <c r="P24" s="198">
        <f>'Prior Year Program'!R25</f>
        <v>0</v>
      </c>
      <c r="Q24" s="536">
        <f>'Prior Year Program'!S25</f>
        <v>0</v>
      </c>
      <c r="R24" s="198">
        <f>Data!L20</f>
        <v>0</v>
      </c>
      <c r="S24" s="199">
        <f>Data!L45</f>
        <v>0</v>
      </c>
      <c r="T24" s="9"/>
      <c r="U24" s="4"/>
    </row>
    <row r="25" spans="2:21" ht="12.75" customHeight="1" x14ac:dyDescent="0.3">
      <c r="B25" s="259">
        <v>18</v>
      </c>
      <c r="C25" s="260" t="str">
        <f>'Program Descriptions'!C22</f>
        <v>Empty</v>
      </c>
      <c r="D25" s="260" t="str">
        <f>IF(ISBLANK('Program Descriptions'!E22),"",'Program Descriptions'!E22)</f>
        <v/>
      </c>
      <c r="E25" s="260"/>
      <c r="F25" s="192">
        <f>'Prior Year Program'!H26</f>
        <v>0</v>
      </c>
      <c r="G25" s="535">
        <f>'Prior Year Program'!I26</f>
        <v>0</v>
      </c>
      <c r="H25" s="192">
        <f>Data!K21</f>
        <v>0</v>
      </c>
      <c r="I25" s="193">
        <f>Data!K46</f>
        <v>0</v>
      </c>
      <c r="J25" s="9"/>
      <c r="K25" s="198">
        <f>'Prior Year Program'!M26</f>
        <v>0</v>
      </c>
      <c r="L25" s="536">
        <f>'Prior Year Program'!N26</f>
        <v>0</v>
      </c>
      <c r="M25" s="198">
        <f>Data!M21</f>
        <v>0</v>
      </c>
      <c r="N25" s="199">
        <f>Data!M46</f>
        <v>0</v>
      </c>
      <c r="O25" s="9"/>
      <c r="P25" s="198">
        <f>'Prior Year Program'!R26</f>
        <v>0</v>
      </c>
      <c r="Q25" s="536">
        <f>'Prior Year Program'!S26</f>
        <v>0</v>
      </c>
      <c r="R25" s="198">
        <f>Data!L21</f>
        <v>0</v>
      </c>
      <c r="S25" s="199">
        <f>Data!L46</f>
        <v>0</v>
      </c>
      <c r="T25" s="9"/>
      <c r="U25" s="4"/>
    </row>
    <row r="26" spans="2:21" ht="12.75" customHeight="1" x14ac:dyDescent="0.3">
      <c r="B26" s="259">
        <v>19</v>
      </c>
      <c r="C26" s="260" t="str">
        <f>'Program Descriptions'!C23</f>
        <v>Empty</v>
      </c>
      <c r="D26" s="260" t="str">
        <f>IF(ISBLANK('Program Descriptions'!E23),"",'Program Descriptions'!E23)</f>
        <v/>
      </c>
      <c r="E26" s="260"/>
      <c r="F26" s="192">
        <f>'Prior Year Program'!H27</f>
        <v>0</v>
      </c>
      <c r="G26" s="535">
        <f>'Prior Year Program'!I27</f>
        <v>0</v>
      </c>
      <c r="H26" s="192">
        <f>Data!K22</f>
        <v>0</v>
      </c>
      <c r="I26" s="193">
        <f>Data!K47</f>
        <v>0</v>
      </c>
      <c r="J26" s="9"/>
      <c r="K26" s="198">
        <f>'Prior Year Program'!M27</f>
        <v>0</v>
      </c>
      <c r="L26" s="536">
        <f>'Prior Year Program'!N27</f>
        <v>0</v>
      </c>
      <c r="M26" s="198">
        <f>Data!M22</f>
        <v>0</v>
      </c>
      <c r="N26" s="199">
        <f>Data!M47</f>
        <v>0</v>
      </c>
      <c r="O26" s="9"/>
      <c r="P26" s="198">
        <f>'Prior Year Program'!R27</f>
        <v>0</v>
      </c>
      <c r="Q26" s="536">
        <f>'Prior Year Program'!S27</f>
        <v>0</v>
      </c>
      <c r="R26" s="198">
        <f>Data!L22</f>
        <v>0</v>
      </c>
      <c r="S26" s="199">
        <f>Data!L47</f>
        <v>0</v>
      </c>
      <c r="T26" s="9"/>
      <c r="U26" s="4"/>
    </row>
    <row r="27" spans="2:21" ht="12.75" customHeight="1" thickBot="1" x14ac:dyDescent="0.35">
      <c r="B27" s="259">
        <v>20</v>
      </c>
      <c r="C27" s="260" t="str">
        <f>'Program Descriptions'!C24</f>
        <v>Empty</v>
      </c>
      <c r="D27" s="260" t="str">
        <f>IF(ISBLANK('Program Descriptions'!E24),"",'Program Descriptions'!E24)</f>
        <v/>
      </c>
      <c r="E27" s="260"/>
      <c r="F27" s="192">
        <f>'Prior Year Program'!H28</f>
        <v>0</v>
      </c>
      <c r="G27" s="535">
        <f>'Prior Year Program'!I28</f>
        <v>0</v>
      </c>
      <c r="H27" s="192">
        <f>Data!K23</f>
        <v>0</v>
      </c>
      <c r="I27" s="193">
        <f>Data!K48</f>
        <v>0</v>
      </c>
      <c r="J27" s="9"/>
      <c r="K27" s="200">
        <f>'Prior Year Program'!M28</f>
        <v>0</v>
      </c>
      <c r="L27" s="205">
        <f>'Prior Year Program'!N28</f>
        <v>0</v>
      </c>
      <c r="M27" s="200">
        <f>Data!M23</f>
        <v>0</v>
      </c>
      <c r="N27" s="201">
        <f>Data!M48</f>
        <v>0</v>
      </c>
      <c r="O27" s="9"/>
      <c r="P27" s="200">
        <f>'Prior Year Program'!R28</f>
        <v>0</v>
      </c>
      <c r="Q27" s="205">
        <f>'Prior Year Program'!S28</f>
        <v>0</v>
      </c>
      <c r="R27" s="200">
        <f>Data!L23</f>
        <v>0</v>
      </c>
      <c r="S27" s="201">
        <f>Data!L48</f>
        <v>0</v>
      </c>
      <c r="T27" s="9"/>
      <c r="U27" s="4"/>
    </row>
    <row r="28" spans="2:21" ht="12.75" customHeight="1" thickBot="1" x14ac:dyDescent="0.35">
      <c r="B28" s="8"/>
      <c r="C28" s="260" t="s">
        <v>489</v>
      </c>
      <c r="D28" s="260"/>
      <c r="E28" s="260"/>
      <c r="F28" s="194">
        <f>'Prior Year Program'!H29</f>
        <v>0</v>
      </c>
      <c r="G28" s="203">
        <f>'Prior Year Program'!I29</f>
        <v>0</v>
      </c>
      <c r="H28" s="194">
        <f>'Table 2'!F29</f>
        <v>3000</v>
      </c>
      <c r="I28" s="195">
        <f>'Table 2'!G29</f>
        <v>923.35</v>
      </c>
      <c r="J28" s="9"/>
      <c r="K28" s="9"/>
      <c r="L28" s="9"/>
      <c r="M28" s="9"/>
      <c r="N28" s="9"/>
      <c r="O28" s="9"/>
      <c r="P28" s="9"/>
      <c r="Q28" s="9"/>
      <c r="R28" s="9"/>
      <c r="S28" s="9"/>
      <c r="T28" s="9"/>
      <c r="U28" s="4"/>
    </row>
    <row r="29" spans="2:21" ht="12.75" customHeight="1" x14ac:dyDescent="0.3">
      <c r="B29" s="8"/>
      <c r="C29" s="271"/>
      <c r="D29" s="271"/>
      <c r="E29" s="271"/>
      <c r="F29" s="11"/>
      <c r="G29" s="11"/>
      <c r="H29" s="11"/>
      <c r="I29" s="11"/>
      <c r="U29" s="4"/>
    </row>
    <row r="30" spans="2:21" ht="12.75" customHeight="1" x14ac:dyDescent="0.3">
      <c r="B30" s="8"/>
      <c r="C30"/>
      <c r="D30" s="271" t="s">
        <v>521</v>
      </c>
      <c r="E30" s="271"/>
      <c r="F30" s="11">
        <f>SUM(F8:F28)</f>
        <v>109301</v>
      </c>
      <c r="G30" s="11">
        <f>SUM(G8:G28)</f>
        <v>23243</v>
      </c>
      <c r="H30" s="11">
        <f>SUM(H8:H28)</f>
        <v>107101</v>
      </c>
      <c r="I30" s="11">
        <f>SUM(I8:I28)</f>
        <v>34882.79</v>
      </c>
      <c r="K30" s="128">
        <f>SUM(K8:K27)</f>
        <v>217956</v>
      </c>
      <c r="L30" s="128">
        <f t="shared" ref="L30:S30" si="0">SUM(L8:L27)</f>
        <v>37263</v>
      </c>
      <c r="M30" s="128">
        <f t="shared" si="0"/>
        <v>64059</v>
      </c>
      <c r="N30" s="128">
        <f t="shared" si="0"/>
        <v>60720</v>
      </c>
      <c r="P30" s="128">
        <f t="shared" si="0"/>
        <v>44.099999999999994</v>
      </c>
      <c r="Q30" s="128" t="e">
        <f t="shared" si="0"/>
        <v>#REF!</v>
      </c>
      <c r="R30" s="128">
        <f t="shared" si="0"/>
        <v>5.1100000000000003</v>
      </c>
      <c r="S30" s="128">
        <f t="shared" si="0"/>
        <v>5.1100000000000003</v>
      </c>
      <c r="U30" s="4"/>
    </row>
    <row r="31" spans="2:21" ht="12.75" customHeight="1" x14ac:dyDescent="0.3">
      <c r="B31" s="8"/>
      <c r="C31"/>
      <c r="D31"/>
      <c r="E31"/>
      <c r="U31" s="4"/>
    </row>
    <row r="32" spans="2:21" ht="12.75" customHeight="1" x14ac:dyDescent="0.3">
      <c r="B32" s="8"/>
      <c r="C32"/>
      <c r="D32"/>
      <c r="E32"/>
      <c r="U32" s="4"/>
    </row>
    <row r="33" spans="2:21" ht="12.75" customHeight="1" x14ac:dyDescent="0.3">
      <c r="B33" s="8"/>
      <c r="C33" s="282"/>
      <c r="D33" s="282"/>
      <c r="E33" s="282"/>
      <c r="F33" s="283"/>
      <c r="G33" s="283"/>
      <c r="H33" s="283"/>
      <c r="I33" s="283"/>
      <c r="J33" s="284"/>
      <c r="K33" s="284"/>
      <c r="L33" s="284"/>
      <c r="M33" s="284"/>
      <c r="N33" s="284"/>
      <c r="O33" s="284"/>
      <c r="P33" s="284"/>
      <c r="Q33" s="284"/>
      <c r="R33" s="284"/>
      <c r="S33" s="284"/>
      <c r="U33" s="4"/>
    </row>
    <row r="34" spans="2:21" ht="12.75" customHeight="1" x14ac:dyDescent="0.3">
      <c r="B34" s="8"/>
      <c r="C34"/>
      <c r="D34"/>
      <c r="E34"/>
      <c r="H34" s="644" t="s">
        <v>10</v>
      </c>
      <c r="I34" s="644"/>
      <c r="K34" s="645" t="s">
        <v>526</v>
      </c>
      <c r="L34" s="645"/>
      <c r="M34" s="645"/>
      <c r="N34" s="645"/>
      <c r="U34" s="4"/>
    </row>
    <row r="35" spans="2:21" ht="12.75" customHeight="1" x14ac:dyDescent="0.3">
      <c r="B35" s="8"/>
      <c r="C35"/>
      <c r="D35"/>
      <c r="E35"/>
      <c r="H35" s="644" t="s">
        <v>527</v>
      </c>
      <c r="I35" s="644"/>
      <c r="K35" s="644" t="s">
        <v>646</v>
      </c>
      <c r="L35" s="644"/>
      <c r="M35" s="644" t="str">
        <f>"Savings ("&amp;Energy_1&amp;")"</f>
        <v>Savings (kWh)</v>
      </c>
      <c r="N35" s="644"/>
      <c r="U35" s="4"/>
    </row>
    <row r="36" spans="2:21" ht="12.75" customHeight="1" x14ac:dyDescent="0.3">
      <c r="B36" s="8"/>
      <c r="C36"/>
      <c r="D36"/>
      <c r="E36"/>
      <c r="G36" s="271" t="s">
        <v>74</v>
      </c>
      <c r="H36" s="478" t="s">
        <v>530</v>
      </c>
      <c r="I36" s="478" t="str">
        <f>"Sales ("&amp;Energy_1&amp;")"</f>
        <v>Sales (kWh)</v>
      </c>
      <c r="K36" s="478" t="s">
        <v>517</v>
      </c>
      <c r="L36" s="478" t="s">
        <v>518</v>
      </c>
      <c r="M36" s="478" t="s">
        <v>517</v>
      </c>
      <c r="N36" s="478" t="s">
        <v>518</v>
      </c>
      <c r="U36" s="4"/>
    </row>
    <row r="37" spans="2:21" ht="12.75" customHeight="1" x14ac:dyDescent="0.3">
      <c r="B37" s="8"/>
      <c r="C37"/>
      <c r="D37"/>
      <c r="E37"/>
      <c r="G37" s="287">
        <f>Prg_Year</f>
        <v>2025</v>
      </c>
      <c r="H37" s="537">
        <f>'Utility Information'!F8</f>
        <v>17104616.859999999</v>
      </c>
      <c r="I37" s="538">
        <f>'Utility Information'!F11</f>
        <v>180874532</v>
      </c>
      <c r="K37" s="537">
        <f>Budgets!I27</f>
        <v>107101</v>
      </c>
      <c r="L37" s="537">
        <f>'Actual Expenses'!J91</f>
        <v>34882.789999999994</v>
      </c>
      <c r="M37" s="538">
        <f>'Savings &amp; Participants'!E26</f>
        <v>64059</v>
      </c>
      <c r="N37" s="538">
        <f>'Evaluated Savings'!E26</f>
        <v>60720</v>
      </c>
      <c r="U37" s="4"/>
    </row>
    <row r="38" spans="2:21" ht="12.75" customHeight="1" x14ac:dyDescent="0.3">
      <c r="B38" s="8"/>
      <c r="C38"/>
      <c r="D38"/>
      <c r="E38"/>
      <c r="G38" s="287">
        <f>G37-1</f>
        <v>2024</v>
      </c>
      <c r="H38" s="537">
        <f>'Prior Year Portfolio'!D10</f>
        <v>17828123</v>
      </c>
      <c r="I38" s="538">
        <f>'Prior Year Portfolio'!E10</f>
        <v>178054</v>
      </c>
      <c r="K38" s="537">
        <f>'Prior Year Portfolio'!G10</f>
        <v>112301</v>
      </c>
      <c r="L38" s="537">
        <f>'Prior Year Portfolio'!H10</f>
        <v>24922</v>
      </c>
      <c r="M38" s="538">
        <f>'Prior Year Portfolio'!I10</f>
        <v>218</v>
      </c>
      <c r="N38" s="538">
        <f>'Prior Year Portfolio'!J10</f>
        <v>37</v>
      </c>
      <c r="U38" s="4"/>
    </row>
    <row r="39" spans="2:21" ht="12.75" customHeight="1" x14ac:dyDescent="0.3">
      <c r="B39" s="8"/>
      <c r="C39"/>
      <c r="D39"/>
      <c r="E39"/>
      <c r="G39" s="287">
        <f t="shared" ref="G39:G40" si="1">G38-1</f>
        <v>2023</v>
      </c>
      <c r="H39" s="537">
        <f>'Prior Year Portfolio'!D11</f>
        <v>22287690</v>
      </c>
      <c r="I39" s="538">
        <f>'Prior Year Portfolio'!E11</f>
        <v>172735</v>
      </c>
      <c r="K39" s="537">
        <f>'Prior Year Portfolio'!G11</f>
        <v>119869</v>
      </c>
      <c r="L39" s="537">
        <f>'Prior Year Portfolio'!H11</f>
        <v>35265.910000000003</v>
      </c>
      <c r="M39" s="538">
        <f>'Prior Year Portfolio'!I11</f>
        <v>424</v>
      </c>
      <c r="N39" s="538">
        <f>'Prior Year Portfolio'!J11</f>
        <v>51</v>
      </c>
      <c r="U39" s="4"/>
    </row>
    <row r="40" spans="2:21" ht="12.75" customHeight="1" x14ac:dyDescent="0.3">
      <c r="B40" s="8"/>
      <c r="C40"/>
      <c r="D40"/>
      <c r="E40"/>
      <c r="G40" s="287">
        <f t="shared" si="1"/>
        <v>2022</v>
      </c>
      <c r="H40" s="537">
        <f>'Prior Year Portfolio'!D12</f>
        <v>17797583</v>
      </c>
      <c r="I40" s="538">
        <f>'Prior Year Portfolio'!E12</f>
        <v>169635</v>
      </c>
      <c r="K40" s="537">
        <f>'Prior Year Portfolio'!G12</f>
        <v>109024.66666666666</v>
      </c>
      <c r="L40" s="537">
        <f>'Prior Year Portfolio'!H12</f>
        <v>18422</v>
      </c>
      <c r="M40" s="538">
        <f>'Prior Year Portfolio'!I12</f>
        <v>419.33699999999999</v>
      </c>
      <c r="N40" s="538">
        <f>'Prior Year Portfolio'!J12</f>
        <v>0</v>
      </c>
      <c r="U40" s="4"/>
    </row>
    <row r="41" spans="2:21" ht="12.75" customHeight="1" x14ac:dyDescent="0.3">
      <c r="B41" s="8"/>
      <c r="C41"/>
      <c r="D41"/>
      <c r="E41"/>
      <c r="U41" s="4"/>
    </row>
    <row r="42" spans="2:21" ht="12.75" customHeight="1" x14ac:dyDescent="0.3">
      <c r="B42" s="8"/>
      <c r="C42"/>
      <c r="D42"/>
      <c r="E42"/>
      <c r="U42" s="4"/>
    </row>
    <row r="43" spans="2:21" ht="12.75" customHeight="1" x14ac:dyDescent="0.3">
      <c r="B43" s="8"/>
      <c r="C43"/>
      <c r="D43"/>
      <c r="E43"/>
      <c r="U43" s="4"/>
    </row>
    <row r="44" spans="2:21" ht="12.75" customHeight="1" x14ac:dyDescent="0.3">
      <c r="B44" s="5"/>
      <c r="C44" s="6"/>
      <c r="D44" s="6"/>
      <c r="E44" s="6"/>
      <c r="F44" s="6"/>
      <c r="G44" s="6"/>
      <c r="H44" s="6"/>
      <c r="I44" s="6"/>
      <c r="J44" s="6"/>
      <c r="K44" s="6"/>
      <c r="L44" s="6"/>
      <c r="M44" s="6"/>
      <c r="N44" s="6"/>
      <c r="O44" s="6"/>
      <c r="P44" s="6"/>
      <c r="Q44" s="6"/>
      <c r="R44" s="6"/>
      <c r="S44" s="6"/>
      <c r="T44" s="6"/>
      <c r="U44" s="7"/>
    </row>
  </sheetData>
  <sheetProtection algorithmName="SHA-512" hashValue="Sv46w4ER3SWUnpkOcp2ORV2Lp/+1xNS46Jx+PkmdCWwek9rzEASSPB6oNmH3ZxtRKF1oFkCMA5r5cdoqNndM+g==" saltValue="7HnYMe7kcO1WLaymA38N1w==" spinCount="100000"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5" priority="2">
      <formula>$B8&gt;Programs</formula>
    </cfRule>
  </conditionalFormatting>
  <conditionalFormatting sqref="P8:S27">
    <cfRule type="expression" dxfId="4" priority="1">
      <formula>Demand_1=NG_Demand</formula>
    </cfRule>
  </conditionalFormatting>
  <pageMargins left="0.25" right="0.25" top="0.5" bottom="0.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tabColor rgb="FFFF0000"/>
  </sheetPr>
  <dimension ref="A1:F33"/>
  <sheetViews>
    <sheetView workbookViewId="0">
      <selection activeCell="F26" sqref="F26"/>
    </sheetView>
  </sheetViews>
  <sheetFormatPr defaultRowHeight="13.2" x14ac:dyDescent="0.25"/>
  <cols>
    <col min="1" max="1" width="10.88671875" bestFit="1" customWidth="1"/>
    <col min="2" max="2" width="20.21875" bestFit="1" customWidth="1"/>
    <col min="3" max="3" width="28.21875" customWidth="1"/>
    <col min="5" max="5" width="12.44140625" customWidth="1"/>
    <col min="6" max="6" width="47.44140625" bestFit="1" customWidth="1"/>
  </cols>
  <sheetData>
    <row r="1" spans="1:6" x14ac:dyDescent="0.25">
      <c r="A1" s="448" t="s">
        <v>651</v>
      </c>
      <c r="B1" s="448" t="s">
        <v>32</v>
      </c>
      <c r="E1" s="448" t="s">
        <v>199</v>
      </c>
      <c r="F1" s="27" t="str">
        <f>'Utility Information'!D6</f>
        <v>Empire</v>
      </c>
    </row>
    <row r="2" spans="1:6" ht="13.8" x14ac:dyDescent="0.3">
      <c r="A2">
        <v>1</v>
      </c>
      <c r="B2" s="169" t="s">
        <v>34</v>
      </c>
      <c r="E2" s="448" t="s">
        <v>545</v>
      </c>
      <c r="F2" s="27">
        <f>'Utility Information'!D7</f>
        <v>2025</v>
      </c>
    </row>
    <row r="3" spans="1:6" ht="13.8" x14ac:dyDescent="0.3">
      <c r="A3">
        <v>2</v>
      </c>
      <c r="B3" s="169" t="s">
        <v>36</v>
      </c>
      <c r="E3" s="448" t="s">
        <v>68</v>
      </c>
      <c r="F3" s="27" t="str">
        <f>'Utility Information'!F5</f>
        <v>Electric</v>
      </c>
    </row>
    <row r="4" spans="1:6" ht="13.8" x14ac:dyDescent="0.3">
      <c r="A4">
        <v>3</v>
      </c>
      <c r="B4" s="169" t="s">
        <v>39</v>
      </c>
    </row>
    <row r="5" spans="1:6" ht="13.8" x14ac:dyDescent="0.3">
      <c r="A5">
        <v>4</v>
      </c>
      <c r="B5" s="169" t="s">
        <v>42</v>
      </c>
      <c r="E5" s="448" t="s">
        <v>652</v>
      </c>
      <c r="F5" s="27" t="str">
        <f>F1&amp;" - "&amp;F2&amp;" "&amp;B1</f>
        <v>Empire - 2025 EE Portfolio Information</v>
      </c>
    </row>
    <row r="6" spans="1:6" ht="13.8" x14ac:dyDescent="0.3">
      <c r="A6">
        <v>5</v>
      </c>
      <c r="B6" s="169" t="s">
        <v>44</v>
      </c>
      <c r="E6" s="448" t="s">
        <v>653</v>
      </c>
      <c r="F6" s="27" t="str">
        <f>F1&amp;" - "&amp;F2&amp;" "&amp;B11</f>
        <v>Empire - 2025 Program Year Evaluation</v>
      </c>
    </row>
    <row r="7" spans="1:6" ht="13.8" x14ac:dyDescent="0.3">
      <c r="A7">
        <v>6</v>
      </c>
      <c r="B7" s="169" t="s">
        <v>654</v>
      </c>
    </row>
    <row r="8" spans="1:6" x14ac:dyDescent="0.25">
      <c r="E8" s="448" t="s">
        <v>655</v>
      </c>
      <c r="F8" t="str">
        <f>F2&amp;" "&amp;B1</f>
        <v>2025 EE Portfolio Information</v>
      </c>
    </row>
    <row r="9" spans="1:6" x14ac:dyDescent="0.25">
      <c r="E9" s="448" t="s">
        <v>656</v>
      </c>
      <c r="F9" t="str">
        <f>F2&amp;" "&amp;B11</f>
        <v>2025 Program Year Evaluation</v>
      </c>
    </row>
    <row r="10" spans="1:6" x14ac:dyDescent="0.25">
      <c r="E10" s="448" t="s">
        <v>657</v>
      </c>
      <c r="F10" s="448" t="s">
        <v>58</v>
      </c>
    </row>
    <row r="11" spans="1:6" x14ac:dyDescent="0.25">
      <c r="A11" s="448" t="s">
        <v>651</v>
      </c>
      <c r="B11" s="448" t="s">
        <v>558</v>
      </c>
    </row>
    <row r="12" spans="1:6" ht="13.8" x14ac:dyDescent="0.3">
      <c r="A12">
        <v>1</v>
      </c>
      <c r="B12" s="169" t="s">
        <v>48</v>
      </c>
      <c r="E12" s="83" t="str">
        <f>F3</f>
        <v>Electric</v>
      </c>
    </row>
    <row r="13" spans="1:6" ht="13.8" x14ac:dyDescent="0.3">
      <c r="A13">
        <v>2</v>
      </c>
      <c r="B13" s="169" t="s">
        <v>50</v>
      </c>
      <c r="E13" s="448" t="s">
        <v>658</v>
      </c>
      <c r="F13" t="str">
        <f>INDEX($B$24:$C$25,MATCH(E$12,$A$24:$A$25,0),MATCH($E13,$B$23:$C$23,0))</f>
        <v>kWh</v>
      </c>
    </row>
    <row r="14" spans="1:6" ht="13.8" x14ac:dyDescent="0.3">
      <c r="A14">
        <v>3</v>
      </c>
      <c r="B14" s="169" t="s">
        <v>52</v>
      </c>
      <c r="E14" s="448" t="s">
        <v>659</v>
      </c>
      <c r="F14" t="str">
        <f>INDEX($B$24:$C$25,MATCH(E$12,$A$24:$A$25,0),MATCH($E14,$B$23:$C$23,0))</f>
        <v>MWh</v>
      </c>
    </row>
    <row r="15" spans="1:6" ht="13.8" x14ac:dyDescent="0.3">
      <c r="A15">
        <v>4</v>
      </c>
      <c r="B15" s="169" t="s">
        <v>56</v>
      </c>
      <c r="C15" s="448" t="s">
        <v>660</v>
      </c>
      <c r="E15" s="448" t="s">
        <v>661</v>
      </c>
      <c r="F15" t="str">
        <f>INDEX($B$28:$C$29,MATCH(E$12,$A$28:$A$29,0),MATCH($E15,$B$27:$C$27,0))</f>
        <v>kW</v>
      </c>
    </row>
    <row r="16" spans="1:6" ht="13.8" x14ac:dyDescent="0.3">
      <c r="A16">
        <v>5</v>
      </c>
      <c r="B16" s="169" t="s">
        <v>57</v>
      </c>
      <c r="C16" s="448" t="s">
        <v>662</v>
      </c>
      <c r="E16" s="448" t="s">
        <v>663</v>
      </c>
      <c r="F16" t="str">
        <f>INDEX($B$28:$C$29,MATCH(E$12,$A$28:$A$29,0),MATCH($E16,$B$27:$C$27,0))</f>
        <v>MW</v>
      </c>
    </row>
    <row r="17" spans="1:3" ht="13.8" x14ac:dyDescent="0.3">
      <c r="A17">
        <v>6</v>
      </c>
      <c r="B17" s="169" t="s">
        <v>654</v>
      </c>
      <c r="C17" s="448"/>
    </row>
    <row r="19" spans="1:3" x14ac:dyDescent="0.25">
      <c r="B19" s="448" t="s">
        <v>664</v>
      </c>
    </row>
    <row r="20" spans="1:3" ht="13.8" x14ac:dyDescent="0.3">
      <c r="B20" s="169" t="s">
        <v>71</v>
      </c>
    </row>
    <row r="21" spans="1:3" ht="13.8" x14ac:dyDescent="0.3">
      <c r="B21" s="169" t="s">
        <v>665</v>
      </c>
    </row>
    <row r="23" spans="1:3" x14ac:dyDescent="0.25">
      <c r="B23" s="448" t="str">
        <f>E13</f>
        <v>Energy 1</v>
      </c>
      <c r="C23" s="448" t="str">
        <f>E14</f>
        <v>Energy 2</v>
      </c>
    </row>
    <row r="24" spans="1:3" ht="13.8" x14ac:dyDescent="0.3">
      <c r="A24" t="str">
        <f>B20</f>
        <v>Electric</v>
      </c>
      <c r="B24" s="169" t="s">
        <v>322</v>
      </c>
      <c r="C24" s="169" t="s">
        <v>666</v>
      </c>
    </row>
    <row r="25" spans="1:3" ht="13.8" x14ac:dyDescent="0.3">
      <c r="A25" t="str">
        <f>B21</f>
        <v>Natural Gas</v>
      </c>
      <c r="B25" s="169" t="s">
        <v>667</v>
      </c>
      <c r="C25" s="169" t="s">
        <v>667</v>
      </c>
    </row>
    <row r="27" spans="1:3" x14ac:dyDescent="0.25">
      <c r="B27" s="448" t="str">
        <f>E15</f>
        <v>Demand 1</v>
      </c>
      <c r="C27" s="448" t="str">
        <f>E16</f>
        <v>Demand 2</v>
      </c>
    </row>
    <row r="28" spans="1:3" ht="13.8" x14ac:dyDescent="0.3">
      <c r="A28" t="str">
        <f>B20</f>
        <v>Electric</v>
      </c>
      <c r="B28" s="169" t="s">
        <v>320</v>
      </c>
      <c r="C28" s="169" t="s">
        <v>668</v>
      </c>
    </row>
    <row r="29" spans="1:3" ht="13.8" x14ac:dyDescent="0.3">
      <c r="A29" t="str">
        <f>B21</f>
        <v>Natural Gas</v>
      </c>
      <c r="B29" s="169" t="s">
        <v>667</v>
      </c>
      <c r="C29" s="169" t="s">
        <v>667</v>
      </c>
    </row>
    <row r="32" spans="1:3" x14ac:dyDescent="0.25">
      <c r="B32" s="448" t="s">
        <v>669</v>
      </c>
    </row>
    <row r="33" spans="2:2" ht="13.8" x14ac:dyDescent="0.3">
      <c r="B33" s="169"/>
    </row>
  </sheetData>
  <phoneticPr fontId="0" type="noConversion"/>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tabColor rgb="FFFF0000"/>
  </sheetPr>
  <dimension ref="B1:K30"/>
  <sheetViews>
    <sheetView showGridLines="0" topLeftCell="A7" zoomScale="110" zoomScaleNormal="110" workbookViewId="0">
      <selection activeCell="E19" sqref="E19"/>
    </sheetView>
  </sheetViews>
  <sheetFormatPr defaultRowHeight="13.2" x14ac:dyDescent="0.25"/>
  <cols>
    <col min="1" max="1" width="1.77734375" customWidth="1"/>
    <col min="2" max="2" width="2.44140625" bestFit="1" customWidth="1"/>
    <col min="3" max="3" width="8" customWidth="1"/>
    <col min="4" max="4" width="26.44140625" bestFit="1" customWidth="1"/>
    <col min="5" max="5" width="15.44140625" customWidth="1"/>
    <col min="6" max="7" width="6.77734375" customWidth="1"/>
    <col min="8" max="8" width="9.77734375" customWidth="1"/>
    <col min="9" max="9" width="15.109375" hidden="1" customWidth="1"/>
    <col min="10" max="10" width="6.44140625" bestFit="1" customWidth="1"/>
    <col min="11" max="11" width="2.44140625" customWidth="1"/>
  </cols>
  <sheetData>
    <row r="1" spans="2:11" ht="9" customHeight="1" thickBot="1" x14ac:dyDescent="0.3"/>
    <row r="2" spans="2:11" ht="37.049999999999997" customHeight="1" x14ac:dyDescent="0.25">
      <c r="B2" s="697" t="s">
        <v>670</v>
      </c>
      <c r="C2" s="698"/>
      <c r="D2" s="698"/>
      <c r="E2" s="698"/>
      <c r="F2" s="698"/>
      <c r="G2" s="698"/>
      <c r="H2" s="698"/>
      <c r="I2" s="698"/>
      <c r="J2" s="698"/>
      <c r="K2" s="699"/>
    </row>
    <row r="3" spans="2:11" ht="60" customHeight="1" x14ac:dyDescent="0.25">
      <c r="B3" s="409"/>
      <c r="C3" s="410"/>
      <c r="D3" s="410"/>
      <c r="E3" s="410"/>
      <c r="F3" s="410"/>
      <c r="G3" s="410"/>
      <c r="H3" s="410"/>
      <c r="I3" s="410"/>
      <c r="J3" s="410"/>
      <c r="K3" s="411"/>
    </row>
    <row r="4" spans="2:11" x14ac:dyDescent="0.25">
      <c r="B4" s="8"/>
      <c r="K4" s="18"/>
    </row>
    <row r="5" spans="2:11" ht="13.8" x14ac:dyDescent="0.3">
      <c r="B5" s="400">
        <v>1</v>
      </c>
      <c r="C5" s="23" t="s">
        <v>32</v>
      </c>
      <c r="D5" s="23"/>
      <c r="E5" s="23" t="s">
        <v>671</v>
      </c>
      <c r="F5" s="449" t="s">
        <v>672</v>
      </c>
      <c r="I5" s="23" t="s">
        <v>671</v>
      </c>
      <c r="J5" s="449" t="s">
        <v>672</v>
      </c>
      <c r="K5" s="18"/>
    </row>
    <row r="6" spans="2:11" ht="15.6" x14ac:dyDescent="0.3">
      <c r="B6" s="401"/>
      <c r="C6" s="328" t="s">
        <v>33</v>
      </c>
      <c r="D6" s="396" t="s">
        <v>34</v>
      </c>
      <c r="E6" s="402">
        <f>'Utility Information'!N14</f>
        <v>0</v>
      </c>
      <c r="F6" s="404" t="str">
        <f>IF(E6=0,"ü","û")</f>
        <v>ü</v>
      </c>
      <c r="H6" s="403" t="s">
        <v>531</v>
      </c>
      <c r="I6" s="402"/>
      <c r="J6" s="408" t="s">
        <v>557</v>
      </c>
      <c r="K6" s="18"/>
    </row>
    <row r="7" spans="2:11" ht="15.6" x14ac:dyDescent="0.3">
      <c r="B7" s="401"/>
      <c r="C7" s="328" t="s">
        <v>35</v>
      </c>
      <c r="D7" s="326" t="s">
        <v>36</v>
      </c>
      <c r="E7" s="395">
        <f>'Program Descriptions'!L25</f>
        <v>0</v>
      </c>
      <c r="F7" s="405" t="str">
        <f>IF(E7=0,"ü","û")</f>
        <v>ü</v>
      </c>
      <c r="H7" s="394" t="s">
        <v>540</v>
      </c>
      <c r="I7" s="395">
        <f ca="1">'Table 2'!L30</f>
        <v>-2</v>
      </c>
      <c r="J7" s="405" t="str">
        <f ca="1">IF(I7=0,"ü","û")</f>
        <v>û</v>
      </c>
      <c r="K7" s="18"/>
    </row>
    <row r="8" spans="2:11" ht="15.6" x14ac:dyDescent="0.3">
      <c r="B8" s="401"/>
      <c r="C8" s="328"/>
      <c r="D8" s="397" t="s">
        <v>37</v>
      </c>
      <c r="E8" s="539"/>
      <c r="F8" s="407" t="s">
        <v>557</v>
      </c>
      <c r="H8" s="403" t="s">
        <v>543</v>
      </c>
      <c r="I8" s="402"/>
      <c r="J8" s="408" t="s">
        <v>557</v>
      </c>
      <c r="K8" s="18"/>
    </row>
    <row r="9" spans="2:11" ht="15.6" x14ac:dyDescent="0.3">
      <c r="B9" s="401"/>
      <c r="C9" s="328" t="s">
        <v>38</v>
      </c>
      <c r="D9" s="326" t="s">
        <v>39</v>
      </c>
      <c r="E9" s="395">
        <f>Budgets!N27</f>
        <v>0</v>
      </c>
      <c r="F9" s="405" t="str">
        <f>IF(E9=0,"ü","û")</f>
        <v>ü</v>
      </c>
      <c r="H9" s="394" t="s">
        <v>544</v>
      </c>
      <c r="I9" s="395"/>
      <c r="J9" s="412" t="s">
        <v>557</v>
      </c>
      <c r="K9" s="18"/>
    </row>
    <row r="10" spans="2:11" ht="15.6" x14ac:dyDescent="0.3">
      <c r="B10" s="401"/>
      <c r="C10" s="328"/>
      <c r="D10" s="397" t="s">
        <v>40</v>
      </c>
      <c r="E10" s="402">
        <f>'Rec1'!N29</f>
        <v>0</v>
      </c>
      <c r="F10" s="404" t="str">
        <f>IF(E10=0,"ü","û")</f>
        <v>ü</v>
      </c>
      <c r="H10" s="403" t="s">
        <v>601</v>
      </c>
      <c r="I10" s="402"/>
      <c r="J10" s="408" t="s">
        <v>557</v>
      </c>
      <c r="K10" s="18"/>
    </row>
    <row r="11" spans="2:11" ht="15.6" x14ac:dyDescent="0.3">
      <c r="B11" s="401"/>
      <c r="C11" s="328" t="s">
        <v>41</v>
      </c>
      <c r="D11" s="326" t="s">
        <v>42</v>
      </c>
      <c r="E11" s="395">
        <f>'Savings &amp; Participants'!N26</f>
        <v>0</v>
      </c>
      <c r="F11" s="405" t="str">
        <f>IF(E11=0,"ü","û")</f>
        <v>ü</v>
      </c>
      <c r="H11" s="394" t="s">
        <v>549</v>
      </c>
      <c r="I11" s="395">
        <f ca="1">'Report 1'!Q29</f>
        <v>0</v>
      </c>
      <c r="J11" s="405" t="str">
        <f ca="1">IF(I11=0,"ü","û")</f>
        <v>ü</v>
      </c>
      <c r="K11" s="18"/>
    </row>
    <row r="12" spans="2:11" ht="15.6" x14ac:dyDescent="0.3">
      <c r="B12" s="401"/>
      <c r="C12" s="328" t="s">
        <v>43</v>
      </c>
      <c r="D12" s="398" t="s">
        <v>44</v>
      </c>
      <c r="E12" s="540"/>
      <c r="F12" s="406" t="s">
        <v>557</v>
      </c>
      <c r="H12" s="403" t="s">
        <v>552</v>
      </c>
      <c r="I12" s="402"/>
      <c r="J12" s="408" t="s">
        <v>557</v>
      </c>
      <c r="K12" s="18"/>
    </row>
    <row r="13" spans="2:11" ht="15.6" x14ac:dyDescent="0.3">
      <c r="B13" s="401"/>
      <c r="C13" s="328"/>
      <c r="D13" s="329" t="s">
        <v>45</v>
      </c>
      <c r="E13" s="395">
        <f>External!D27</f>
        <v>0</v>
      </c>
      <c r="F13" s="405" t="str">
        <f>IF(E13=0,"ü","û")</f>
        <v>ü</v>
      </c>
      <c r="H13" s="394" t="s">
        <v>610</v>
      </c>
      <c r="I13" s="395"/>
      <c r="J13" s="412" t="s">
        <v>557</v>
      </c>
      <c r="K13" s="18"/>
    </row>
    <row r="14" spans="2:11" ht="15.6" x14ac:dyDescent="0.3">
      <c r="B14" s="401"/>
      <c r="C14" s="328"/>
      <c r="D14" s="397" t="s">
        <v>46</v>
      </c>
      <c r="E14" s="402">
        <f>Internal!B15</f>
        <v>0</v>
      </c>
      <c r="F14" s="404" t="str">
        <f>IF(E14=0,"ü","û")</f>
        <v>ü</v>
      </c>
      <c r="H14" s="403" t="s">
        <v>673</v>
      </c>
      <c r="I14" s="402"/>
      <c r="J14" s="408" t="s">
        <v>557</v>
      </c>
      <c r="K14" s="18"/>
    </row>
    <row r="15" spans="2:11" ht="15.6" x14ac:dyDescent="0.3">
      <c r="B15" s="400">
        <v>2</v>
      </c>
      <c r="C15" s="23" t="s">
        <v>47</v>
      </c>
      <c r="D15" s="24"/>
      <c r="E15" s="448"/>
      <c r="F15" s="399"/>
      <c r="K15" s="18"/>
    </row>
    <row r="16" spans="2:11" ht="15.6" x14ac:dyDescent="0.3">
      <c r="B16" s="401"/>
      <c r="C16" s="328" t="s">
        <v>33</v>
      </c>
      <c r="D16" s="396" t="s">
        <v>48</v>
      </c>
      <c r="E16" s="540"/>
      <c r="F16" s="408" t="s">
        <v>557</v>
      </c>
      <c r="K16" s="18"/>
    </row>
    <row r="17" spans="2:11" ht="15.6" x14ac:dyDescent="0.3">
      <c r="B17" s="401"/>
      <c r="C17" s="328"/>
      <c r="D17" s="329" t="s">
        <v>49</v>
      </c>
      <c r="E17" s="395">
        <f>'Rec2'!L11</f>
        <v>0</v>
      </c>
      <c r="F17" s="405" t="str">
        <f>IF(E17=0,"ü","û")</f>
        <v>ü</v>
      </c>
      <c r="K17" s="18"/>
    </row>
    <row r="18" spans="2:11" ht="15.6" x14ac:dyDescent="0.3">
      <c r="B18" s="401"/>
      <c r="C18" s="328" t="s">
        <v>35</v>
      </c>
      <c r="D18" s="398" t="s">
        <v>50</v>
      </c>
      <c r="E18" s="402">
        <f>'Evaluated Savings'!N26</f>
        <v>0</v>
      </c>
      <c r="F18" s="404" t="str">
        <f>IF(E18=0,"ü","û")</f>
        <v>ü</v>
      </c>
      <c r="K18" s="18"/>
    </row>
    <row r="19" spans="2:11" ht="15.6" x14ac:dyDescent="0.3">
      <c r="B19" s="401"/>
      <c r="C19" s="328"/>
      <c r="D19" s="329" t="s">
        <v>51</v>
      </c>
      <c r="E19" s="395">
        <f>'Savings Methodology'!N26</f>
        <v>0</v>
      </c>
      <c r="F19" s="405" t="str">
        <f>IF(E19=0,"ü","û")</f>
        <v>ü</v>
      </c>
      <c r="K19" s="18"/>
    </row>
    <row r="20" spans="2:11" ht="15.6" x14ac:dyDescent="0.3">
      <c r="B20" s="401"/>
      <c r="C20" s="328" t="s">
        <v>38</v>
      </c>
      <c r="D20" s="398" t="s">
        <v>52</v>
      </c>
      <c r="E20" s="402">
        <f>'Cost-Benefits'!P27</f>
        <v>0</v>
      </c>
      <c r="F20" s="404" t="str">
        <f>IF(E20=0,"ü","û")</f>
        <v>ü</v>
      </c>
      <c r="K20" s="18"/>
    </row>
    <row r="21" spans="2:11" ht="15.6" x14ac:dyDescent="0.3">
      <c r="B21" s="401"/>
      <c r="C21" s="328"/>
      <c r="D21" s="329" t="s">
        <v>53</v>
      </c>
      <c r="E21" s="395">
        <f>'Key Assumptions'!N6</f>
        <v>0</v>
      </c>
      <c r="F21" s="405" t="str">
        <f>IF(E21=0,"ü","û")</f>
        <v>ü</v>
      </c>
      <c r="K21" s="18"/>
    </row>
    <row r="22" spans="2:11" ht="15.6" x14ac:dyDescent="0.3">
      <c r="B22" s="401"/>
      <c r="C22" s="328"/>
      <c r="D22" s="397" t="s">
        <v>54</v>
      </c>
      <c r="E22" s="540"/>
      <c r="F22" s="408" t="s">
        <v>557</v>
      </c>
      <c r="K22" s="18"/>
    </row>
    <row r="23" spans="2:11" ht="15.6" x14ac:dyDescent="0.3">
      <c r="B23" s="401"/>
      <c r="C23" s="328"/>
      <c r="D23" s="329" t="s">
        <v>55</v>
      </c>
      <c r="E23" s="395">
        <f>'Other CB Test'!O27</f>
        <v>0</v>
      </c>
      <c r="F23" s="405" t="str">
        <f>IF(E23=0,"ü","û")</f>
        <v>ü</v>
      </c>
      <c r="K23" s="18"/>
    </row>
    <row r="24" spans="2:11" ht="15.6" x14ac:dyDescent="0.3">
      <c r="B24" s="401"/>
      <c r="C24" s="328" t="s">
        <v>41</v>
      </c>
      <c r="D24" s="398" t="s">
        <v>56</v>
      </c>
      <c r="E24" s="540"/>
      <c r="F24" s="408" t="s">
        <v>557</v>
      </c>
      <c r="K24" s="18"/>
    </row>
    <row r="25" spans="2:11" ht="15.6" x14ac:dyDescent="0.3">
      <c r="B25" s="401"/>
      <c r="C25" s="328" t="s">
        <v>43</v>
      </c>
      <c r="D25" s="326" t="s">
        <v>57</v>
      </c>
      <c r="E25" s="395" t="e">
        <f>#REF!</f>
        <v>#REF!</v>
      </c>
      <c r="F25" s="405" t="e">
        <f>IF(E25=0,"ü","û")</f>
        <v>#REF!</v>
      </c>
      <c r="K25" s="18"/>
    </row>
    <row r="26" spans="2:11" ht="15.6" x14ac:dyDescent="0.3">
      <c r="B26" s="400">
        <v>3</v>
      </c>
      <c r="C26" s="579" t="s">
        <v>58</v>
      </c>
      <c r="D26" s="579"/>
      <c r="E26" s="579"/>
      <c r="F26" s="399"/>
      <c r="K26" s="18"/>
    </row>
    <row r="27" spans="2:11" ht="15.6" x14ac:dyDescent="0.3">
      <c r="B27" s="401"/>
      <c r="C27" s="328" t="s">
        <v>33</v>
      </c>
      <c r="D27" s="396" t="s">
        <v>59</v>
      </c>
      <c r="E27" s="540"/>
      <c r="F27" s="408" t="s">
        <v>557</v>
      </c>
      <c r="K27" s="18"/>
    </row>
    <row r="28" spans="2:11" ht="15" x14ac:dyDescent="0.25">
      <c r="B28" s="22"/>
      <c r="C28" s="24"/>
      <c r="D28" s="329" t="s">
        <v>60</v>
      </c>
      <c r="E28" s="395">
        <f>'Prior Year Portfolio'!N14</f>
        <v>0</v>
      </c>
      <c r="F28" s="405" t="str">
        <f>IF(E28=0,"ü","û")</f>
        <v>ü</v>
      </c>
      <c r="K28" s="18"/>
    </row>
    <row r="29" spans="2:11" hidden="1" x14ac:dyDescent="0.25">
      <c r="B29" s="8"/>
      <c r="D29" s="541" t="s">
        <v>674</v>
      </c>
      <c r="E29" s="395" t="e">
        <f ca="1">SUM(E6:E28)+SUM(I6:I14)</f>
        <v>#REF!</v>
      </c>
      <c r="K29" s="18"/>
    </row>
    <row r="30" spans="2:11" x14ac:dyDescent="0.25">
      <c r="B30" s="300"/>
      <c r="C30" s="301"/>
      <c r="D30" s="301"/>
      <c r="E30" s="301"/>
      <c r="F30" s="301"/>
      <c r="G30" s="301"/>
      <c r="H30" s="301"/>
      <c r="I30" s="301"/>
      <c r="J30" s="301"/>
      <c r="K30" s="302"/>
    </row>
  </sheetData>
  <sheetProtection algorithmName="SHA-512" hashValue="DE5mLgCei6RQJb25AfoR8BwlFKdx+dn/pdhtBlcJciBLwy/zD6zJM2zY/NsV7nqJPh26nM6KFNSXyGdw26r6/w==" saltValue="9NVvsmFHlqyF8aMDcAUuWA==" spinCount="100000" sheet="1" objects="1" scenarios="1"/>
  <mergeCells count="2">
    <mergeCell ref="C26:E26"/>
    <mergeCell ref="B2:K2"/>
  </mergeCells>
  <conditionalFormatting sqref="J6:J14 F6:F28">
    <cfRule type="expression" dxfId="3" priority="1">
      <formula>E6=0</formula>
    </cfRule>
  </conditionalFormatting>
  <hyperlinks>
    <hyperlink ref="F6" location="'Utility Information'!A3" tooltip="Go to" display="'Utility Information'!A3" xr:uid="{00000000-0004-0000-2E00-000000000000}"/>
    <hyperlink ref="F7" location="'Program Descriptions'!A5" tooltip="Go to" display="'Program Descriptions'!A5" xr:uid="{00000000-0004-0000-2E00-000001000000}"/>
    <hyperlink ref="F10" location="'Rec1'!A1" tooltip="Go to" display="'Rec1'!A1" xr:uid="{00000000-0004-0000-2E00-000002000000}"/>
    <hyperlink ref="F9" location="Budgets!A5" tooltip="Go to" display="Budgets!A5" xr:uid="{00000000-0004-0000-2E00-000003000000}"/>
    <hyperlink ref="F11" location="'Savings &amp; Participants'!A6" tooltip="Go to" display="'Savings &amp; Participants'!A6" xr:uid="{00000000-0004-0000-2E00-000004000000}"/>
    <hyperlink ref="F12" location="Training!A3" tooltip="Go to" display="-" xr:uid="{00000000-0004-0000-2E00-000005000000}"/>
    <hyperlink ref="F13" location="External!A7" tooltip="Go to" display="External!A7" xr:uid="{00000000-0004-0000-2E00-000006000000}"/>
    <hyperlink ref="F14" location="Internal!A7" tooltip="Go to" display="Internal!A7" xr:uid="{00000000-0004-0000-2E00-000007000000}"/>
    <hyperlink ref="F8" location="'Program Detail'!A4" tooltip="Go to" display="-" xr:uid="{00000000-0004-0000-2E00-000008000000}"/>
    <hyperlink ref="F16" location="'Actual Expenses'!A5" tooltip="Go to" display="-" xr:uid="{00000000-0004-0000-2E00-000009000000}"/>
    <hyperlink ref="F17" location="'Rec2'!A1" tooltip="Go to" display="'Rec2'!A1" xr:uid="{00000000-0004-0000-2E00-00000A000000}"/>
    <hyperlink ref="F18" location="'Evaluated Savings'!A6" tooltip="Go to" display="'Evaluated Savings'!A6" xr:uid="{00000000-0004-0000-2E00-00000B000000}"/>
    <hyperlink ref="F19" location="'Savings Methodology'!A1" tooltip="Go to" display="'Savings Methodology'!A1" xr:uid="{00000000-0004-0000-2E00-00000C000000}"/>
    <hyperlink ref="F20" location="'Cost-Benefits'!A7" tooltip="Go to" display="'Cost-Benefits'!A7" xr:uid="{00000000-0004-0000-2E00-00000D000000}"/>
    <hyperlink ref="F21" location="'Key Assumptions'!A4" tooltip="Go to" display="'Key Assumptions'!A4" xr:uid="{00000000-0004-0000-2E00-00000E000000}"/>
    <hyperlink ref="F22" location="NEBs!A4" tooltip="Go to" display="-" xr:uid="{00000000-0004-0000-2E00-00000F000000}"/>
    <hyperlink ref="F23" location="'Other CB Test'!A1" tooltip="Go to" display="'Other CB Test'!A1" xr:uid="{00000000-0004-0000-2E00-000010000000}"/>
    <hyperlink ref="F24" location="LCFC!A3" tooltip="Go to" display="-" xr:uid="{00000000-0004-0000-2E00-000011000000}"/>
    <hyperlink ref="F25" location="Incentives!A3" tooltip="Go to" display="Incentives!A3" xr:uid="{00000000-0004-0000-2E00-000012000000}"/>
    <hyperlink ref="F27" location="'Prior Year Progam'!A5" tooltip="Go to" display="-" xr:uid="{00000000-0004-0000-2E00-000013000000}"/>
    <hyperlink ref="F28" location="'Prior Year Portfolio'!A1" tooltip="Go to" display="'Prior Year Portfolio'!A1" xr:uid="{00000000-0004-0000-2E00-000014000000}"/>
    <hyperlink ref="J6" location="'Table 1'!A1" display="-" xr:uid="{00000000-0004-0000-2E00-000015000000}"/>
    <hyperlink ref="J7" location="'Table 2'!A1" display="'Table 2'!A1" xr:uid="{00000000-0004-0000-2E00-000016000000}"/>
    <hyperlink ref="J8" location="'Table 3'!A1" display="-" xr:uid="{00000000-0004-0000-2E00-000017000000}"/>
    <hyperlink ref="J9" location="'Table 4'!A1" display="-" xr:uid="{00000000-0004-0000-2E00-000018000000}"/>
    <hyperlink ref="J10" location="'Table 5'!A1" display="-" xr:uid="{00000000-0004-0000-2E00-000019000000}"/>
    <hyperlink ref="J11" location="'Report 1'!A1" display="'Report 1'!A1" xr:uid="{00000000-0004-0000-2E00-00001A000000}"/>
    <hyperlink ref="J12" location="'Report 2'!A1" display="-" xr:uid="{00000000-0004-0000-2E00-00001B000000}"/>
    <hyperlink ref="J13" location="'Report 3'!A1" display="-" xr:uid="{00000000-0004-0000-2E00-00001C000000}"/>
    <hyperlink ref="J14" location="'PY Data'!A1" display="-" xr:uid="{00000000-0004-0000-2E00-00001D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tabColor rgb="FFFF0000"/>
  </sheetPr>
  <dimension ref="B2:G22"/>
  <sheetViews>
    <sheetView topLeftCell="A2" workbookViewId="0">
      <selection activeCell="P31" sqref="P31"/>
    </sheetView>
  </sheetViews>
  <sheetFormatPr defaultRowHeight="13.2" x14ac:dyDescent="0.25"/>
  <cols>
    <col min="1" max="1" width="2.21875" customWidth="1"/>
    <col min="2" max="2" width="10.44140625" customWidth="1"/>
    <col min="3" max="3" width="7.77734375" customWidth="1"/>
    <col min="4" max="4" width="9.44140625" customWidth="1"/>
    <col min="5" max="5" width="11.109375" customWidth="1"/>
    <col min="6" max="6" width="8.77734375" customWidth="1"/>
    <col min="7" max="7" width="7.88671875" customWidth="1"/>
  </cols>
  <sheetData>
    <row r="2" spans="2:7" ht="25.95" customHeight="1" x14ac:dyDescent="0.25">
      <c r="B2" s="542" t="s">
        <v>74</v>
      </c>
      <c r="C2" s="542" t="str">
        <f>Titles!B20</f>
        <v>Electric</v>
      </c>
      <c r="D2" s="542" t="str">
        <f>Titles!B21</f>
        <v>Natural Gas</v>
      </c>
      <c r="E2" s="542" t="s">
        <v>675</v>
      </c>
      <c r="F2" s="542" t="s">
        <v>676</v>
      </c>
      <c r="G2" s="542" t="s">
        <v>677</v>
      </c>
    </row>
    <row r="3" spans="2:7" x14ac:dyDescent="0.25">
      <c r="B3" s="489">
        <v>2011</v>
      </c>
      <c r="C3" s="543">
        <v>2.5000000000000001E-3</v>
      </c>
      <c r="D3" s="543">
        <v>2E-3</v>
      </c>
      <c r="E3" s="489">
        <v>2010</v>
      </c>
      <c r="F3" s="544" t="s">
        <v>678</v>
      </c>
      <c r="G3" s="544">
        <v>15</v>
      </c>
    </row>
    <row r="4" spans="2:7" x14ac:dyDescent="0.25">
      <c r="B4" s="489">
        <v>2012</v>
      </c>
      <c r="C4" s="543">
        <v>5.0000000000000001E-3</v>
      </c>
      <c r="D4" s="543">
        <v>3.0000000000000001E-3</v>
      </c>
      <c r="E4" s="489">
        <v>2010</v>
      </c>
      <c r="F4" s="544" t="s">
        <v>678</v>
      </c>
      <c r="G4" s="544">
        <v>15</v>
      </c>
    </row>
    <row r="5" spans="2:7" x14ac:dyDescent="0.25">
      <c r="B5" s="489">
        <v>2013</v>
      </c>
      <c r="C5" s="543">
        <v>7.4999999999999997E-3</v>
      </c>
      <c r="D5" s="543">
        <v>4.0000000000000001E-3</v>
      </c>
      <c r="E5" s="489">
        <v>2010</v>
      </c>
      <c r="F5" s="544" t="s">
        <v>678</v>
      </c>
      <c r="G5" s="544">
        <v>15</v>
      </c>
    </row>
    <row r="6" spans="2:7" x14ac:dyDescent="0.25">
      <c r="B6" s="489">
        <v>2014</v>
      </c>
      <c r="C6" s="543">
        <v>7.4999999999999997E-3</v>
      </c>
      <c r="D6" s="543">
        <v>4.0000000000000001E-3</v>
      </c>
      <c r="E6" s="489">
        <v>2010</v>
      </c>
      <c r="F6" s="544" t="s">
        <v>679</v>
      </c>
      <c r="G6" s="544">
        <v>2</v>
      </c>
    </row>
    <row r="7" spans="2:7" x14ac:dyDescent="0.25">
      <c r="B7" s="489">
        <v>2015</v>
      </c>
      <c r="C7" s="543">
        <v>8.9999999999999993E-3</v>
      </c>
      <c r="D7" s="543">
        <v>5.0000000000000001E-3</v>
      </c>
      <c r="E7" s="489">
        <v>2013</v>
      </c>
      <c r="F7" s="544" t="s">
        <v>679</v>
      </c>
      <c r="G7" s="544">
        <v>15</v>
      </c>
    </row>
    <row r="8" spans="2:7" x14ac:dyDescent="0.25">
      <c r="B8" s="489">
        <v>2016</v>
      </c>
      <c r="C8" s="543">
        <v>8.9999999999999993E-3</v>
      </c>
      <c r="D8" s="543">
        <v>5.0000000000000001E-3</v>
      </c>
      <c r="E8" s="489">
        <v>2014</v>
      </c>
      <c r="F8" s="544" t="s">
        <v>679</v>
      </c>
      <c r="G8" s="544">
        <v>25</v>
      </c>
    </row>
    <row r="9" spans="2:7" x14ac:dyDescent="0.25">
      <c r="B9" s="489">
        <v>2017</v>
      </c>
      <c r="C9" s="543">
        <v>8.9999999999999993E-3</v>
      </c>
      <c r="D9" s="543">
        <v>5.0000000000000001E-3</v>
      </c>
      <c r="E9" s="489">
        <v>2015</v>
      </c>
      <c r="F9" s="544" t="s">
        <v>679</v>
      </c>
      <c r="G9" s="544">
        <v>31</v>
      </c>
    </row>
    <row r="10" spans="2:7" x14ac:dyDescent="0.25">
      <c r="B10" s="489">
        <v>2018</v>
      </c>
      <c r="C10" s="543">
        <v>8.9999999999999993E-3</v>
      </c>
      <c r="D10" s="543">
        <v>5.0000000000000001E-3</v>
      </c>
      <c r="E10" s="489">
        <v>2015</v>
      </c>
      <c r="F10" s="544" t="s">
        <v>679</v>
      </c>
      <c r="G10" s="544">
        <v>31</v>
      </c>
    </row>
    <row r="11" spans="2:7" x14ac:dyDescent="0.25">
      <c r="B11" s="489">
        <v>2019</v>
      </c>
      <c r="C11" s="543">
        <v>0.01</v>
      </c>
      <c r="D11" s="543">
        <v>5.0000000000000001E-3</v>
      </c>
      <c r="E11" s="489">
        <v>2015</v>
      </c>
      <c r="F11" s="544" t="s">
        <v>679</v>
      </c>
      <c r="G11" s="544">
        <v>31</v>
      </c>
    </row>
    <row r="12" spans="2:7" x14ac:dyDescent="0.25">
      <c r="B12" s="489">
        <v>2020</v>
      </c>
      <c r="C12" s="543">
        <v>1.2E-2</v>
      </c>
      <c r="D12" s="543">
        <v>5.0000000000000001E-3</v>
      </c>
      <c r="E12" s="544">
        <v>2018</v>
      </c>
      <c r="F12" s="544" t="s">
        <v>679</v>
      </c>
      <c r="G12" s="544">
        <v>43</v>
      </c>
    </row>
    <row r="13" spans="2:7" x14ac:dyDescent="0.25">
      <c r="B13" s="489">
        <v>2021</v>
      </c>
      <c r="C13" s="543">
        <v>1.2E-2</v>
      </c>
      <c r="D13" s="543">
        <v>5.0000000000000001E-3</v>
      </c>
      <c r="E13" s="544">
        <v>2018</v>
      </c>
      <c r="F13" s="544" t="s">
        <v>679</v>
      </c>
      <c r="G13" s="544">
        <v>43</v>
      </c>
    </row>
    <row r="14" spans="2:7" x14ac:dyDescent="0.25">
      <c r="B14" s="489">
        <v>2022</v>
      </c>
      <c r="C14" s="543">
        <v>1.2E-2</v>
      </c>
      <c r="D14" s="543">
        <v>5.0000000000000001E-3</v>
      </c>
      <c r="E14" s="544">
        <v>2018</v>
      </c>
      <c r="F14" s="544" t="s">
        <v>679</v>
      </c>
      <c r="G14" s="544">
        <v>43</v>
      </c>
    </row>
    <row r="15" spans="2:7" x14ac:dyDescent="0.25">
      <c r="B15" s="489">
        <v>2023</v>
      </c>
      <c r="C15" s="543">
        <v>1.2E-2</v>
      </c>
      <c r="D15" s="543">
        <v>5.0000000000000001E-3</v>
      </c>
      <c r="E15" s="544">
        <v>2018</v>
      </c>
      <c r="F15" s="544" t="s">
        <v>679</v>
      </c>
      <c r="G15" s="544">
        <v>43</v>
      </c>
    </row>
    <row r="16" spans="2:7" x14ac:dyDescent="0.25">
      <c r="B16" s="489">
        <v>2024</v>
      </c>
      <c r="C16" s="543">
        <v>0</v>
      </c>
      <c r="D16" s="543">
        <v>0</v>
      </c>
      <c r="E16" s="544" t="s">
        <v>680</v>
      </c>
      <c r="F16" s="544"/>
      <c r="G16" s="544"/>
    </row>
    <row r="17" spans="2:7" x14ac:dyDescent="0.25">
      <c r="B17" s="489">
        <v>2025</v>
      </c>
      <c r="C17" s="543">
        <v>0</v>
      </c>
      <c r="D17" s="543">
        <v>0</v>
      </c>
      <c r="E17" s="544" t="s">
        <v>680</v>
      </c>
      <c r="F17" s="544"/>
      <c r="G17" s="544"/>
    </row>
    <row r="18" spans="2:7" x14ac:dyDescent="0.25">
      <c r="B18" s="489">
        <v>2026</v>
      </c>
      <c r="C18" s="543">
        <v>0</v>
      </c>
      <c r="D18" s="543">
        <v>0</v>
      </c>
      <c r="E18" s="544" t="s">
        <v>680</v>
      </c>
      <c r="F18" s="544"/>
      <c r="G18" s="544"/>
    </row>
    <row r="19" spans="2:7" x14ac:dyDescent="0.25">
      <c r="B19" s="489">
        <v>2027</v>
      </c>
      <c r="C19" s="543">
        <v>0</v>
      </c>
      <c r="D19" s="543">
        <v>0</v>
      </c>
      <c r="E19" s="544" t="s">
        <v>680</v>
      </c>
      <c r="F19" s="544"/>
      <c r="G19" s="544"/>
    </row>
    <row r="20" spans="2:7" x14ac:dyDescent="0.25">
      <c r="B20" s="489">
        <v>2028</v>
      </c>
      <c r="C20" s="543">
        <v>0</v>
      </c>
      <c r="D20" s="543">
        <v>0</v>
      </c>
      <c r="E20" s="544" t="s">
        <v>680</v>
      </c>
      <c r="F20" s="544"/>
      <c r="G20" s="544"/>
    </row>
    <row r="21" spans="2:7" x14ac:dyDescent="0.25">
      <c r="B21" s="489">
        <v>2029</v>
      </c>
      <c r="C21" s="543">
        <v>0</v>
      </c>
      <c r="D21" s="543">
        <v>0</v>
      </c>
      <c r="E21" s="544" t="s">
        <v>680</v>
      </c>
      <c r="F21" s="544"/>
      <c r="G21" s="544"/>
    </row>
    <row r="22" spans="2:7" x14ac:dyDescent="0.25">
      <c r="B22" s="489">
        <v>2030</v>
      </c>
      <c r="C22" s="543">
        <v>0</v>
      </c>
      <c r="D22" s="543">
        <v>0</v>
      </c>
      <c r="E22" s="544" t="s">
        <v>680</v>
      </c>
      <c r="F22" s="544"/>
      <c r="G22" s="5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A27"/>
  <sheetViews>
    <sheetView showGridLines="0" zoomScale="90" zoomScaleNormal="90" workbookViewId="0">
      <pane xSplit="3" ySplit="3" topLeftCell="M6" activePane="bottomRight" state="frozen"/>
      <selection activeCell="P31" sqref="P31"/>
      <selection pane="topRight" activeCell="P31" sqref="P31"/>
      <selection pane="bottomLeft" activeCell="P31" sqref="P31"/>
      <selection pane="bottomRight" activeCell="G7" sqref="G7"/>
    </sheetView>
  </sheetViews>
  <sheetFormatPr defaultColWidth="9.109375" defaultRowHeight="13.8" x14ac:dyDescent="0.3"/>
  <cols>
    <col min="1" max="1" width="1" style="2" customWidth="1"/>
    <col min="2" max="2" width="4.44140625" style="2" customWidth="1"/>
    <col min="3" max="3" width="35.109375" style="2" customWidth="1"/>
    <col min="4" max="4" width="9.44140625" style="2" customWidth="1"/>
    <col min="5" max="24" width="4.44140625" style="2" customWidth="1"/>
    <col min="25" max="25" width="3.21875" style="2" customWidth="1"/>
    <col min="26" max="52" width="4.44140625" style="2" customWidth="1"/>
    <col min="53" max="53" width="3.21875" style="2" customWidth="1"/>
    <col min="54" max="16384" width="9.109375" style="2"/>
  </cols>
  <sheetData>
    <row r="1" spans="2:53" ht="5.0999999999999996" customHeight="1" thickBot="1" x14ac:dyDescent="0.35"/>
    <row r="2" spans="2:53" ht="38.25" customHeight="1" thickBot="1" x14ac:dyDescent="0.35">
      <c r="B2" s="561" t="s">
        <v>108</v>
      </c>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61"/>
      <c r="AN2" s="561"/>
      <c r="AO2" s="561"/>
      <c r="AP2" s="561"/>
      <c r="AQ2" s="561"/>
      <c r="AR2" s="561"/>
      <c r="AS2" s="561"/>
      <c r="AT2" s="561"/>
      <c r="AU2" s="561"/>
      <c r="AV2" s="561"/>
      <c r="AW2" s="561"/>
      <c r="AX2" s="561"/>
      <c r="AY2" s="561"/>
      <c r="AZ2" s="561"/>
      <c r="BA2" s="561"/>
    </row>
    <row r="3" spans="2:53" ht="46.05" customHeight="1" x14ac:dyDescent="0.3">
      <c r="B3" s="456"/>
      <c r="C3" s="336"/>
      <c r="D3" s="336"/>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457"/>
    </row>
    <row r="4" spans="2:53" ht="6" customHeight="1" x14ac:dyDescent="0.3">
      <c r="B4" s="3"/>
      <c r="BA4" s="4"/>
    </row>
    <row r="5" spans="2:53" ht="19.5" customHeight="1" x14ac:dyDescent="0.3">
      <c r="B5" s="3"/>
      <c r="E5" s="587" t="s">
        <v>109</v>
      </c>
      <c r="F5" s="588"/>
      <c r="G5" s="588"/>
      <c r="H5" s="588"/>
      <c r="I5" s="588"/>
      <c r="J5" s="588"/>
      <c r="K5" s="588"/>
      <c r="L5" s="588"/>
      <c r="M5" s="588"/>
      <c r="N5" s="588"/>
      <c r="O5" s="588"/>
      <c r="P5" s="588"/>
      <c r="Q5" s="588"/>
      <c r="R5" s="588"/>
      <c r="S5" s="588"/>
      <c r="T5" s="588"/>
      <c r="U5" s="588"/>
      <c r="V5" s="588"/>
      <c r="W5" s="588"/>
      <c r="X5" s="589"/>
      <c r="Y5" s="587" t="s">
        <v>110</v>
      </c>
      <c r="Z5" s="588"/>
      <c r="AA5" s="588"/>
      <c r="AB5" s="588"/>
      <c r="AC5" s="588"/>
      <c r="AD5" s="588"/>
      <c r="AE5" s="588"/>
      <c r="AF5" s="588"/>
      <c r="AG5" s="588"/>
      <c r="AH5" s="588"/>
      <c r="AI5" s="588"/>
      <c r="AJ5" s="588"/>
      <c r="AK5" s="588"/>
      <c r="AL5" s="588"/>
      <c r="AM5" s="588"/>
      <c r="AN5" s="588"/>
      <c r="AO5" s="588"/>
      <c r="AP5" s="588"/>
      <c r="AQ5" s="589"/>
      <c r="AR5" s="587" t="s">
        <v>111</v>
      </c>
      <c r="AS5" s="588"/>
      <c r="AT5" s="588"/>
      <c r="AU5" s="588"/>
      <c r="AV5" s="588"/>
      <c r="AW5" s="588"/>
      <c r="AX5" s="588"/>
      <c r="AY5" s="588"/>
      <c r="AZ5" s="589"/>
      <c r="BA5" s="4"/>
    </row>
    <row r="6" spans="2:53" ht="152.25" customHeight="1" x14ac:dyDescent="0.3">
      <c r="B6" s="3"/>
      <c r="C6" s="338" t="s">
        <v>82</v>
      </c>
      <c r="D6" s="168"/>
      <c r="E6" s="459" t="s">
        <v>112</v>
      </c>
      <c r="F6" s="459" t="s">
        <v>113</v>
      </c>
      <c r="G6" s="459" t="s">
        <v>114</v>
      </c>
      <c r="H6" s="459" t="s">
        <v>115</v>
      </c>
      <c r="I6" s="459" t="s">
        <v>116</v>
      </c>
      <c r="J6" s="459" t="s">
        <v>117</v>
      </c>
      <c r="K6" s="459" t="s">
        <v>118</v>
      </c>
      <c r="L6" s="459" t="s">
        <v>119</v>
      </c>
      <c r="M6" s="459" t="s">
        <v>120</v>
      </c>
      <c r="N6" s="459" t="s">
        <v>121</v>
      </c>
      <c r="O6" s="459" t="s">
        <v>122</v>
      </c>
      <c r="P6" s="459" t="s">
        <v>123</v>
      </c>
      <c r="Q6" s="459" t="s">
        <v>124</v>
      </c>
      <c r="R6" s="459" t="s">
        <v>125</v>
      </c>
      <c r="S6" s="459" t="s">
        <v>126</v>
      </c>
      <c r="T6" s="459" t="s">
        <v>127</v>
      </c>
      <c r="U6" s="459" t="s">
        <v>103</v>
      </c>
      <c r="V6" s="459" t="s">
        <v>128</v>
      </c>
      <c r="W6" s="459" t="s">
        <v>129</v>
      </c>
      <c r="X6" s="459" t="s">
        <v>130</v>
      </c>
      <c r="Y6" s="459" t="s">
        <v>131</v>
      </c>
      <c r="Z6" s="459" t="s">
        <v>96</v>
      </c>
      <c r="AA6" s="459" t="s">
        <v>132</v>
      </c>
      <c r="AB6" s="459" t="s">
        <v>133</v>
      </c>
      <c r="AC6" s="459" t="s">
        <v>134</v>
      </c>
      <c r="AD6" s="459" t="s">
        <v>135</v>
      </c>
      <c r="AE6" s="459" t="s">
        <v>118</v>
      </c>
      <c r="AF6" s="459" t="s">
        <v>119</v>
      </c>
      <c r="AG6" s="459" t="s">
        <v>120</v>
      </c>
      <c r="AH6" s="459" t="s">
        <v>136</v>
      </c>
      <c r="AI6" s="459" t="s">
        <v>103</v>
      </c>
      <c r="AJ6" s="459" t="s">
        <v>137</v>
      </c>
      <c r="AK6" s="459" t="s">
        <v>138</v>
      </c>
      <c r="AL6" s="459" t="s">
        <v>139</v>
      </c>
      <c r="AM6" s="459" t="s">
        <v>140</v>
      </c>
      <c r="AN6" s="459" t="s">
        <v>141</v>
      </c>
      <c r="AO6" s="459" t="s">
        <v>142</v>
      </c>
      <c r="AP6" s="459" t="s">
        <v>143</v>
      </c>
      <c r="AQ6" s="459" t="s">
        <v>144</v>
      </c>
      <c r="AR6" s="459" t="s">
        <v>145</v>
      </c>
      <c r="AS6" s="459" t="s">
        <v>146</v>
      </c>
      <c r="AT6" s="459" t="s">
        <v>147</v>
      </c>
      <c r="AU6" s="459" t="s">
        <v>148</v>
      </c>
      <c r="AV6" s="459" t="s">
        <v>103</v>
      </c>
      <c r="AW6" s="459" t="s">
        <v>149</v>
      </c>
      <c r="AX6" s="459" t="s">
        <v>150</v>
      </c>
      <c r="AY6" s="459" t="s">
        <v>151</v>
      </c>
      <c r="AZ6" s="459" t="s">
        <v>152</v>
      </c>
      <c r="BA6" s="4"/>
    </row>
    <row r="7" spans="2:53" ht="15" customHeight="1" x14ac:dyDescent="0.3">
      <c r="B7" s="259">
        <v>1</v>
      </c>
      <c r="C7" s="260" t="str">
        <f>'Program Descriptions'!D5</f>
        <v>Residential Products</v>
      </c>
      <c r="D7" s="260"/>
      <c r="E7" s="423"/>
      <c r="F7" s="423"/>
      <c r="G7" s="423" t="s">
        <v>153</v>
      </c>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
    </row>
    <row r="8" spans="2:53" ht="15" customHeight="1" x14ac:dyDescent="0.3">
      <c r="B8" s="259">
        <v>2</v>
      </c>
      <c r="C8" s="260" t="str">
        <f>'Program Descriptions'!D6</f>
        <v>School-Based Energy Education</v>
      </c>
      <c r="D8" s="260"/>
      <c r="E8" s="423"/>
      <c r="F8" s="423" t="s">
        <v>153</v>
      </c>
      <c r="G8" s="423" t="s">
        <v>153</v>
      </c>
      <c r="H8" s="423" t="s">
        <v>153</v>
      </c>
      <c r="I8" s="423" t="s">
        <v>153</v>
      </c>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t="s">
        <v>153</v>
      </c>
      <c r="AU8" s="423"/>
      <c r="AV8" s="423"/>
      <c r="AW8" s="423"/>
      <c r="AX8" s="423"/>
      <c r="AY8" s="423"/>
      <c r="AZ8" s="423"/>
      <c r="BA8" s="4"/>
    </row>
    <row r="9" spans="2:53" ht="15" customHeight="1" x14ac:dyDescent="0.3">
      <c r="B9" s="259">
        <v>3</v>
      </c>
      <c r="C9" s="260" t="str">
        <f>'Program Descriptions'!D7</f>
        <v>Weatherization</v>
      </c>
      <c r="D9" s="260"/>
      <c r="E9" s="423"/>
      <c r="F9" s="423"/>
      <c r="G9" s="423"/>
      <c r="H9" s="423"/>
      <c r="I9" s="423"/>
      <c r="J9" s="423"/>
      <c r="K9" s="423"/>
      <c r="L9" s="423"/>
      <c r="M9" s="423"/>
      <c r="N9" s="423"/>
      <c r="O9" s="423"/>
      <c r="P9" s="423" t="s">
        <v>153</v>
      </c>
      <c r="Q9" s="423"/>
      <c r="R9" s="423"/>
      <c r="S9" s="423"/>
      <c r="T9" s="423"/>
      <c r="U9" s="423"/>
      <c r="V9" s="423" t="s">
        <v>153</v>
      </c>
      <c r="W9" s="423" t="s">
        <v>153</v>
      </c>
      <c r="X9" s="423" t="s">
        <v>153</v>
      </c>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
    </row>
    <row r="10" spans="2:53" ht="15" customHeight="1" x14ac:dyDescent="0.3">
      <c r="B10" s="259">
        <v>4</v>
      </c>
      <c r="C10" s="260" t="str">
        <f>'Program Descriptions'!D8</f>
        <v>Commercial and Industrial (Custom)</v>
      </c>
      <c r="D10" s="260"/>
      <c r="E10" s="423"/>
      <c r="F10" s="423"/>
      <c r="G10" s="423"/>
      <c r="H10" s="423"/>
      <c r="I10" s="423"/>
      <c r="J10" s="423"/>
      <c r="K10" s="423"/>
      <c r="L10" s="423"/>
      <c r="M10" s="423"/>
      <c r="N10" s="423"/>
      <c r="O10" s="423"/>
      <c r="P10" s="423"/>
      <c r="Q10" s="423"/>
      <c r="R10" s="423"/>
      <c r="S10" s="423"/>
      <c r="T10" s="423"/>
      <c r="U10" s="423"/>
      <c r="V10" s="423"/>
      <c r="W10" s="423"/>
      <c r="X10" s="423"/>
      <c r="Y10" s="423"/>
      <c r="Z10" s="423" t="s">
        <v>153</v>
      </c>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
    </row>
    <row r="11" spans="2:53" ht="15" customHeight="1" x14ac:dyDescent="0.3">
      <c r="B11" s="259">
        <v>5</v>
      </c>
      <c r="C11" s="260" t="str">
        <f>'Program Descriptions'!D9</f>
        <v>Commercial and Industrial (Prescriptive)</v>
      </c>
      <c r="D11" s="260"/>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t="s">
        <v>153</v>
      </c>
      <c r="AL11" s="423"/>
      <c r="AM11" s="423"/>
      <c r="AN11" s="423" t="s">
        <v>153</v>
      </c>
      <c r="AO11" s="423" t="s">
        <v>153</v>
      </c>
      <c r="AP11" s="423" t="s">
        <v>153</v>
      </c>
      <c r="AQ11" s="423"/>
      <c r="AR11" s="423"/>
      <c r="AS11" s="423"/>
      <c r="AT11" s="423"/>
      <c r="AU11" s="423"/>
      <c r="AV11" s="423"/>
      <c r="AW11" s="423"/>
      <c r="AX11" s="423"/>
      <c r="AY11" s="423"/>
      <c r="AZ11" s="423"/>
      <c r="BA11" s="4"/>
    </row>
    <row r="12" spans="2:53" ht="14.1" customHeight="1" x14ac:dyDescent="0.3">
      <c r="B12" s="259">
        <v>6</v>
      </c>
      <c r="C12" s="260" t="str">
        <f>'Program Descriptions'!D10</f>
        <v>Online Energy Calculator</v>
      </c>
      <c r="D12" s="260"/>
      <c r="E12" s="423"/>
      <c r="F12" s="423" t="s">
        <v>153</v>
      </c>
      <c r="G12" s="423"/>
      <c r="H12" s="423"/>
      <c r="I12" s="423"/>
      <c r="J12" s="423"/>
      <c r="K12" s="423"/>
      <c r="L12" s="423"/>
      <c r="M12" s="423"/>
      <c r="N12" s="423"/>
      <c r="O12" s="423"/>
      <c r="P12" s="423"/>
      <c r="Q12" s="423"/>
      <c r="R12" s="423"/>
      <c r="S12" s="423"/>
      <c r="T12" s="423"/>
      <c r="U12" s="423"/>
      <c r="V12" s="423"/>
      <c r="W12" s="423"/>
      <c r="X12" s="423"/>
      <c r="Y12" s="423" t="s">
        <v>153</v>
      </c>
      <c r="Z12" s="423"/>
      <c r="AA12" s="423"/>
      <c r="AB12" s="423"/>
      <c r="AC12" s="423"/>
      <c r="AD12" s="423"/>
      <c r="AE12" s="423"/>
      <c r="AF12" s="423"/>
      <c r="AG12" s="423"/>
      <c r="AH12" s="423"/>
      <c r="AI12" s="423" t="s">
        <v>153</v>
      </c>
      <c r="AJ12" s="423"/>
      <c r="AK12" s="423"/>
      <c r="AL12" s="423"/>
      <c r="AM12" s="423"/>
      <c r="AN12" s="423"/>
      <c r="AO12" s="423"/>
      <c r="AP12" s="423"/>
      <c r="AQ12" s="423"/>
      <c r="AR12" s="423"/>
      <c r="AS12" s="423"/>
      <c r="AT12" s="423" t="s">
        <v>153</v>
      </c>
      <c r="AU12" s="423"/>
      <c r="AV12" s="423"/>
      <c r="AW12" s="423"/>
      <c r="AX12" s="423"/>
      <c r="AY12" s="423"/>
      <c r="AZ12" s="423"/>
      <c r="BA12" s="4"/>
    </row>
    <row r="13" spans="2:53" ht="15" customHeight="1" x14ac:dyDescent="0.3">
      <c r="B13" s="259">
        <v>7</v>
      </c>
      <c r="C13" s="260" t="str">
        <f>'Program Descriptions'!C11</f>
        <v>Administration</v>
      </c>
      <c r="D13" s="260"/>
      <c r="E13" s="423"/>
      <c r="F13" s="423"/>
      <c r="G13" s="423"/>
      <c r="H13" s="423"/>
      <c r="I13" s="423"/>
      <c r="J13" s="423"/>
      <c r="K13" s="423"/>
      <c r="L13" s="423"/>
      <c r="M13" s="423"/>
      <c r="N13" s="423"/>
      <c r="O13" s="423"/>
      <c r="P13" s="423"/>
      <c r="Q13" s="423"/>
      <c r="R13" s="423"/>
      <c r="S13" s="423"/>
      <c r="T13" s="423"/>
      <c r="U13" s="423" t="s">
        <v>153</v>
      </c>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t="s">
        <v>153</v>
      </c>
      <c r="AW13" s="423"/>
      <c r="AX13" s="423"/>
      <c r="AY13" s="423"/>
      <c r="AZ13" s="423"/>
      <c r="BA13" s="4"/>
    </row>
    <row r="14" spans="2:53" ht="15" customHeight="1" x14ac:dyDescent="0.3">
      <c r="B14" s="259">
        <v>8</v>
      </c>
      <c r="C14" s="260" t="str">
        <f>'Program Descriptions'!C12</f>
        <v>Marketing</v>
      </c>
      <c r="D14" s="260"/>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t="s">
        <v>153</v>
      </c>
      <c r="AU14" s="423"/>
      <c r="AV14" s="423"/>
      <c r="AW14" s="423"/>
      <c r="AX14" s="423"/>
      <c r="AY14" s="423"/>
      <c r="AZ14" s="423"/>
      <c r="BA14" s="4"/>
    </row>
    <row r="15" spans="2:53" ht="15" customHeight="1" x14ac:dyDescent="0.3">
      <c r="B15" s="259">
        <v>9</v>
      </c>
      <c r="C15" s="260" t="str">
        <f>'Program Descriptions'!C13</f>
        <v>EM&amp;V</v>
      </c>
      <c r="D15" s="260"/>
      <c r="E15" s="423"/>
      <c r="F15" s="423"/>
      <c r="G15" s="423"/>
      <c r="H15" s="423"/>
      <c r="I15" s="423"/>
      <c r="J15" s="423"/>
      <c r="K15" s="423"/>
      <c r="L15" s="423"/>
      <c r="M15" s="423"/>
      <c r="N15" s="423"/>
      <c r="O15" s="423"/>
      <c r="P15" s="423"/>
      <c r="Q15" s="423"/>
      <c r="R15" s="423"/>
      <c r="S15" s="423"/>
      <c r="T15" s="423"/>
      <c r="U15" s="423" t="s">
        <v>153</v>
      </c>
      <c r="V15" s="423"/>
      <c r="W15" s="423"/>
      <c r="X15" s="423"/>
      <c r="Y15" s="423"/>
      <c r="Z15" s="423"/>
      <c r="AA15" s="423"/>
      <c r="AB15" s="423"/>
      <c r="AC15" s="423"/>
      <c r="AD15" s="423"/>
      <c r="AE15" s="423"/>
      <c r="AF15" s="423"/>
      <c r="AG15" s="423"/>
      <c r="AH15" s="423"/>
      <c r="AI15" s="423" t="s">
        <v>153</v>
      </c>
      <c r="AJ15" s="423"/>
      <c r="AK15" s="423"/>
      <c r="AL15" s="423"/>
      <c r="AM15" s="423"/>
      <c r="AN15" s="423"/>
      <c r="AO15" s="423"/>
      <c r="AP15" s="423"/>
      <c r="AQ15" s="423"/>
      <c r="AR15" s="423"/>
      <c r="AS15" s="423"/>
      <c r="AT15" s="423"/>
      <c r="AU15" s="423"/>
      <c r="AV15" s="423" t="s">
        <v>153</v>
      </c>
      <c r="AW15" s="423"/>
      <c r="AX15" s="423"/>
      <c r="AY15" s="423"/>
      <c r="AZ15" s="423"/>
      <c r="BA15" s="4"/>
    </row>
    <row r="16" spans="2:53" ht="15" hidden="1" customHeight="1" x14ac:dyDescent="0.3">
      <c r="B16" s="259">
        <v>10</v>
      </c>
      <c r="C16" s="260" t="str">
        <f>'Program Descriptions'!C14</f>
        <v>Empty</v>
      </c>
      <c r="D16" s="260"/>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
    </row>
    <row r="17" spans="2:53" ht="15" hidden="1" customHeight="1" x14ac:dyDescent="0.3">
      <c r="B17" s="259">
        <v>11</v>
      </c>
      <c r="C17" s="260" t="str">
        <f>'Program Descriptions'!C15</f>
        <v>Empty</v>
      </c>
      <c r="D17" s="260"/>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
    </row>
    <row r="18" spans="2:53" ht="15" hidden="1" customHeight="1" x14ac:dyDescent="0.3">
      <c r="B18" s="259">
        <v>12</v>
      </c>
      <c r="C18" s="260" t="str">
        <f>'Program Descriptions'!C16</f>
        <v>Empty</v>
      </c>
      <c r="D18" s="260"/>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
    </row>
    <row r="19" spans="2:53" ht="15" hidden="1" customHeight="1" x14ac:dyDescent="0.3">
      <c r="B19" s="259">
        <v>13</v>
      </c>
      <c r="C19" s="260" t="str">
        <f>'Program Descriptions'!C17</f>
        <v>Empty</v>
      </c>
      <c r="D19" s="260"/>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
    </row>
    <row r="20" spans="2:53" ht="15" hidden="1" customHeight="1" x14ac:dyDescent="0.3">
      <c r="B20" s="259">
        <v>14</v>
      </c>
      <c r="C20" s="260" t="str">
        <f>'Program Descriptions'!C18</f>
        <v>Empty</v>
      </c>
      <c r="D20" s="260"/>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
    </row>
    <row r="21" spans="2:53" ht="15" hidden="1" customHeight="1" x14ac:dyDescent="0.3">
      <c r="B21" s="259">
        <v>15</v>
      </c>
      <c r="C21" s="260" t="str">
        <f>'Program Descriptions'!C19</f>
        <v>Empty</v>
      </c>
      <c r="D21" s="260"/>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
    </row>
    <row r="22" spans="2:53" ht="15" hidden="1" customHeight="1" x14ac:dyDescent="0.3">
      <c r="B22" s="259">
        <v>16</v>
      </c>
      <c r="C22" s="260" t="str">
        <f>'Program Descriptions'!C20</f>
        <v>Empty</v>
      </c>
      <c r="D22" s="260"/>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3"/>
      <c r="BA22" s="4"/>
    </row>
    <row r="23" spans="2:53" ht="15" hidden="1" customHeight="1" x14ac:dyDescent="0.3">
      <c r="B23" s="259">
        <v>17</v>
      </c>
      <c r="C23" s="260" t="str">
        <f>'Program Descriptions'!C21</f>
        <v>Empty</v>
      </c>
      <c r="D23" s="260"/>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
    </row>
    <row r="24" spans="2:53" ht="15" hidden="1" customHeight="1" x14ac:dyDescent="0.3">
      <c r="B24" s="259">
        <v>18</v>
      </c>
      <c r="C24" s="260" t="str">
        <f>'Program Descriptions'!C22</f>
        <v>Empty</v>
      </c>
      <c r="D24" s="260"/>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
    </row>
    <row r="25" spans="2:53" ht="15" hidden="1" customHeight="1" x14ac:dyDescent="0.3">
      <c r="B25" s="259">
        <v>19</v>
      </c>
      <c r="C25" s="260" t="str">
        <f>'Program Descriptions'!C23</f>
        <v>Empty</v>
      </c>
      <c r="D25" s="260"/>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3"/>
      <c r="AW25" s="423"/>
      <c r="AX25" s="423"/>
      <c r="AY25" s="423"/>
      <c r="AZ25" s="423"/>
      <c r="BA25" s="4"/>
    </row>
    <row r="26" spans="2:53" ht="15" hidden="1" customHeight="1" x14ac:dyDescent="0.3">
      <c r="B26" s="259">
        <v>20</v>
      </c>
      <c r="C26" s="260" t="str">
        <f>'Program Descriptions'!C24</f>
        <v>Empty</v>
      </c>
      <c r="D26" s="260"/>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
    </row>
    <row r="27" spans="2:53" x14ac:dyDescent="0.3">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formatRows="0"/>
  <mergeCells count="4">
    <mergeCell ref="E5:X5"/>
    <mergeCell ref="Y5:AQ5"/>
    <mergeCell ref="AR5:AZ5"/>
    <mergeCell ref="B2:BA2"/>
  </mergeCells>
  <conditionalFormatting sqref="E7:AZ26">
    <cfRule type="expression" dxfId="86"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B115"/>
  <sheetViews>
    <sheetView showGridLines="0" zoomScale="90" zoomScaleNormal="90" workbookViewId="0">
      <pane ySplit="4" topLeftCell="A5" activePane="bottomLeft" state="frozen"/>
      <selection activeCell="P31" sqref="P31"/>
      <selection pane="bottomLeft" activeCell="M8" sqref="M8:M25"/>
    </sheetView>
  </sheetViews>
  <sheetFormatPr defaultColWidth="9.109375" defaultRowHeight="13.8" x14ac:dyDescent="0.3"/>
  <cols>
    <col min="1" max="1" width="1" style="2" customWidth="1"/>
    <col min="2" max="2" width="3.77734375" style="2" customWidth="1"/>
    <col min="3" max="3" width="35.77734375" style="2" customWidth="1"/>
    <col min="4" max="9" width="13.21875" style="2" customWidth="1"/>
    <col min="10" max="10" width="5.88671875" style="2" customWidth="1"/>
    <col min="11" max="11" width="8" style="2" customWidth="1"/>
    <col min="12" max="12" width="1" style="2" customWidth="1"/>
    <col min="13" max="13" width="16" style="2" customWidth="1"/>
    <col min="14" max="14" width="0" style="2" hidden="1" customWidth="1"/>
    <col min="15" max="15" width="9.109375" style="2"/>
    <col min="16" max="16" width="10.77734375" style="2" bestFit="1" customWidth="1"/>
    <col min="17" max="16384" width="9.109375" style="2"/>
  </cols>
  <sheetData>
    <row r="1" spans="2:28" ht="28.5" customHeight="1" x14ac:dyDescent="0.3"/>
    <row r="2" spans="2:28" ht="85.65" customHeight="1" x14ac:dyDescent="0.3">
      <c r="B2" s="453"/>
      <c r="C2" s="454"/>
      <c r="D2" s="454"/>
      <c r="E2" s="454"/>
      <c r="F2" s="454"/>
      <c r="G2" s="454"/>
      <c r="H2" s="454"/>
      <c r="I2" s="454"/>
      <c r="J2" s="454"/>
      <c r="K2" s="455"/>
    </row>
    <row r="3" spans="2:28" ht="12" customHeight="1" x14ac:dyDescent="0.3">
      <c r="B3" s="456"/>
      <c r="C3" s="339" t="str">
        <f>IF(N27&gt;0,"Incomplete - All yellow shaded cells must be completed.","")</f>
        <v/>
      </c>
      <c r="D3" s="336"/>
      <c r="E3" s="336"/>
      <c r="F3" s="336"/>
      <c r="G3" s="336"/>
      <c r="H3" s="336"/>
      <c r="I3" s="336"/>
      <c r="J3" s="336"/>
      <c r="K3" s="457"/>
    </row>
    <row r="4" spans="2:28" ht="42.75" customHeight="1" x14ac:dyDescent="0.3">
      <c r="B4" s="3"/>
      <c r="C4" s="9" t="s">
        <v>82</v>
      </c>
      <c r="D4" s="261" t="str">
        <f>Cost!B4</f>
        <v>Planning / Design</v>
      </c>
      <c r="E4" s="261" t="str">
        <f>Cost!C4</f>
        <v>Marketing &amp; Delivery</v>
      </c>
      <c r="F4" s="261" t="str">
        <f>Cost!B14</f>
        <v>Incentives / Direct Install Costs</v>
      </c>
      <c r="G4" s="261" t="str">
        <f>Cost!C19</f>
        <v>EM&amp;V</v>
      </c>
      <c r="H4" s="261" t="str">
        <f>Cost!B25</f>
        <v>Administration</v>
      </c>
      <c r="I4" s="262" t="s">
        <v>154</v>
      </c>
      <c r="K4" s="4"/>
    </row>
    <row r="5" spans="2:28" ht="15" customHeight="1" x14ac:dyDescent="0.3">
      <c r="B5" s="259">
        <v>1</v>
      </c>
      <c r="C5" s="260" t="str">
        <f>'Program Descriptions'!D5</f>
        <v>Residential Products</v>
      </c>
      <c r="D5" s="460">
        <v>0</v>
      </c>
      <c r="E5" s="460">
        <v>0</v>
      </c>
      <c r="F5" s="460">
        <v>34885</v>
      </c>
      <c r="G5" s="460">
        <v>0</v>
      </c>
      <c r="H5" s="460">
        <v>0</v>
      </c>
      <c r="I5" s="11">
        <f>SUM(D5:H5)</f>
        <v>34885</v>
      </c>
      <c r="J5" s="62"/>
      <c r="K5" s="4"/>
      <c r="N5" s="321">
        <f>IF(C5="Empty",0,IF(OR(ISBLANK(D5),ISBLANK(E5),ISBLANK(F5),ISBLANK(G5),ISBLANK(H5)),1,0))</f>
        <v>0</v>
      </c>
      <c r="O5"/>
      <c r="P5"/>
      <c r="Q5"/>
      <c r="R5"/>
      <c r="S5"/>
      <c r="T5"/>
      <c r="U5"/>
      <c r="V5"/>
      <c r="W5"/>
      <c r="X5"/>
      <c r="Y5"/>
      <c r="Z5"/>
      <c r="AA5"/>
      <c r="AB5"/>
    </row>
    <row r="6" spans="2:28" ht="15" customHeight="1" x14ac:dyDescent="0.3">
      <c r="B6" s="259">
        <v>2</v>
      </c>
      <c r="C6" s="260" t="str">
        <f>'Program Descriptions'!D6</f>
        <v>School-Based Energy Education</v>
      </c>
      <c r="D6" s="460">
        <v>0</v>
      </c>
      <c r="E6" s="460">
        <v>0</v>
      </c>
      <c r="F6" s="460">
        <v>16250</v>
      </c>
      <c r="G6" s="460">
        <v>0</v>
      </c>
      <c r="H6" s="460">
        <v>0</v>
      </c>
      <c r="I6" s="11">
        <f t="shared" ref="I6:I24" si="0">SUM(D6:H6)</f>
        <v>16250</v>
      </c>
      <c r="K6" s="707"/>
      <c r="N6" s="321">
        <f>IF(C6="Empty",0,IF(OR(ISBLANK(D6),ISBLANK(E6),ISBLANK(F6),ISBLANK(G6),ISBLANK(H6)),1,0))</f>
        <v>0</v>
      </c>
      <c r="O6"/>
      <c r="P6"/>
      <c r="Q6"/>
      <c r="R6"/>
      <c r="S6"/>
      <c r="T6"/>
      <c r="U6"/>
      <c r="V6"/>
      <c r="W6"/>
      <c r="X6"/>
      <c r="Y6"/>
      <c r="Z6"/>
      <c r="AA6"/>
      <c r="AB6"/>
    </row>
    <row r="7" spans="2:28" ht="15" customHeight="1" x14ac:dyDescent="0.3">
      <c r="B7" s="259">
        <v>3</v>
      </c>
      <c r="C7" s="260" t="str">
        <f>'Program Descriptions'!D7</f>
        <v>Weatherization</v>
      </c>
      <c r="D7" s="460">
        <v>0</v>
      </c>
      <c r="E7" s="460">
        <v>0</v>
      </c>
      <c r="F7" s="460">
        <v>24454</v>
      </c>
      <c r="G7" s="460">
        <v>0</v>
      </c>
      <c r="H7" s="460">
        <v>0</v>
      </c>
      <c r="I7" s="11">
        <f t="shared" si="0"/>
        <v>24454</v>
      </c>
      <c r="K7" s="4"/>
      <c r="N7" s="321">
        <f t="shared" ref="N7:N24" si="1">IF(C7="Empty",0,IF(OR(ISBLANK(D7),ISBLANK(E7),ISBLANK(F7),ISBLANK(G7),ISBLANK(H7)),1,0))</f>
        <v>0</v>
      </c>
      <c r="O7"/>
      <c r="P7"/>
      <c r="Q7"/>
      <c r="R7"/>
      <c r="S7"/>
      <c r="T7"/>
      <c r="U7"/>
      <c r="V7"/>
      <c r="W7"/>
      <c r="X7"/>
      <c r="Y7"/>
      <c r="Z7"/>
      <c r="AA7"/>
      <c r="AB7"/>
    </row>
    <row r="8" spans="2:28" ht="15" customHeight="1" x14ac:dyDescent="0.3">
      <c r="B8" s="259">
        <v>4</v>
      </c>
      <c r="C8" s="260" t="str">
        <f>'Program Descriptions'!D8</f>
        <v>Commercial and Industrial (Custom)</v>
      </c>
      <c r="D8" s="460">
        <v>0</v>
      </c>
      <c r="E8" s="460">
        <v>0</v>
      </c>
      <c r="F8" s="460">
        <v>5812</v>
      </c>
      <c r="G8" s="460">
        <v>0</v>
      </c>
      <c r="H8" s="460">
        <v>0</v>
      </c>
      <c r="I8" s="11">
        <f t="shared" si="0"/>
        <v>5812</v>
      </c>
      <c r="K8" s="4"/>
      <c r="M8" s="708"/>
      <c r="N8" s="321">
        <f t="shared" si="1"/>
        <v>0</v>
      </c>
      <c r="O8"/>
      <c r="P8"/>
      <c r="Q8"/>
      <c r="R8"/>
      <c r="S8"/>
      <c r="T8"/>
      <c r="U8"/>
      <c r="V8"/>
      <c r="W8"/>
      <c r="X8"/>
      <c r="Y8"/>
      <c r="Z8"/>
      <c r="AA8"/>
      <c r="AB8"/>
    </row>
    <row r="9" spans="2:28" ht="15" customHeight="1" x14ac:dyDescent="0.3">
      <c r="B9" s="259">
        <v>5</v>
      </c>
      <c r="C9" s="260" t="str">
        <f>'Program Descriptions'!D9</f>
        <v>Commercial and Industrial (Prescriptive)</v>
      </c>
      <c r="D9" s="460">
        <v>0</v>
      </c>
      <c r="E9" s="460">
        <v>0</v>
      </c>
      <c r="F9" s="460">
        <v>5000</v>
      </c>
      <c r="G9" s="460">
        <v>0</v>
      </c>
      <c r="H9" s="460">
        <v>0</v>
      </c>
      <c r="I9" s="11">
        <f t="shared" si="0"/>
        <v>5000</v>
      </c>
      <c r="K9" s="4"/>
      <c r="M9" s="708"/>
      <c r="N9" s="321">
        <f t="shared" si="1"/>
        <v>0</v>
      </c>
      <c r="O9"/>
      <c r="P9"/>
      <c r="Q9"/>
      <c r="R9"/>
      <c r="S9"/>
      <c r="T9"/>
      <c r="U9"/>
      <c r="V9"/>
      <c r="W9"/>
      <c r="X9"/>
      <c r="Y9"/>
      <c r="Z9"/>
      <c r="AA9"/>
      <c r="AB9"/>
    </row>
    <row r="10" spans="2:28" ht="15" customHeight="1" x14ac:dyDescent="0.3">
      <c r="B10" s="259">
        <v>6</v>
      </c>
      <c r="C10" s="260" t="str">
        <f>'Program Descriptions'!D10</f>
        <v>Online Energy Calculator</v>
      </c>
      <c r="D10" s="460">
        <v>0</v>
      </c>
      <c r="E10" s="460">
        <v>4000</v>
      </c>
      <c r="F10" s="460">
        <v>0</v>
      </c>
      <c r="G10" s="460">
        <v>0</v>
      </c>
      <c r="H10" s="460">
        <v>0</v>
      </c>
      <c r="I10" s="11">
        <f t="shared" si="0"/>
        <v>4000</v>
      </c>
      <c r="K10" s="4"/>
      <c r="M10" s="708"/>
      <c r="N10" s="321">
        <f t="shared" si="1"/>
        <v>0</v>
      </c>
      <c r="O10"/>
      <c r="P10"/>
      <c r="Q10"/>
      <c r="R10"/>
      <c r="S10"/>
      <c r="T10"/>
      <c r="U10"/>
      <c r="V10"/>
      <c r="W10"/>
      <c r="X10"/>
      <c r="Y10"/>
      <c r="Z10"/>
      <c r="AA10"/>
      <c r="AB10"/>
    </row>
    <row r="11" spans="2:28" ht="15" customHeight="1" x14ac:dyDescent="0.3">
      <c r="B11" s="259">
        <v>7</v>
      </c>
      <c r="C11" s="260" t="str">
        <f>'Program Descriptions'!C11</f>
        <v>Administration</v>
      </c>
      <c r="D11" s="460">
        <v>0</v>
      </c>
      <c r="E11" s="460">
        <v>0</v>
      </c>
      <c r="F11" s="460">
        <v>0</v>
      </c>
      <c r="G11" s="460">
        <v>0</v>
      </c>
      <c r="H11" s="460">
        <v>10000</v>
      </c>
      <c r="I11" s="11">
        <f t="shared" si="0"/>
        <v>10000</v>
      </c>
      <c r="K11" s="4"/>
      <c r="M11" s="708"/>
      <c r="N11" s="321">
        <f t="shared" si="1"/>
        <v>0</v>
      </c>
      <c r="O11"/>
      <c r="P11"/>
      <c r="Q11"/>
      <c r="R11"/>
      <c r="S11"/>
      <c r="T11"/>
      <c r="U11"/>
      <c r="V11"/>
      <c r="W11"/>
      <c r="X11"/>
      <c r="Y11"/>
      <c r="Z11"/>
      <c r="AA11"/>
      <c r="AB11"/>
    </row>
    <row r="12" spans="2:28" ht="15" customHeight="1" x14ac:dyDescent="0.3">
      <c r="B12" s="259">
        <v>8</v>
      </c>
      <c r="C12" s="260" t="str">
        <f>'Program Descriptions'!C12</f>
        <v>Marketing</v>
      </c>
      <c r="D12" s="460">
        <v>0</v>
      </c>
      <c r="E12" s="460">
        <v>1200</v>
      </c>
      <c r="F12" s="460">
        <v>0</v>
      </c>
      <c r="G12" s="460">
        <v>0</v>
      </c>
      <c r="H12" s="460">
        <v>0</v>
      </c>
      <c r="I12" s="11">
        <f t="shared" si="0"/>
        <v>1200</v>
      </c>
      <c r="K12" s="4"/>
      <c r="M12" s="708"/>
      <c r="N12" s="321">
        <f t="shared" si="1"/>
        <v>0</v>
      </c>
      <c r="O12"/>
      <c r="P12"/>
      <c r="Q12"/>
      <c r="R12"/>
      <c r="S12"/>
      <c r="T12"/>
      <c r="U12"/>
      <c r="V12"/>
      <c r="W12"/>
      <c r="X12"/>
      <c r="Y12"/>
      <c r="Z12"/>
      <c r="AA12"/>
      <c r="AB12"/>
    </row>
    <row r="13" spans="2:28" ht="14.4" thickBot="1" x14ac:dyDescent="0.35">
      <c r="B13" s="259">
        <v>9</v>
      </c>
      <c r="C13" s="260" t="str">
        <f>'Program Descriptions'!C13</f>
        <v>EM&amp;V</v>
      </c>
      <c r="D13" s="460">
        <v>0</v>
      </c>
      <c r="E13" s="460">
        <v>0</v>
      </c>
      <c r="F13" s="460">
        <v>0</v>
      </c>
      <c r="G13" s="460">
        <v>2500</v>
      </c>
      <c r="H13" s="460">
        <v>0</v>
      </c>
      <c r="I13" s="11">
        <f t="shared" si="0"/>
        <v>2500</v>
      </c>
      <c r="K13" s="4"/>
      <c r="M13" s="708"/>
      <c r="N13" s="321">
        <f t="shared" si="1"/>
        <v>0</v>
      </c>
      <c r="O13"/>
      <c r="P13"/>
      <c r="Q13"/>
      <c r="R13"/>
      <c r="S13"/>
      <c r="T13"/>
      <c r="U13"/>
      <c r="V13"/>
      <c r="W13"/>
      <c r="X13"/>
      <c r="Y13"/>
      <c r="Z13"/>
      <c r="AA13"/>
      <c r="AB13"/>
    </row>
    <row r="14" spans="2:28" hidden="1" x14ac:dyDescent="0.3">
      <c r="B14" s="259">
        <v>10</v>
      </c>
      <c r="C14" s="260" t="str">
        <f>'Program Descriptions'!C14</f>
        <v>Empty</v>
      </c>
      <c r="D14" s="460">
        <v>0</v>
      </c>
      <c r="E14" s="460">
        <v>0</v>
      </c>
      <c r="F14" s="460">
        <v>0</v>
      </c>
      <c r="G14" s="460">
        <v>0</v>
      </c>
      <c r="H14" s="460">
        <v>0</v>
      </c>
      <c r="I14" s="11">
        <f t="shared" si="0"/>
        <v>0</v>
      </c>
      <c r="K14" s="4"/>
      <c r="M14" s="708"/>
      <c r="N14" s="321">
        <f t="shared" si="1"/>
        <v>0</v>
      </c>
      <c r="O14"/>
      <c r="P14"/>
      <c r="Q14"/>
      <c r="R14"/>
      <c r="S14"/>
      <c r="T14"/>
      <c r="U14"/>
      <c r="V14"/>
      <c r="W14"/>
      <c r="X14"/>
      <c r="Y14"/>
      <c r="Z14"/>
      <c r="AA14"/>
      <c r="AB14"/>
    </row>
    <row r="15" spans="2:28" hidden="1" x14ac:dyDescent="0.3">
      <c r="B15" s="259">
        <v>11</v>
      </c>
      <c r="C15" s="260" t="str">
        <f>'Program Descriptions'!C15</f>
        <v>Empty</v>
      </c>
      <c r="D15" s="460"/>
      <c r="E15" s="460"/>
      <c r="F15" s="460"/>
      <c r="G15" s="460"/>
      <c r="H15" s="460"/>
      <c r="I15" s="11">
        <f t="shared" si="0"/>
        <v>0</v>
      </c>
      <c r="K15" s="4"/>
      <c r="M15" s="708"/>
      <c r="N15" s="321">
        <f t="shared" si="1"/>
        <v>0</v>
      </c>
      <c r="O15"/>
      <c r="P15"/>
      <c r="Q15"/>
      <c r="R15"/>
      <c r="S15"/>
      <c r="T15"/>
      <c r="U15"/>
      <c r="V15"/>
      <c r="W15"/>
      <c r="X15"/>
      <c r="Y15"/>
      <c r="Z15"/>
      <c r="AA15"/>
      <c r="AB15"/>
    </row>
    <row r="16" spans="2:28" hidden="1" x14ac:dyDescent="0.3">
      <c r="B16" s="259">
        <v>12</v>
      </c>
      <c r="C16" s="260" t="str">
        <f>'Program Descriptions'!C16</f>
        <v>Empty</v>
      </c>
      <c r="D16" s="460"/>
      <c r="E16" s="460"/>
      <c r="F16" s="460"/>
      <c r="G16" s="460"/>
      <c r="H16" s="460"/>
      <c r="I16" s="11">
        <f t="shared" si="0"/>
        <v>0</v>
      </c>
      <c r="K16" s="4"/>
      <c r="M16" s="708"/>
      <c r="N16" s="321">
        <f t="shared" si="1"/>
        <v>0</v>
      </c>
      <c r="O16"/>
      <c r="P16"/>
      <c r="Q16"/>
      <c r="R16"/>
      <c r="S16"/>
      <c r="T16"/>
      <c r="U16"/>
      <c r="V16"/>
      <c r="W16"/>
      <c r="X16"/>
      <c r="Y16"/>
      <c r="Z16"/>
      <c r="AA16"/>
      <c r="AB16"/>
    </row>
    <row r="17" spans="2:28" hidden="1" x14ac:dyDescent="0.3">
      <c r="B17" s="259">
        <v>13</v>
      </c>
      <c r="C17" s="260" t="str">
        <f>'Program Descriptions'!C17</f>
        <v>Empty</v>
      </c>
      <c r="D17" s="460"/>
      <c r="E17" s="460"/>
      <c r="F17" s="460"/>
      <c r="G17" s="460"/>
      <c r="H17" s="460"/>
      <c r="I17" s="11">
        <f t="shared" si="0"/>
        <v>0</v>
      </c>
      <c r="K17" s="4"/>
      <c r="M17" s="708"/>
      <c r="N17" s="321">
        <f t="shared" si="1"/>
        <v>0</v>
      </c>
      <c r="O17"/>
      <c r="P17"/>
      <c r="Q17"/>
      <c r="R17"/>
      <c r="S17"/>
      <c r="T17"/>
      <c r="U17"/>
      <c r="V17"/>
      <c r="W17"/>
      <c r="X17"/>
      <c r="Y17"/>
      <c r="Z17"/>
      <c r="AA17"/>
      <c r="AB17"/>
    </row>
    <row r="18" spans="2:28" hidden="1" x14ac:dyDescent="0.3">
      <c r="B18" s="259">
        <v>14</v>
      </c>
      <c r="C18" s="260" t="str">
        <f>'Program Descriptions'!C18</f>
        <v>Empty</v>
      </c>
      <c r="D18" s="460"/>
      <c r="E18" s="460"/>
      <c r="F18" s="460"/>
      <c r="G18" s="460"/>
      <c r="H18" s="460"/>
      <c r="I18" s="11">
        <f t="shared" si="0"/>
        <v>0</v>
      </c>
      <c r="K18" s="4"/>
      <c r="M18" s="708"/>
      <c r="N18" s="321">
        <f t="shared" si="1"/>
        <v>0</v>
      </c>
      <c r="O18"/>
      <c r="P18"/>
      <c r="Q18"/>
      <c r="R18"/>
      <c r="S18"/>
      <c r="T18"/>
      <c r="U18"/>
      <c r="V18"/>
      <c r="W18"/>
      <c r="X18"/>
      <c r="Y18"/>
      <c r="Z18"/>
      <c r="AA18"/>
      <c r="AB18"/>
    </row>
    <row r="19" spans="2:28" hidden="1" x14ac:dyDescent="0.3">
      <c r="B19" s="259">
        <v>15</v>
      </c>
      <c r="C19" s="260" t="str">
        <f>'Program Descriptions'!C19</f>
        <v>Empty</v>
      </c>
      <c r="D19" s="460"/>
      <c r="E19" s="460"/>
      <c r="F19" s="460"/>
      <c r="G19" s="460"/>
      <c r="H19" s="460"/>
      <c r="I19" s="11">
        <f t="shared" si="0"/>
        <v>0</v>
      </c>
      <c r="K19" s="4"/>
      <c r="M19" s="708"/>
      <c r="N19" s="321">
        <f t="shared" si="1"/>
        <v>0</v>
      </c>
      <c r="O19"/>
      <c r="P19"/>
      <c r="Q19"/>
      <c r="R19"/>
      <c r="S19"/>
      <c r="T19"/>
      <c r="U19"/>
      <c r="V19"/>
      <c r="W19"/>
      <c r="X19"/>
      <c r="Y19"/>
      <c r="Z19"/>
      <c r="AA19"/>
      <c r="AB19"/>
    </row>
    <row r="20" spans="2:28" hidden="1" x14ac:dyDescent="0.3">
      <c r="B20" s="259">
        <v>16</v>
      </c>
      <c r="C20" s="260" t="str">
        <f>'Program Descriptions'!C20</f>
        <v>Empty</v>
      </c>
      <c r="D20" s="460"/>
      <c r="E20" s="460"/>
      <c r="F20" s="460"/>
      <c r="G20" s="460"/>
      <c r="H20" s="460"/>
      <c r="I20" s="11">
        <f t="shared" si="0"/>
        <v>0</v>
      </c>
      <c r="K20" s="4"/>
      <c r="M20" s="708"/>
      <c r="N20" s="321">
        <f t="shared" si="1"/>
        <v>0</v>
      </c>
      <c r="O20"/>
      <c r="P20"/>
      <c r="Q20"/>
      <c r="R20"/>
      <c r="S20"/>
      <c r="T20"/>
      <c r="U20"/>
      <c r="V20"/>
      <c r="W20"/>
      <c r="X20"/>
      <c r="Y20"/>
      <c r="Z20"/>
      <c r="AA20"/>
      <c r="AB20"/>
    </row>
    <row r="21" spans="2:28" hidden="1" x14ac:dyDescent="0.3">
      <c r="B21" s="259">
        <v>17</v>
      </c>
      <c r="C21" s="260" t="str">
        <f>'Program Descriptions'!C21</f>
        <v>Empty</v>
      </c>
      <c r="D21" s="425"/>
      <c r="E21" s="425"/>
      <c r="F21" s="425"/>
      <c r="G21" s="425"/>
      <c r="H21" s="425"/>
      <c r="I21" s="11">
        <f t="shared" si="0"/>
        <v>0</v>
      </c>
      <c r="K21" s="4"/>
      <c r="M21" s="708"/>
      <c r="N21" s="321">
        <f t="shared" si="1"/>
        <v>0</v>
      </c>
      <c r="O21"/>
      <c r="P21"/>
      <c r="Q21"/>
      <c r="R21"/>
      <c r="S21"/>
      <c r="T21"/>
      <c r="U21"/>
      <c r="V21"/>
      <c r="W21"/>
      <c r="X21"/>
      <c r="Y21"/>
      <c r="Z21"/>
      <c r="AA21"/>
      <c r="AB21"/>
    </row>
    <row r="22" spans="2:28" hidden="1" x14ac:dyDescent="0.3">
      <c r="B22" s="259">
        <v>18</v>
      </c>
      <c r="C22" s="260" t="str">
        <f>'Program Descriptions'!C22</f>
        <v>Empty</v>
      </c>
      <c r="D22" s="425"/>
      <c r="E22" s="425"/>
      <c r="F22" s="425"/>
      <c r="G22" s="425"/>
      <c r="H22" s="425"/>
      <c r="I22" s="11">
        <f t="shared" si="0"/>
        <v>0</v>
      </c>
      <c r="K22" s="4"/>
      <c r="M22" s="708"/>
      <c r="N22" s="321">
        <f t="shared" si="1"/>
        <v>0</v>
      </c>
      <c r="O22"/>
      <c r="P22"/>
      <c r="Q22"/>
      <c r="R22"/>
      <c r="S22"/>
      <c r="T22"/>
      <c r="U22"/>
      <c r="V22"/>
      <c r="W22"/>
      <c r="X22"/>
      <c r="Y22"/>
      <c r="Z22"/>
      <c r="AA22"/>
      <c r="AB22"/>
    </row>
    <row r="23" spans="2:28" hidden="1" x14ac:dyDescent="0.3">
      <c r="B23" s="259">
        <v>19</v>
      </c>
      <c r="C23" s="260" t="str">
        <f>'Program Descriptions'!C23</f>
        <v>Empty</v>
      </c>
      <c r="D23" s="425"/>
      <c r="E23" s="425"/>
      <c r="F23" s="425"/>
      <c r="G23" s="425"/>
      <c r="H23" s="425"/>
      <c r="I23" s="11">
        <f t="shared" si="0"/>
        <v>0</v>
      </c>
      <c r="K23" s="4"/>
      <c r="M23" s="708"/>
      <c r="N23" s="321">
        <f t="shared" si="1"/>
        <v>0</v>
      </c>
      <c r="O23"/>
      <c r="P23"/>
      <c r="Q23"/>
      <c r="R23"/>
      <c r="S23"/>
      <c r="T23"/>
      <c r="U23"/>
      <c r="V23"/>
      <c r="W23"/>
      <c r="X23"/>
      <c r="Y23"/>
      <c r="Z23"/>
      <c r="AA23"/>
      <c r="AB23"/>
    </row>
    <row r="24" spans="2:28" ht="14.4" hidden="1" thickBot="1" x14ac:dyDescent="0.35">
      <c r="B24" s="259">
        <v>20</v>
      </c>
      <c r="C24" s="260" t="str">
        <f>'Program Descriptions'!C24</f>
        <v>Empty</v>
      </c>
      <c r="D24" s="461"/>
      <c r="E24" s="461"/>
      <c r="F24" s="461"/>
      <c r="G24" s="461"/>
      <c r="H24" s="461"/>
      <c r="I24" s="11">
        <f t="shared" si="0"/>
        <v>0</v>
      </c>
      <c r="K24" s="4"/>
      <c r="M24" s="708"/>
      <c r="N24" s="321">
        <f t="shared" si="1"/>
        <v>0</v>
      </c>
      <c r="O24"/>
      <c r="P24"/>
      <c r="Q24"/>
      <c r="R24"/>
      <c r="S24"/>
      <c r="T24"/>
      <c r="U24"/>
      <c r="V24"/>
      <c r="W24"/>
      <c r="X24"/>
      <c r="Y24"/>
      <c r="Z24"/>
      <c r="AA24"/>
      <c r="AB24"/>
    </row>
    <row r="25" spans="2:28" ht="14.4" x14ac:dyDescent="0.3">
      <c r="B25" s="8"/>
      <c r="C25" s="263" t="s">
        <v>155</v>
      </c>
      <c r="D25" s="14">
        <f t="shared" ref="D25:H25" si="2">SUM(D5:D24)</f>
        <v>0</v>
      </c>
      <c r="E25" s="14">
        <f t="shared" si="2"/>
        <v>5200</v>
      </c>
      <c r="F25" s="14">
        <f t="shared" si="2"/>
        <v>86401</v>
      </c>
      <c r="G25" s="14">
        <f t="shared" si="2"/>
        <v>2500</v>
      </c>
      <c r="H25" s="14">
        <f t="shared" si="2"/>
        <v>10000</v>
      </c>
      <c r="I25" s="14">
        <f>SUM(I5:I24)</f>
        <v>104101</v>
      </c>
      <c r="K25" s="4"/>
      <c r="M25" s="708"/>
      <c r="O25"/>
      <c r="P25"/>
      <c r="Q25"/>
      <c r="R25"/>
      <c r="S25"/>
      <c r="T25"/>
      <c r="U25"/>
      <c r="V25"/>
      <c r="W25"/>
      <c r="X25"/>
      <c r="Y25"/>
      <c r="Z25"/>
      <c r="AA25"/>
      <c r="AB25"/>
    </row>
    <row r="26" spans="2:28" ht="15" customHeight="1" x14ac:dyDescent="0.3">
      <c r="B26" s="8"/>
      <c r="C26" s="264"/>
      <c r="D26" s="11"/>
      <c r="E26" s="11"/>
      <c r="F26" s="11"/>
      <c r="G26" s="11"/>
      <c r="H26" s="556" t="str">
        <f>Cost!C25</f>
        <v>Regulatory</v>
      </c>
      <c r="I26" s="425">
        <v>3000</v>
      </c>
      <c r="K26" s="4"/>
      <c r="N26" s="321">
        <f>IF(ISBLANK(I26),1,0)</f>
        <v>0</v>
      </c>
      <c r="O26"/>
      <c r="P26"/>
      <c r="Q26"/>
      <c r="R26"/>
      <c r="S26"/>
      <c r="T26"/>
      <c r="U26"/>
      <c r="V26"/>
      <c r="W26"/>
      <c r="X26"/>
      <c r="Y26"/>
      <c r="Z26"/>
      <c r="AA26"/>
      <c r="AB26"/>
    </row>
    <row r="27" spans="2:28" ht="15" customHeight="1" thickBot="1" x14ac:dyDescent="0.35">
      <c r="B27" s="8"/>
      <c r="C27" s="264"/>
      <c r="D27" s="11"/>
      <c r="E27" s="11"/>
      <c r="F27" s="11"/>
      <c r="G27" s="11"/>
      <c r="H27" s="12" t="s">
        <v>156</v>
      </c>
      <c r="I27" s="13">
        <f>I25+I26</f>
        <v>107101</v>
      </c>
      <c r="K27" s="4"/>
      <c r="N27" s="2">
        <f>SUM(N5:N26)</f>
        <v>0</v>
      </c>
      <c r="O27"/>
      <c r="P27"/>
      <c r="Q27"/>
      <c r="R27"/>
      <c r="S27"/>
      <c r="T27"/>
      <c r="U27"/>
      <c r="V27"/>
      <c r="W27"/>
      <c r="X27"/>
      <c r="Y27"/>
      <c r="Z27"/>
      <c r="AA27"/>
      <c r="AB27"/>
    </row>
    <row r="28" spans="2:28" ht="15" customHeight="1" thickTop="1" x14ac:dyDescent="0.3">
      <c r="B28" s="5"/>
      <c r="C28" s="6"/>
      <c r="D28" s="6"/>
      <c r="E28" s="6"/>
      <c r="F28" s="6"/>
      <c r="G28" s="6"/>
      <c r="H28" s="6"/>
      <c r="I28" s="6"/>
      <c r="J28" s="6"/>
      <c r="K28" s="7"/>
      <c r="O28"/>
      <c r="P28"/>
      <c r="Q28"/>
      <c r="R28"/>
      <c r="S28"/>
      <c r="T28"/>
      <c r="U28"/>
      <c r="V28"/>
      <c r="W28"/>
      <c r="X28"/>
      <c r="Y28"/>
      <c r="Z28"/>
      <c r="AA28"/>
      <c r="AB28"/>
    </row>
    <row r="29" spans="2:28" ht="15" customHeight="1" x14ac:dyDescent="0.3">
      <c r="O29"/>
      <c r="P29"/>
      <c r="Q29"/>
      <c r="R29"/>
      <c r="S29"/>
      <c r="T29"/>
      <c r="U29"/>
      <c r="V29"/>
      <c r="W29"/>
      <c r="X29"/>
      <c r="Y29"/>
      <c r="Z29"/>
      <c r="AA29"/>
      <c r="AB29"/>
    </row>
    <row r="30" spans="2:28" ht="15" customHeight="1" x14ac:dyDescent="0.3">
      <c r="O30"/>
      <c r="P30"/>
      <c r="Q30"/>
      <c r="R30"/>
      <c r="S30"/>
      <c r="T30"/>
      <c r="U30"/>
      <c r="V30"/>
      <c r="W30"/>
      <c r="X30"/>
      <c r="Y30"/>
      <c r="Z30"/>
      <c r="AA30"/>
      <c r="AB30"/>
    </row>
    <row r="31" spans="2:28" ht="15" customHeight="1" x14ac:dyDescent="0.3">
      <c r="O31"/>
      <c r="P31"/>
      <c r="Q31"/>
      <c r="R31"/>
      <c r="S31"/>
      <c r="T31"/>
      <c r="U31"/>
      <c r="V31"/>
      <c r="W31"/>
      <c r="X31"/>
      <c r="Y31"/>
      <c r="Z31"/>
      <c r="AA31"/>
      <c r="AB31"/>
    </row>
    <row r="32" spans="2:28" ht="15" customHeight="1" x14ac:dyDescent="0.3">
      <c r="O32"/>
      <c r="P32"/>
      <c r="Q32"/>
      <c r="R32"/>
      <c r="S32"/>
      <c r="T32"/>
      <c r="U32"/>
      <c r="V32"/>
      <c r="W32"/>
      <c r="X32"/>
      <c r="Y32"/>
      <c r="Z32"/>
      <c r="AA32"/>
      <c r="AB32"/>
    </row>
    <row r="33" spans="15:28" ht="15" customHeight="1" x14ac:dyDescent="0.3">
      <c r="O33"/>
      <c r="P33"/>
      <c r="Q33"/>
      <c r="R33"/>
      <c r="S33"/>
      <c r="T33"/>
      <c r="U33"/>
      <c r="V33"/>
      <c r="W33"/>
      <c r="X33"/>
      <c r="Y33"/>
      <c r="Z33"/>
      <c r="AA33"/>
      <c r="AB33"/>
    </row>
    <row r="34" spans="15:28" ht="15" customHeight="1" x14ac:dyDescent="0.3">
      <c r="O34"/>
      <c r="P34"/>
      <c r="Q34"/>
      <c r="R34"/>
      <c r="S34"/>
      <c r="T34"/>
      <c r="U34"/>
      <c r="V34"/>
      <c r="W34"/>
      <c r="X34"/>
      <c r="Y34"/>
      <c r="Z34"/>
      <c r="AA34"/>
      <c r="AB34"/>
    </row>
    <row r="35" spans="15:28" ht="15" customHeight="1" x14ac:dyDescent="0.3">
      <c r="O35"/>
      <c r="P35"/>
      <c r="Q35"/>
      <c r="R35"/>
      <c r="S35"/>
      <c r="T35"/>
      <c r="U35"/>
      <c r="V35"/>
      <c r="W35"/>
      <c r="X35"/>
      <c r="Y35"/>
      <c r="Z35"/>
      <c r="AA35"/>
      <c r="AB35"/>
    </row>
    <row r="36" spans="15:28" ht="15" customHeight="1" x14ac:dyDescent="0.3">
      <c r="O36"/>
      <c r="P36"/>
      <c r="Q36"/>
      <c r="R36"/>
      <c r="S36"/>
      <c r="T36"/>
      <c r="U36"/>
      <c r="V36"/>
      <c r="W36"/>
      <c r="X36"/>
      <c r="Y36"/>
      <c r="Z36"/>
      <c r="AA36"/>
      <c r="AB36"/>
    </row>
    <row r="37" spans="15:28" ht="15" customHeight="1" x14ac:dyDescent="0.3">
      <c r="O37"/>
      <c r="P37"/>
      <c r="Q37"/>
      <c r="R37"/>
      <c r="S37"/>
      <c r="T37"/>
      <c r="U37"/>
      <c r="V37"/>
      <c r="W37"/>
      <c r="X37"/>
      <c r="Y37"/>
      <c r="Z37"/>
      <c r="AA37"/>
      <c r="AB37"/>
    </row>
    <row r="38" spans="15:28" ht="15" customHeight="1" x14ac:dyDescent="0.3">
      <c r="O38"/>
      <c r="P38"/>
      <c r="Q38"/>
      <c r="R38"/>
      <c r="S38"/>
      <c r="T38"/>
      <c r="U38"/>
      <c r="V38"/>
      <c r="W38"/>
      <c r="X38"/>
      <c r="Y38"/>
      <c r="Z38"/>
      <c r="AA38"/>
      <c r="AB38"/>
    </row>
    <row r="39" spans="15:28" ht="15" customHeight="1" x14ac:dyDescent="0.3">
      <c r="O39"/>
      <c r="P39"/>
      <c r="Q39"/>
      <c r="R39"/>
      <c r="S39"/>
      <c r="T39"/>
      <c r="U39"/>
      <c r="V39"/>
      <c r="W39"/>
      <c r="X39"/>
      <c r="Y39"/>
      <c r="Z39"/>
      <c r="AA39"/>
      <c r="AB39"/>
    </row>
    <row r="40" spans="15:28" ht="15" customHeight="1" x14ac:dyDescent="0.3">
      <c r="O40"/>
      <c r="P40"/>
      <c r="Q40"/>
      <c r="R40"/>
      <c r="S40"/>
      <c r="T40"/>
      <c r="U40"/>
      <c r="V40"/>
      <c r="W40"/>
      <c r="X40"/>
      <c r="Y40"/>
      <c r="Z40"/>
      <c r="AA40"/>
      <c r="AB40"/>
    </row>
    <row r="41" spans="15:28" ht="15" customHeight="1" x14ac:dyDescent="0.3">
      <c r="O41"/>
      <c r="P41"/>
      <c r="Q41"/>
      <c r="R41"/>
      <c r="S41"/>
      <c r="T41"/>
      <c r="U41"/>
      <c r="V41"/>
      <c r="W41"/>
      <c r="X41"/>
      <c r="Y41"/>
      <c r="Z41"/>
      <c r="AA41"/>
      <c r="AB41"/>
    </row>
    <row r="42" spans="15:28" ht="15" customHeight="1" x14ac:dyDescent="0.3">
      <c r="O42"/>
      <c r="P42"/>
      <c r="Q42"/>
      <c r="R42"/>
      <c r="S42"/>
      <c r="T42"/>
      <c r="U42"/>
      <c r="V42"/>
      <c r="W42"/>
      <c r="X42"/>
      <c r="Y42"/>
      <c r="Z42"/>
      <c r="AA42"/>
      <c r="AB42"/>
    </row>
    <row r="43" spans="15:28" ht="15" customHeight="1" x14ac:dyDescent="0.3">
      <c r="O43"/>
      <c r="P43"/>
      <c r="Q43"/>
      <c r="R43"/>
      <c r="S43"/>
      <c r="T43"/>
      <c r="U43"/>
      <c r="V43"/>
      <c r="W43"/>
      <c r="X43"/>
      <c r="Y43"/>
      <c r="Z43"/>
      <c r="AA43"/>
      <c r="AB43"/>
    </row>
    <row r="44" spans="15:28" ht="15" customHeight="1" x14ac:dyDescent="0.3">
      <c r="O44"/>
      <c r="P44"/>
      <c r="Q44"/>
      <c r="R44"/>
      <c r="S44"/>
      <c r="T44"/>
      <c r="U44"/>
      <c r="V44"/>
      <c r="W44"/>
      <c r="X44"/>
      <c r="Y44"/>
      <c r="Z44"/>
      <c r="AA44"/>
      <c r="AB44"/>
    </row>
    <row r="45" spans="15:28" ht="15" customHeight="1" x14ac:dyDescent="0.3"/>
    <row r="46" spans="15:28" ht="15" customHeight="1" x14ac:dyDescent="0.3"/>
    <row r="47" spans="15:28" ht="15" customHeight="1" x14ac:dyDescent="0.3"/>
    <row r="48" spans="15:2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Rows="0"/>
  <conditionalFormatting sqref="D5:H24">
    <cfRule type="expression" dxfId="85"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N29"/>
  <sheetViews>
    <sheetView showGridLines="0" showRowColHeaders="0" topLeftCell="D1" workbookViewId="0">
      <selection activeCell="M19" sqref="M19"/>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6" width="14.44140625" style="2" customWidth="1"/>
    <col min="7" max="7" width="12.77734375" style="2" customWidth="1"/>
    <col min="8" max="8" width="7" style="2" customWidth="1"/>
    <col min="9" max="9" width="44.109375" style="2" customWidth="1"/>
    <col min="10" max="10" width="1.44140625" style="2" customWidth="1"/>
    <col min="11" max="11" width="1" style="2" customWidth="1"/>
    <col min="12" max="13" width="9.109375" style="2"/>
    <col min="14" max="14" width="0" style="2" hidden="1" customWidth="1"/>
    <col min="15" max="16384" width="9.109375" style="2"/>
  </cols>
  <sheetData>
    <row r="1" spans="2:14" ht="5.0999999999999996" customHeight="1" thickBot="1" x14ac:dyDescent="0.35"/>
    <row r="2" spans="2:14" ht="38.25" customHeight="1" thickBot="1" x14ac:dyDescent="0.35">
      <c r="B2" s="561" t="s">
        <v>157</v>
      </c>
      <c r="C2" s="561"/>
      <c r="D2" s="561"/>
      <c r="E2" s="561"/>
      <c r="F2" s="561"/>
      <c r="G2" s="561"/>
      <c r="H2" s="561"/>
      <c r="I2" s="561"/>
      <c r="J2" s="561"/>
    </row>
    <row r="3" spans="2:14" ht="15.75" customHeight="1" x14ac:dyDescent="0.3">
      <c r="B3" s="456"/>
      <c r="C3" s="336"/>
      <c r="D3" s="339" t="str">
        <f>IF(N29&gt;0,"Incomplete - All yellow shaded cells must be completed.","")</f>
        <v/>
      </c>
      <c r="E3" s="336"/>
      <c r="F3" s="336"/>
      <c r="G3" s="336"/>
      <c r="H3" s="336"/>
      <c r="I3" s="336"/>
      <c r="J3" s="457"/>
    </row>
    <row r="4" spans="2:14" x14ac:dyDescent="0.3">
      <c r="B4" s="3"/>
      <c r="D4" s="10" t="s">
        <v>82</v>
      </c>
      <c r="E4" s="28" t="s">
        <v>158</v>
      </c>
      <c r="F4" s="28" t="s">
        <v>159</v>
      </c>
      <c r="G4" s="28" t="s">
        <v>160</v>
      </c>
      <c r="H4" s="28" t="s">
        <v>161</v>
      </c>
      <c r="I4" s="28" t="s">
        <v>162</v>
      </c>
      <c r="J4" s="4"/>
    </row>
    <row r="5" spans="2:14" x14ac:dyDescent="0.3">
      <c r="B5" s="3"/>
      <c r="C5" s="462">
        <v>1</v>
      </c>
      <c r="D5" s="463" t="str">
        <f>'Program Descriptions'!C5</f>
        <v>Residential Products</v>
      </c>
      <c r="E5" s="464">
        <f>Budgets!I5</f>
        <v>34885</v>
      </c>
      <c r="F5" s="465">
        <f>Budgets!I5</f>
        <v>34885</v>
      </c>
      <c r="G5" s="465">
        <f t="shared" ref="G5:G25" si="0">F5-E5</f>
        <v>0</v>
      </c>
      <c r="H5" s="466">
        <f t="shared" ref="H5:H10" si="1">IF(ISERROR(G5/E5),"-",G5/E5)</f>
        <v>0</v>
      </c>
      <c r="I5" s="31"/>
      <c r="J5" s="4"/>
      <c r="N5" s="321">
        <f t="shared" ref="N5:N25" si="2">IF(D5="Empty",0,IF(ISBLANK(E5),1,IF(H5=0,0,IF(ISBLANK(I5),1,0))))</f>
        <v>0</v>
      </c>
    </row>
    <row r="6" spans="2:14" x14ac:dyDescent="0.3">
      <c r="B6" s="3"/>
      <c r="C6" s="462">
        <v>2</v>
      </c>
      <c r="D6" s="463" t="str">
        <f>'Program Descriptions'!C6</f>
        <v>School-Based Energy Education</v>
      </c>
      <c r="E6" s="464">
        <f>Budgets!I6</f>
        <v>16250</v>
      </c>
      <c r="F6" s="465">
        <f>Budgets!I6</f>
        <v>16250</v>
      </c>
      <c r="G6" s="465">
        <f t="shared" si="0"/>
        <v>0</v>
      </c>
      <c r="H6" s="466">
        <f t="shared" si="1"/>
        <v>0</v>
      </c>
      <c r="I6" s="31"/>
      <c r="J6" s="4"/>
      <c r="N6" s="321">
        <f t="shared" si="2"/>
        <v>0</v>
      </c>
    </row>
    <row r="7" spans="2:14" x14ac:dyDescent="0.3">
      <c r="B7" s="3"/>
      <c r="C7" s="462">
        <v>3</v>
      </c>
      <c r="D7" s="463" t="str">
        <f>'Program Descriptions'!C7</f>
        <v>Weatherization</v>
      </c>
      <c r="E7" s="464">
        <f>Budgets!I7</f>
        <v>24454</v>
      </c>
      <c r="F7" s="465">
        <f>Budgets!I7</f>
        <v>24454</v>
      </c>
      <c r="G7" s="465">
        <f t="shared" si="0"/>
        <v>0</v>
      </c>
      <c r="H7" s="466">
        <f t="shared" si="1"/>
        <v>0</v>
      </c>
      <c r="I7" s="31"/>
      <c r="J7" s="4"/>
      <c r="N7" s="321">
        <f t="shared" si="2"/>
        <v>0</v>
      </c>
    </row>
    <row r="8" spans="2:14" x14ac:dyDescent="0.3">
      <c r="B8" s="3"/>
      <c r="C8" s="462">
        <v>4</v>
      </c>
      <c r="D8" s="463" t="str">
        <f>'Program Descriptions'!C8</f>
        <v>Commercial and Industrial (Custom)</v>
      </c>
      <c r="E8" s="464">
        <f>Budgets!I8</f>
        <v>5812</v>
      </c>
      <c r="F8" s="465">
        <f>Budgets!I8</f>
        <v>5812</v>
      </c>
      <c r="G8" s="465">
        <f t="shared" si="0"/>
        <v>0</v>
      </c>
      <c r="H8" s="466">
        <f t="shared" si="1"/>
        <v>0</v>
      </c>
      <c r="I8" s="31"/>
      <c r="J8" s="4"/>
      <c r="N8" s="321">
        <f t="shared" si="2"/>
        <v>0</v>
      </c>
    </row>
    <row r="9" spans="2:14" x14ac:dyDescent="0.3">
      <c r="B9" s="3"/>
      <c r="C9" s="462">
        <v>5</v>
      </c>
      <c r="D9" s="463" t="str">
        <f>'Program Descriptions'!C9</f>
        <v>Commercial and Industrial (Prescriptive)</v>
      </c>
      <c r="E9" s="464">
        <f>Budgets!I9</f>
        <v>5000</v>
      </c>
      <c r="F9" s="465">
        <f>Budgets!I9</f>
        <v>5000</v>
      </c>
      <c r="G9" s="465">
        <f t="shared" si="0"/>
        <v>0</v>
      </c>
      <c r="H9" s="466">
        <f t="shared" si="1"/>
        <v>0</v>
      </c>
      <c r="I9" s="31"/>
      <c r="J9" s="4"/>
      <c r="N9" s="321">
        <f t="shared" si="2"/>
        <v>0</v>
      </c>
    </row>
    <row r="10" spans="2:14" x14ac:dyDescent="0.3">
      <c r="B10" s="3"/>
      <c r="C10" s="462">
        <v>6</v>
      </c>
      <c r="D10" s="463" t="str">
        <f>'Program Descriptions'!C10</f>
        <v>Online Energy Calculator</v>
      </c>
      <c r="E10" s="464">
        <f>Budgets!I10</f>
        <v>4000</v>
      </c>
      <c r="F10" s="465">
        <f>Budgets!I10</f>
        <v>4000</v>
      </c>
      <c r="G10" s="465">
        <f t="shared" si="0"/>
        <v>0</v>
      </c>
      <c r="H10" s="466">
        <f t="shared" si="1"/>
        <v>0</v>
      </c>
      <c r="I10" s="31"/>
      <c r="J10" s="4"/>
      <c r="N10" s="321">
        <f t="shared" si="2"/>
        <v>0</v>
      </c>
    </row>
    <row r="11" spans="2:14" x14ac:dyDescent="0.3">
      <c r="B11" s="3"/>
      <c r="C11" s="462">
        <v>7</v>
      </c>
      <c r="D11" s="463" t="str">
        <f>'Program Descriptions'!C11</f>
        <v>Administration</v>
      </c>
      <c r="E11" s="464">
        <f>Budgets!I11</f>
        <v>10000</v>
      </c>
      <c r="F11" s="465">
        <f>Budgets!I11</f>
        <v>10000</v>
      </c>
      <c r="G11" s="465">
        <f t="shared" si="0"/>
        <v>0</v>
      </c>
      <c r="H11" s="466">
        <f t="shared" ref="H11:H25" si="3">IF(ISERROR(G11/E11),"-",G11/E11)</f>
        <v>0</v>
      </c>
      <c r="I11" s="31"/>
      <c r="J11" s="4"/>
      <c r="N11" s="321">
        <f t="shared" si="2"/>
        <v>0</v>
      </c>
    </row>
    <row r="12" spans="2:14" x14ac:dyDescent="0.3">
      <c r="B12" s="3"/>
      <c r="C12" s="462">
        <v>8</v>
      </c>
      <c r="D12" s="463" t="str">
        <f>'Program Descriptions'!C12</f>
        <v>Marketing</v>
      </c>
      <c r="E12" s="464">
        <v>1200</v>
      </c>
      <c r="F12" s="465">
        <f>Budgets!I12</f>
        <v>1200</v>
      </c>
      <c r="G12" s="465">
        <f t="shared" si="0"/>
        <v>0</v>
      </c>
      <c r="H12" s="466">
        <f t="shared" si="3"/>
        <v>0</v>
      </c>
      <c r="I12" s="31"/>
      <c r="J12" s="4"/>
      <c r="N12" s="321">
        <f t="shared" si="2"/>
        <v>0</v>
      </c>
    </row>
    <row r="13" spans="2:14" x14ac:dyDescent="0.3">
      <c r="B13" s="3"/>
      <c r="C13" s="462">
        <v>9</v>
      </c>
      <c r="D13" s="463" t="str">
        <f>'Program Descriptions'!C13</f>
        <v>EM&amp;V</v>
      </c>
      <c r="E13" s="464">
        <v>2500</v>
      </c>
      <c r="F13" s="465">
        <f>Budgets!I13</f>
        <v>2500</v>
      </c>
      <c r="G13" s="465">
        <f t="shared" si="0"/>
        <v>0</v>
      </c>
      <c r="H13" s="466">
        <f t="shared" si="3"/>
        <v>0</v>
      </c>
      <c r="I13" s="31"/>
      <c r="J13" s="4"/>
      <c r="N13" s="321">
        <f t="shared" si="2"/>
        <v>0</v>
      </c>
    </row>
    <row r="14" spans="2:14" x14ac:dyDescent="0.3">
      <c r="B14" s="3"/>
      <c r="C14" s="462">
        <v>10</v>
      </c>
      <c r="D14" s="463" t="str">
        <f>'Program Descriptions'!C14</f>
        <v>Empty</v>
      </c>
      <c r="E14" s="464">
        <v>0</v>
      </c>
      <c r="F14" s="465">
        <f>Budgets!I14</f>
        <v>0</v>
      </c>
      <c r="G14" s="465">
        <f t="shared" si="0"/>
        <v>0</v>
      </c>
      <c r="H14" s="466" t="str">
        <f t="shared" si="3"/>
        <v>-</v>
      </c>
      <c r="I14" s="31"/>
      <c r="J14" s="4"/>
      <c r="N14" s="321">
        <f t="shared" si="2"/>
        <v>0</v>
      </c>
    </row>
    <row r="15" spans="2:14" x14ac:dyDescent="0.3">
      <c r="B15" s="3"/>
      <c r="C15" s="462">
        <v>11</v>
      </c>
      <c r="D15" s="463" t="str">
        <f>'Program Descriptions'!C15</f>
        <v>Empty</v>
      </c>
      <c r="E15" s="464">
        <v>0</v>
      </c>
      <c r="F15" s="465">
        <f>Budgets!I15</f>
        <v>0</v>
      </c>
      <c r="G15" s="465">
        <f t="shared" si="0"/>
        <v>0</v>
      </c>
      <c r="H15" s="466" t="str">
        <f t="shared" si="3"/>
        <v>-</v>
      </c>
      <c r="I15" s="31"/>
      <c r="J15" s="4"/>
      <c r="N15" s="321">
        <f t="shared" si="2"/>
        <v>0</v>
      </c>
    </row>
    <row r="16" spans="2:14" x14ac:dyDescent="0.3">
      <c r="B16" s="3"/>
      <c r="C16" s="462">
        <v>12</v>
      </c>
      <c r="D16" s="463" t="str">
        <f>'Program Descriptions'!C16</f>
        <v>Empty</v>
      </c>
      <c r="E16" s="464">
        <v>0</v>
      </c>
      <c r="F16" s="465">
        <f>Budgets!I16</f>
        <v>0</v>
      </c>
      <c r="G16" s="465">
        <f t="shared" si="0"/>
        <v>0</v>
      </c>
      <c r="H16" s="466" t="str">
        <f t="shared" si="3"/>
        <v>-</v>
      </c>
      <c r="I16" s="31"/>
      <c r="J16" s="4"/>
      <c r="N16" s="321">
        <f t="shared" si="2"/>
        <v>0</v>
      </c>
    </row>
    <row r="17" spans="2:14" x14ac:dyDescent="0.3">
      <c r="B17" s="3"/>
      <c r="C17" s="462">
        <v>13</v>
      </c>
      <c r="D17" s="463" t="str">
        <f>'Program Descriptions'!C17</f>
        <v>Empty</v>
      </c>
      <c r="E17" s="464">
        <v>0</v>
      </c>
      <c r="F17" s="465">
        <f>Budgets!I17</f>
        <v>0</v>
      </c>
      <c r="G17" s="465">
        <f t="shared" si="0"/>
        <v>0</v>
      </c>
      <c r="H17" s="466" t="str">
        <f t="shared" si="3"/>
        <v>-</v>
      </c>
      <c r="I17" s="31"/>
      <c r="J17" s="4"/>
      <c r="N17" s="321">
        <f t="shared" si="2"/>
        <v>0</v>
      </c>
    </row>
    <row r="18" spans="2:14" x14ac:dyDescent="0.3">
      <c r="B18" s="3"/>
      <c r="C18" s="462">
        <v>14</v>
      </c>
      <c r="D18" s="463" t="str">
        <f>'Program Descriptions'!C18</f>
        <v>Empty</v>
      </c>
      <c r="E18" s="464">
        <v>0</v>
      </c>
      <c r="F18" s="465">
        <f>Budgets!I18</f>
        <v>0</v>
      </c>
      <c r="G18" s="465">
        <f t="shared" si="0"/>
        <v>0</v>
      </c>
      <c r="H18" s="466" t="str">
        <f t="shared" si="3"/>
        <v>-</v>
      </c>
      <c r="I18" s="31"/>
      <c r="J18" s="4"/>
      <c r="N18" s="321">
        <f t="shared" si="2"/>
        <v>0</v>
      </c>
    </row>
    <row r="19" spans="2:14" x14ac:dyDescent="0.3">
      <c r="B19" s="3"/>
      <c r="C19" s="462">
        <v>15</v>
      </c>
      <c r="D19" s="463" t="str">
        <f>'Program Descriptions'!C19</f>
        <v>Empty</v>
      </c>
      <c r="E19" s="464">
        <v>0</v>
      </c>
      <c r="F19" s="465">
        <f>Budgets!I19</f>
        <v>0</v>
      </c>
      <c r="G19" s="465">
        <f t="shared" si="0"/>
        <v>0</v>
      </c>
      <c r="H19" s="466" t="str">
        <f t="shared" si="3"/>
        <v>-</v>
      </c>
      <c r="I19" s="31"/>
      <c r="J19" s="4"/>
      <c r="N19" s="321">
        <f t="shared" si="2"/>
        <v>0</v>
      </c>
    </row>
    <row r="20" spans="2:14" x14ac:dyDescent="0.3">
      <c r="B20" s="3"/>
      <c r="C20" s="462">
        <v>16</v>
      </c>
      <c r="D20" s="463" t="str">
        <f>'Program Descriptions'!C20</f>
        <v>Empty</v>
      </c>
      <c r="E20" s="464">
        <v>0</v>
      </c>
      <c r="F20" s="465">
        <f>Budgets!I20</f>
        <v>0</v>
      </c>
      <c r="G20" s="465">
        <f t="shared" si="0"/>
        <v>0</v>
      </c>
      <c r="H20" s="466" t="str">
        <f t="shared" si="3"/>
        <v>-</v>
      </c>
      <c r="I20" s="31"/>
      <c r="J20" s="4"/>
      <c r="N20" s="321">
        <f t="shared" si="2"/>
        <v>0</v>
      </c>
    </row>
    <row r="21" spans="2:14" x14ac:dyDescent="0.3">
      <c r="B21" s="3"/>
      <c r="C21" s="462">
        <v>17</v>
      </c>
      <c r="D21" s="463" t="str">
        <f>'Program Descriptions'!C21</f>
        <v>Empty</v>
      </c>
      <c r="E21" s="467">
        <v>0</v>
      </c>
      <c r="F21" s="465">
        <f>Budgets!I21</f>
        <v>0</v>
      </c>
      <c r="G21" s="465">
        <f t="shared" si="0"/>
        <v>0</v>
      </c>
      <c r="H21" s="466" t="str">
        <f t="shared" si="3"/>
        <v>-</v>
      </c>
      <c r="I21" s="31"/>
      <c r="J21" s="4"/>
      <c r="N21" s="321">
        <f t="shared" si="2"/>
        <v>0</v>
      </c>
    </row>
    <row r="22" spans="2:14" x14ac:dyDescent="0.3">
      <c r="B22" s="3"/>
      <c r="C22" s="462">
        <v>18</v>
      </c>
      <c r="D22" s="463" t="str">
        <f>'Program Descriptions'!C22</f>
        <v>Empty</v>
      </c>
      <c r="E22" s="467">
        <v>0</v>
      </c>
      <c r="F22" s="465">
        <f>Budgets!I22</f>
        <v>0</v>
      </c>
      <c r="G22" s="465">
        <f t="shared" si="0"/>
        <v>0</v>
      </c>
      <c r="H22" s="466" t="str">
        <f t="shared" si="3"/>
        <v>-</v>
      </c>
      <c r="I22" s="31"/>
      <c r="J22" s="4"/>
      <c r="N22" s="321">
        <f t="shared" si="2"/>
        <v>0</v>
      </c>
    </row>
    <row r="23" spans="2:14" x14ac:dyDescent="0.3">
      <c r="B23" s="3"/>
      <c r="C23" s="462">
        <v>19</v>
      </c>
      <c r="D23" s="463" t="str">
        <f>'Program Descriptions'!C23</f>
        <v>Empty</v>
      </c>
      <c r="E23" s="467">
        <v>0</v>
      </c>
      <c r="F23" s="465">
        <f>Budgets!I23</f>
        <v>0</v>
      </c>
      <c r="G23" s="465">
        <f t="shared" si="0"/>
        <v>0</v>
      </c>
      <c r="H23" s="466" t="str">
        <f t="shared" si="3"/>
        <v>-</v>
      </c>
      <c r="I23" s="31"/>
      <c r="J23" s="4"/>
      <c r="N23" s="321">
        <f t="shared" si="2"/>
        <v>0</v>
      </c>
    </row>
    <row r="24" spans="2:14" x14ac:dyDescent="0.3">
      <c r="B24" s="3"/>
      <c r="C24" s="462">
        <v>20</v>
      </c>
      <c r="D24" s="463" t="str">
        <f>'Program Descriptions'!C24</f>
        <v>Empty</v>
      </c>
      <c r="E24" s="467">
        <v>0</v>
      </c>
      <c r="F24" s="465">
        <f>Budgets!I24</f>
        <v>0</v>
      </c>
      <c r="G24" s="465">
        <f t="shared" si="0"/>
        <v>0</v>
      </c>
      <c r="H24" s="466" t="str">
        <f t="shared" si="3"/>
        <v>-</v>
      </c>
      <c r="I24" s="31"/>
      <c r="J24" s="4"/>
      <c r="N24" s="321">
        <f t="shared" si="2"/>
        <v>0</v>
      </c>
    </row>
    <row r="25" spans="2:14" x14ac:dyDescent="0.3">
      <c r="B25" s="3"/>
      <c r="C25" s="462"/>
      <c r="D25" s="468" t="str">
        <f>Budgets!H26</f>
        <v>Regulatory</v>
      </c>
      <c r="E25" s="467">
        <f>Budgets!I26</f>
        <v>3000</v>
      </c>
      <c r="F25" s="465">
        <f>Budgets!I26</f>
        <v>3000</v>
      </c>
      <c r="G25" s="465">
        <f t="shared" si="0"/>
        <v>0</v>
      </c>
      <c r="H25" s="466">
        <f t="shared" si="3"/>
        <v>0</v>
      </c>
      <c r="I25" s="31"/>
      <c r="J25" s="4"/>
      <c r="N25" s="321">
        <f t="shared" si="2"/>
        <v>0</v>
      </c>
    </row>
    <row r="26" spans="2:14" x14ac:dyDescent="0.3">
      <c r="B26" s="3"/>
      <c r="C26" s="29"/>
      <c r="D26" s="30" t="s">
        <v>163</v>
      </c>
      <c r="E26" s="32">
        <f>SUM(E5:E25)</f>
        <v>107101</v>
      </c>
      <c r="F26" s="32">
        <f>SUM(F5:F25)</f>
        <v>107101</v>
      </c>
      <c r="G26" s="32">
        <f>SUM(G5:G25)</f>
        <v>0</v>
      </c>
      <c r="H26" s="33">
        <f>IF(ISERROR(G26/E26),"-",G26/E26)</f>
        <v>0</v>
      </c>
      <c r="I26" s="34"/>
      <c r="J26" s="4"/>
      <c r="N26" s="321">
        <f>IF(H26=0,0,IF(H26=0,0,IF(ISBLANK(I26),1,0)))</f>
        <v>0</v>
      </c>
    </row>
    <row r="27" spans="2:14" x14ac:dyDescent="0.3">
      <c r="B27" s="3"/>
      <c r="J27" s="4"/>
    </row>
    <row r="28" spans="2:14" x14ac:dyDescent="0.3">
      <c r="B28" s="3"/>
      <c r="C28" s="231"/>
      <c r="D28" s="254" t="s">
        <v>164</v>
      </c>
      <c r="E28" s="255">
        <v>96</v>
      </c>
      <c r="F28" s="365" t="s">
        <v>165</v>
      </c>
      <c r="J28" s="4"/>
      <c r="N28" s="321">
        <f>IF(ISBLANK(E28),1,0)</f>
        <v>0</v>
      </c>
    </row>
    <row r="29" spans="2:14" x14ac:dyDescent="0.3">
      <c r="B29" s="5"/>
      <c r="C29" s="6"/>
      <c r="D29" s="6"/>
      <c r="E29" s="6"/>
      <c r="F29" s="6"/>
      <c r="G29" s="6"/>
      <c r="H29" s="6"/>
      <c r="I29" s="6"/>
      <c r="J29" s="7"/>
      <c r="N29" s="238">
        <f>SUM(N5:N28)</f>
        <v>0</v>
      </c>
    </row>
  </sheetData>
  <sheetProtection password="C925" sheet="1" objects="1" scenarios="1" formatRows="0"/>
  <mergeCells count="1">
    <mergeCell ref="B2:J2"/>
  </mergeCells>
  <conditionalFormatting sqref="E5:I24">
    <cfRule type="expression" dxfId="84" priority="3">
      <formula>$C5&gt;Programs</formula>
    </cfRule>
  </conditionalFormatting>
  <conditionalFormatting sqref="I25">
    <cfRule type="expression" dxfId="83" priority="1">
      <formula>$C25&gt;Programs</formula>
    </cfRule>
  </conditionalFormatting>
  <conditionalFormatting sqref="I26">
    <cfRule type="expression" dxfId="82" priority="2">
      <formula>$H$26=0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U115"/>
  <sheetViews>
    <sheetView showGridLines="0" zoomScale="96" zoomScaleNormal="96" workbookViewId="0">
      <pane ySplit="5" topLeftCell="A6" activePane="bottomLeft" state="frozen"/>
      <selection activeCell="P31" sqref="P31"/>
      <selection pane="bottomLeft" activeCell="M4" sqref="M4:Q12"/>
    </sheetView>
  </sheetViews>
  <sheetFormatPr defaultColWidth="9.109375" defaultRowHeight="13.8" x14ac:dyDescent="0.3"/>
  <cols>
    <col min="1" max="1" width="1" style="2" customWidth="1"/>
    <col min="2" max="2" width="3.77734375" style="2" customWidth="1"/>
    <col min="3" max="3" width="35.77734375" style="2" customWidth="1"/>
    <col min="4" max="5" width="13.21875" style="2" customWidth="1"/>
    <col min="6" max="6" width="8.77734375" style="2" customWidth="1"/>
    <col min="7" max="7" width="13.21875" style="2" customWidth="1"/>
    <col min="8" max="8" width="20.44140625" style="2" customWidth="1"/>
    <col min="9" max="9" width="13.21875" style="2" customWidth="1"/>
    <col min="10" max="10" width="5.88671875" style="2" customWidth="1"/>
    <col min="11" max="11" width="5.21875" style="2" customWidth="1"/>
    <col min="12" max="12" width="1" style="2" customWidth="1"/>
    <col min="13" max="13" width="16" style="2" customWidth="1"/>
    <col min="14" max="14" width="0" style="2" hidden="1" customWidth="1"/>
    <col min="15" max="15" width="9.109375" style="2"/>
    <col min="16" max="16" width="13.88671875" style="2" customWidth="1"/>
    <col min="17" max="18" width="9.109375" style="2"/>
    <col min="19" max="19" width="11.44140625" style="2" bestFit="1" customWidth="1"/>
    <col min="20" max="16384" width="9.109375" style="2"/>
  </cols>
  <sheetData>
    <row r="1" spans="2:21" ht="28.5" customHeight="1" x14ac:dyDescent="0.3"/>
    <row r="2" spans="2:21" ht="76.650000000000006" customHeight="1" x14ac:dyDescent="0.3">
      <c r="B2" s="453"/>
      <c r="C2" s="454"/>
      <c r="D2" s="454"/>
      <c r="E2" s="454"/>
      <c r="F2" s="454"/>
      <c r="G2" s="454"/>
      <c r="H2" s="454"/>
      <c r="I2" s="454"/>
      <c r="J2" s="454"/>
      <c r="K2" s="455"/>
    </row>
    <row r="3" spans="2:21" ht="11.25" customHeight="1" x14ac:dyDescent="0.3">
      <c r="B3" s="456"/>
      <c r="C3" s="339" t="str">
        <f>IF(N26&gt;0,"Incomplete - All yellow shaded cells must be completed.","")</f>
        <v/>
      </c>
      <c r="D3" s="336"/>
      <c r="E3" s="336"/>
      <c r="F3" s="336"/>
      <c r="G3" s="336"/>
      <c r="H3" s="336"/>
      <c r="I3" s="336"/>
      <c r="J3" s="336"/>
      <c r="K3" s="457"/>
    </row>
    <row r="4" spans="2:21" ht="27.6" x14ac:dyDescent="0.3">
      <c r="B4" s="3"/>
      <c r="D4" s="261" t="s">
        <v>166</v>
      </c>
      <c r="E4" s="261" t="s">
        <v>167</v>
      </c>
      <c r="K4" s="4"/>
      <c r="M4" s="708"/>
      <c r="N4" s="708"/>
      <c r="O4" s="708"/>
      <c r="P4" s="708"/>
      <c r="Q4" s="708"/>
    </row>
    <row r="5" spans="2:21" ht="15.6" x14ac:dyDescent="0.3">
      <c r="B5" s="3"/>
      <c r="C5" s="9" t="s">
        <v>82</v>
      </c>
      <c r="D5" s="261" t="str">
        <f>"("&amp;Demand_1&amp;")"</f>
        <v>(kW)</v>
      </c>
      <c r="E5" s="261" t="str">
        <f>"("&amp;Energy_1&amp;")"</f>
        <v>(kWh)</v>
      </c>
      <c r="G5" s="261" t="s">
        <v>168</v>
      </c>
      <c r="H5" s="261" t="s">
        <v>169</v>
      </c>
      <c r="K5" s="4"/>
      <c r="M5" s="708"/>
      <c r="N5" s="708"/>
      <c r="O5" s="708"/>
      <c r="P5" s="708"/>
      <c r="Q5" s="708"/>
    </row>
    <row r="6" spans="2:21" ht="15" customHeight="1" x14ac:dyDescent="0.3">
      <c r="B6" s="259">
        <v>1</v>
      </c>
      <c r="C6" s="260" t="str">
        <f>'Program Descriptions'!D5</f>
        <v>Residential Products</v>
      </c>
      <c r="D6" s="426">
        <v>0</v>
      </c>
      <c r="E6" s="426">
        <v>16803</v>
      </c>
      <c r="G6" s="426">
        <v>12</v>
      </c>
      <c r="H6" s="169" t="s">
        <v>170</v>
      </c>
      <c r="K6" s="4"/>
      <c r="M6" s="709"/>
      <c r="N6" s="709"/>
      <c r="O6" s="709"/>
      <c r="P6" s="709"/>
      <c r="Q6" s="709"/>
      <c r="R6"/>
      <c r="S6"/>
    </row>
    <row r="7" spans="2:21" ht="15" customHeight="1" x14ac:dyDescent="0.3">
      <c r="B7" s="259">
        <v>2</v>
      </c>
      <c r="C7" s="260" t="str">
        <f>'Program Descriptions'!D6</f>
        <v>School-Based Energy Education</v>
      </c>
      <c r="D7" s="426">
        <v>5.1100000000000003</v>
      </c>
      <c r="E7" s="426">
        <v>47256</v>
      </c>
      <c r="G7" s="426">
        <v>793</v>
      </c>
      <c r="H7" s="169" t="s">
        <v>170</v>
      </c>
      <c r="K7" s="4"/>
      <c r="M7" s="709"/>
      <c r="N7" s="709"/>
      <c r="O7" s="709"/>
      <c r="P7" s="709"/>
      <c r="Q7" s="709"/>
      <c r="R7"/>
      <c r="S7"/>
      <c r="T7"/>
      <c r="U7"/>
    </row>
    <row r="8" spans="2:21" ht="15" customHeight="1" x14ac:dyDescent="0.3">
      <c r="B8" s="259">
        <v>3</v>
      </c>
      <c r="C8" s="260" t="str">
        <f>'Program Descriptions'!D7</f>
        <v>Weatherization</v>
      </c>
      <c r="D8" s="426">
        <v>0</v>
      </c>
      <c r="E8" s="426">
        <v>0</v>
      </c>
      <c r="G8" s="426">
        <v>0</v>
      </c>
      <c r="H8" s="169" t="s">
        <v>170</v>
      </c>
      <c r="K8" s="4"/>
      <c r="M8" s="709"/>
      <c r="N8" s="709"/>
      <c r="O8" s="709"/>
      <c r="P8" s="709"/>
      <c r="Q8" s="709"/>
      <c r="R8"/>
      <c r="S8"/>
      <c r="T8"/>
      <c r="U8"/>
    </row>
    <row r="9" spans="2:21" ht="15" customHeight="1" x14ac:dyDescent="0.3">
      <c r="B9" s="259">
        <v>4</v>
      </c>
      <c r="C9" s="260" t="str">
        <f>'Program Descriptions'!D8</f>
        <v>Commercial and Industrial (Custom)</v>
      </c>
      <c r="D9" s="426">
        <v>0</v>
      </c>
      <c r="E9" s="426">
        <v>0</v>
      </c>
      <c r="G9" s="426">
        <v>0</v>
      </c>
      <c r="H9" s="169" t="s">
        <v>170</v>
      </c>
      <c r="K9" s="4"/>
      <c r="M9" s="709"/>
      <c r="N9" s="709"/>
      <c r="O9" s="709"/>
      <c r="P9" s="709"/>
      <c r="Q9" s="709"/>
      <c r="R9"/>
      <c r="S9"/>
      <c r="T9"/>
      <c r="U9"/>
    </row>
    <row r="10" spans="2:21" ht="15" customHeight="1" x14ac:dyDescent="0.3">
      <c r="B10" s="259">
        <v>5</v>
      </c>
      <c r="C10" s="260" t="str">
        <f>'Program Descriptions'!D9</f>
        <v>Commercial and Industrial (Prescriptive)</v>
      </c>
      <c r="D10" s="426">
        <v>0</v>
      </c>
      <c r="E10" s="426">
        <v>0</v>
      </c>
      <c r="G10" s="426">
        <v>0</v>
      </c>
      <c r="H10" s="169" t="s">
        <v>170</v>
      </c>
      <c r="K10" s="4"/>
      <c r="M10" s="709"/>
      <c r="N10" s="709"/>
      <c r="O10" s="709"/>
      <c r="P10" s="709"/>
      <c r="Q10" s="709"/>
      <c r="R10"/>
      <c r="S10"/>
      <c r="T10"/>
      <c r="U10"/>
    </row>
    <row r="11" spans="2:21" ht="15" customHeight="1" x14ac:dyDescent="0.3">
      <c r="B11" s="259">
        <v>6</v>
      </c>
      <c r="C11" s="260" t="str">
        <f>'Program Descriptions'!D10</f>
        <v>Online Energy Calculator</v>
      </c>
      <c r="D11" s="426">
        <v>0</v>
      </c>
      <c r="E11" s="426">
        <v>0</v>
      </c>
      <c r="G11" s="550">
        <v>0</v>
      </c>
      <c r="H11" s="551" t="s">
        <v>170</v>
      </c>
      <c r="K11" s="4"/>
      <c r="M11" s="709"/>
      <c r="N11" s="709"/>
      <c r="O11" s="709"/>
      <c r="P11" s="709"/>
      <c r="Q11" s="709"/>
      <c r="R11"/>
      <c r="S11"/>
      <c r="T11"/>
      <c r="U11"/>
    </row>
    <row r="12" spans="2:21" ht="15" customHeight="1" x14ac:dyDescent="0.3">
      <c r="B12" s="259">
        <v>7</v>
      </c>
      <c r="C12" s="260" t="str">
        <f>'Program Descriptions'!C11</f>
        <v>Administration</v>
      </c>
      <c r="D12" s="426">
        <v>0</v>
      </c>
      <c r="E12" s="426">
        <v>0</v>
      </c>
      <c r="G12" s="426">
        <v>0</v>
      </c>
      <c r="H12" s="169" t="s">
        <v>171</v>
      </c>
      <c r="K12" s="4"/>
      <c r="M12" s="709"/>
      <c r="N12" s="709"/>
      <c r="O12" s="709"/>
      <c r="P12" s="709"/>
      <c r="Q12" s="709"/>
      <c r="R12"/>
      <c r="S12"/>
      <c r="T12"/>
      <c r="U12"/>
    </row>
    <row r="13" spans="2:21" ht="15" customHeight="1" x14ac:dyDescent="0.3">
      <c r="B13" s="259">
        <v>8</v>
      </c>
      <c r="C13" s="260" t="str">
        <f>'Program Descriptions'!C12</f>
        <v>Marketing</v>
      </c>
      <c r="D13" s="426">
        <v>0</v>
      </c>
      <c r="E13" s="426">
        <v>0</v>
      </c>
      <c r="G13" s="426">
        <v>0</v>
      </c>
      <c r="H13" s="169" t="s">
        <v>170</v>
      </c>
      <c r="K13" s="4"/>
      <c r="M13"/>
      <c r="N13"/>
      <c r="O13"/>
      <c r="P13"/>
      <c r="Q13"/>
      <c r="R13"/>
      <c r="S13"/>
      <c r="T13"/>
      <c r="U13"/>
    </row>
    <row r="14" spans="2:21" ht="15" customHeight="1" x14ac:dyDescent="0.3">
      <c r="B14" s="259">
        <v>9</v>
      </c>
      <c r="C14" s="260" t="str">
        <f>'Program Descriptions'!C13</f>
        <v>EM&amp;V</v>
      </c>
      <c r="D14" s="426">
        <v>0</v>
      </c>
      <c r="E14" s="426">
        <v>0</v>
      </c>
      <c r="G14" s="426">
        <v>0</v>
      </c>
      <c r="H14" s="169" t="s">
        <v>172</v>
      </c>
      <c r="K14" s="4"/>
      <c r="M14"/>
      <c r="N14"/>
      <c r="O14"/>
      <c r="P14"/>
      <c r="Q14"/>
      <c r="R14"/>
      <c r="S14"/>
      <c r="T14"/>
      <c r="U14"/>
    </row>
    <row r="15" spans="2:21" ht="15" customHeight="1" x14ac:dyDescent="0.3">
      <c r="B15" s="259">
        <v>10</v>
      </c>
      <c r="C15" s="260" t="str">
        <f>'Program Descriptions'!C14</f>
        <v>Empty</v>
      </c>
      <c r="D15" s="426"/>
      <c r="E15" s="426"/>
      <c r="G15" s="426"/>
      <c r="H15" s="169"/>
      <c r="K15" s="4"/>
      <c r="M15"/>
      <c r="N15"/>
      <c r="O15"/>
      <c r="P15"/>
      <c r="Q15"/>
      <c r="R15"/>
      <c r="S15"/>
      <c r="T15"/>
      <c r="U15"/>
    </row>
    <row r="16" spans="2:21" ht="15" customHeight="1" x14ac:dyDescent="0.3">
      <c r="B16" s="259">
        <v>11</v>
      </c>
      <c r="C16" s="260" t="str">
        <f>'Program Descriptions'!C15</f>
        <v>Empty</v>
      </c>
      <c r="D16" s="426"/>
      <c r="E16" s="426"/>
      <c r="G16" s="426"/>
      <c r="H16" s="169"/>
      <c r="K16" s="4"/>
      <c r="M16"/>
      <c r="N16"/>
      <c r="O16"/>
      <c r="P16"/>
      <c r="Q16"/>
      <c r="R16"/>
      <c r="S16"/>
      <c r="T16"/>
      <c r="U16"/>
    </row>
    <row r="17" spans="2:21" ht="15" customHeight="1" x14ac:dyDescent="0.3">
      <c r="B17" s="259">
        <v>12</v>
      </c>
      <c r="C17" s="260" t="str">
        <f>'Program Descriptions'!C16</f>
        <v>Empty</v>
      </c>
      <c r="D17" s="426"/>
      <c r="E17" s="426"/>
      <c r="G17" s="426"/>
      <c r="H17" s="169"/>
      <c r="K17" s="4"/>
      <c r="M17"/>
      <c r="N17"/>
      <c r="O17"/>
      <c r="P17"/>
      <c r="Q17"/>
      <c r="R17"/>
      <c r="S17"/>
      <c r="T17"/>
      <c r="U17"/>
    </row>
    <row r="18" spans="2:21" ht="15" customHeight="1" x14ac:dyDescent="0.3">
      <c r="B18" s="259">
        <v>13</v>
      </c>
      <c r="C18" s="260" t="str">
        <f>'Program Descriptions'!C17</f>
        <v>Empty</v>
      </c>
      <c r="D18" s="426"/>
      <c r="E18" s="426"/>
      <c r="G18" s="426"/>
      <c r="H18" s="169"/>
      <c r="K18" s="4"/>
      <c r="M18"/>
      <c r="N18"/>
      <c r="O18"/>
      <c r="P18"/>
      <c r="Q18"/>
      <c r="R18"/>
      <c r="S18"/>
      <c r="T18"/>
      <c r="U18"/>
    </row>
    <row r="19" spans="2:21" ht="15" customHeight="1" x14ac:dyDescent="0.3">
      <c r="B19" s="259">
        <v>14</v>
      </c>
      <c r="C19" s="260" t="str">
        <f>'Program Descriptions'!C18</f>
        <v>Empty</v>
      </c>
      <c r="D19" s="426"/>
      <c r="E19" s="426"/>
      <c r="G19" s="426"/>
      <c r="H19" s="169"/>
      <c r="K19" s="4"/>
      <c r="N19" s="321">
        <f t="shared" ref="N19:N25" si="0">IF(C19="Empty",0,IF(OR(ISBLANK(IF(Demand_1=NG_Demand,E19,D19)),ISBLANK(E19),ISBLANK(G19),ISBLANK(H19)),1,0))</f>
        <v>0</v>
      </c>
    </row>
    <row r="20" spans="2:21" ht="15" customHeight="1" x14ac:dyDescent="0.3">
      <c r="B20" s="259">
        <v>15</v>
      </c>
      <c r="C20" s="260" t="str">
        <f>'Program Descriptions'!C19</f>
        <v>Empty</v>
      </c>
      <c r="D20" s="426"/>
      <c r="E20" s="426"/>
      <c r="G20" s="426"/>
      <c r="H20" s="169"/>
      <c r="K20" s="4"/>
      <c r="N20" s="321">
        <f t="shared" si="0"/>
        <v>0</v>
      </c>
    </row>
    <row r="21" spans="2:21" ht="15" customHeight="1" x14ac:dyDescent="0.3">
      <c r="B21" s="259">
        <v>16</v>
      </c>
      <c r="C21" s="260" t="str">
        <f>'Program Descriptions'!C20</f>
        <v>Empty</v>
      </c>
      <c r="D21" s="426"/>
      <c r="E21" s="426"/>
      <c r="G21" s="426"/>
      <c r="H21" s="169"/>
      <c r="K21" s="4"/>
      <c r="N21" s="321">
        <f t="shared" si="0"/>
        <v>0</v>
      </c>
    </row>
    <row r="22" spans="2:21" ht="15" customHeight="1" x14ac:dyDescent="0.3">
      <c r="B22" s="259">
        <v>17</v>
      </c>
      <c r="C22" s="260" t="str">
        <f>'Program Descriptions'!C21</f>
        <v>Empty</v>
      </c>
      <c r="D22" s="426"/>
      <c r="E22" s="426"/>
      <c r="G22" s="426"/>
      <c r="H22" s="169"/>
      <c r="K22" s="4"/>
      <c r="N22" s="321">
        <f t="shared" si="0"/>
        <v>0</v>
      </c>
    </row>
    <row r="23" spans="2:21" ht="15" customHeight="1" x14ac:dyDescent="0.3">
      <c r="B23" s="259">
        <v>18</v>
      </c>
      <c r="C23" s="260" t="str">
        <f>'Program Descriptions'!C22</f>
        <v>Empty</v>
      </c>
      <c r="D23" s="426"/>
      <c r="E23" s="426"/>
      <c r="G23" s="426"/>
      <c r="H23" s="169"/>
      <c r="K23" s="4"/>
      <c r="N23" s="321">
        <f t="shared" si="0"/>
        <v>0</v>
      </c>
    </row>
    <row r="24" spans="2:21" ht="15" customHeight="1" x14ac:dyDescent="0.3">
      <c r="B24" s="259">
        <v>19</v>
      </c>
      <c r="C24" s="260" t="str">
        <f>'Program Descriptions'!C23</f>
        <v>Empty</v>
      </c>
      <c r="D24" s="426"/>
      <c r="E24" s="426"/>
      <c r="G24" s="426"/>
      <c r="H24" s="169"/>
      <c r="K24" s="4"/>
      <c r="N24" s="321">
        <f t="shared" si="0"/>
        <v>0</v>
      </c>
    </row>
    <row r="25" spans="2:21" ht="15" customHeight="1" thickBot="1" x14ac:dyDescent="0.35">
      <c r="B25" s="259">
        <v>20</v>
      </c>
      <c r="C25" s="260" t="str">
        <f>'Program Descriptions'!C24</f>
        <v>Empty</v>
      </c>
      <c r="D25" s="426"/>
      <c r="E25" s="426"/>
      <c r="G25" s="426"/>
      <c r="H25" s="169"/>
      <c r="K25" s="4"/>
      <c r="N25" s="321">
        <f t="shared" si="0"/>
        <v>0</v>
      </c>
    </row>
    <row r="26" spans="2:21" ht="15" customHeight="1" x14ac:dyDescent="0.3">
      <c r="B26" s="8"/>
      <c r="C26" s="264"/>
      <c r="D26" s="15">
        <f>SUM(D6:D25)</f>
        <v>5.1100000000000003</v>
      </c>
      <c r="E26" s="15">
        <f>SUM(E6:E25)</f>
        <v>64059</v>
      </c>
      <c r="G26" s="15">
        <f>SUM(G6:G25)</f>
        <v>805</v>
      </c>
      <c r="H26" s="15"/>
      <c r="K26" s="4"/>
      <c r="N26" s="2">
        <f>SUM(N6:N25)</f>
        <v>0</v>
      </c>
    </row>
    <row r="27" spans="2:21" ht="15" customHeight="1" x14ac:dyDescent="0.3">
      <c r="B27" s="8"/>
      <c r="C27" s="264"/>
      <c r="D27" s="11"/>
      <c r="E27" s="11"/>
      <c r="F27" s="11"/>
      <c r="G27" s="11"/>
      <c r="K27" s="4"/>
    </row>
    <row r="28" spans="2:21" ht="15" customHeight="1" x14ac:dyDescent="0.3">
      <c r="B28" s="5"/>
      <c r="C28" s="6"/>
      <c r="D28" s="6"/>
      <c r="E28" s="6"/>
      <c r="F28" s="6"/>
      <c r="G28" s="6"/>
      <c r="H28" s="6"/>
      <c r="I28" s="6"/>
      <c r="J28" s="6"/>
      <c r="K28" s="7"/>
    </row>
    <row r="29" spans="2:21" ht="15" customHeight="1" x14ac:dyDescent="0.3"/>
    <row r="30" spans="2:21" ht="15" customHeight="1" x14ac:dyDescent="0.3"/>
    <row r="31" spans="2:21" ht="15" customHeight="1" x14ac:dyDescent="0.3"/>
    <row r="32" spans="2:2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Rows="0"/>
  <conditionalFormatting sqref="D6:E6 D6:D25">
    <cfRule type="expression" dxfId="81" priority="69">
      <formula>Demand_1=NG_Demand</formula>
    </cfRule>
  </conditionalFormatting>
  <conditionalFormatting sqref="D6:E25 G6:H25">
    <cfRule type="expression" dxfId="80"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K104"/>
  <sheetViews>
    <sheetView showGridLines="0" showRowColHeaders="0" zoomScale="110" zoomScaleNormal="110" workbookViewId="0">
      <pane ySplit="2" topLeftCell="A3" activePane="bottomLeft" state="frozen"/>
      <selection activeCell="P31" sqref="P31"/>
      <selection pane="bottomLeft" activeCell="H13" sqref="H13"/>
    </sheetView>
  </sheetViews>
  <sheetFormatPr defaultColWidth="9.109375" defaultRowHeight="13.8" x14ac:dyDescent="0.3"/>
  <cols>
    <col min="1" max="1" width="1" style="2" customWidth="1"/>
    <col min="2" max="2" width="3.77734375" style="2" customWidth="1"/>
    <col min="3" max="3" width="21" style="2" customWidth="1"/>
    <col min="4" max="8" width="15.77734375" style="2" customWidth="1"/>
    <col min="9" max="9" width="13.21875" style="2" customWidth="1"/>
    <col min="10" max="10" width="5.88671875" style="2" customWidth="1"/>
    <col min="11" max="11" width="10.44140625" style="2" customWidth="1"/>
    <col min="12" max="12" width="1" style="2" customWidth="1"/>
    <col min="13" max="13" width="16" style="2" customWidth="1"/>
    <col min="14" max="16384" width="9.109375" style="2"/>
  </cols>
  <sheetData>
    <row r="1" spans="2:11" ht="28.5" customHeight="1" x14ac:dyDescent="0.3"/>
    <row r="2" spans="2:11" ht="64.5" customHeight="1" x14ac:dyDescent="0.3">
      <c r="B2" s="453"/>
      <c r="C2" s="454"/>
      <c r="D2" s="454"/>
      <c r="E2" s="454"/>
      <c r="F2" s="454"/>
      <c r="G2" s="454"/>
      <c r="H2" s="454"/>
      <c r="I2" s="454"/>
      <c r="J2" s="454"/>
      <c r="K2" s="455"/>
    </row>
    <row r="3" spans="2:11" ht="7.5" customHeight="1" x14ac:dyDescent="0.3">
      <c r="B3" s="456"/>
      <c r="C3" s="336"/>
      <c r="D3" s="336"/>
      <c r="E3" s="336"/>
      <c r="F3" s="336"/>
      <c r="G3" s="336"/>
      <c r="H3" s="336"/>
      <c r="I3" s="336"/>
      <c r="J3" s="336"/>
      <c r="K3" s="457"/>
    </row>
    <row r="4" spans="2:11" ht="15" customHeight="1" x14ac:dyDescent="0.3">
      <c r="B4" s="3"/>
      <c r="K4" s="4"/>
    </row>
    <row r="5" spans="2:11" ht="15" customHeight="1" x14ac:dyDescent="0.3">
      <c r="B5" s="3"/>
      <c r="D5" s="16" t="s">
        <v>173</v>
      </c>
      <c r="E5" s="16" t="s">
        <v>174</v>
      </c>
      <c r="F5" s="16" t="s">
        <v>175</v>
      </c>
      <c r="G5" s="16" t="s">
        <v>176</v>
      </c>
      <c r="H5" s="16" t="s">
        <v>177</v>
      </c>
      <c r="K5" s="4"/>
    </row>
    <row r="6" spans="2:11" ht="15" customHeight="1" x14ac:dyDescent="0.3">
      <c r="B6" s="3"/>
      <c r="C6" s="9" t="s">
        <v>178</v>
      </c>
      <c r="D6" s="17">
        <f>External!F27</f>
        <v>0</v>
      </c>
      <c r="E6" s="17">
        <f>External!J27</f>
        <v>0</v>
      </c>
      <c r="F6" s="17">
        <f>External!L27</f>
        <v>0</v>
      </c>
      <c r="G6" s="17">
        <f>External!N27</f>
        <v>0</v>
      </c>
      <c r="H6" s="425">
        <v>0</v>
      </c>
      <c r="K6" s="4"/>
    </row>
    <row r="7" spans="2:11" ht="15" customHeight="1" x14ac:dyDescent="0.3">
      <c r="B7" s="3"/>
      <c r="K7" s="4"/>
    </row>
    <row r="8" spans="2:11" ht="15" customHeight="1" x14ac:dyDescent="0.3">
      <c r="B8" s="3"/>
      <c r="K8" s="4"/>
    </row>
    <row r="9" spans="2:11" ht="15" customHeight="1" x14ac:dyDescent="0.3">
      <c r="B9" s="3"/>
      <c r="K9" s="4"/>
    </row>
    <row r="10" spans="2:11" ht="15" customHeight="1" x14ac:dyDescent="0.3">
      <c r="B10" s="3"/>
      <c r="K10" s="4"/>
    </row>
    <row r="11" spans="2:11" ht="15" customHeight="1" x14ac:dyDescent="0.3">
      <c r="B11" s="3"/>
      <c r="D11" s="16" t="s">
        <v>173</v>
      </c>
      <c r="E11" s="16" t="s">
        <v>174</v>
      </c>
      <c r="F11" s="16" t="s">
        <v>175</v>
      </c>
      <c r="G11" s="16" t="s">
        <v>176</v>
      </c>
      <c r="H11" s="16" t="s">
        <v>177</v>
      </c>
      <c r="K11" s="4"/>
    </row>
    <row r="12" spans="2:11" ht="15" customHeight="1" x14ac:dyDescent="0.3">
      <c r="B12" s="3"/>
      <c r="C12" s="9" t="s">
        <v>179</v>
      </c>
      <c r="D12" s="17">
        <f>Internal!F15</f>
        <v>0</v>
      </c>
      <c r="E12" s="17">
        <f>Internal!J15</f>
        <v>0</v>
      </c>
      <c r="F12" s="17">
        <f>Internal!L15</f>
        <v>0</v>
      </c>
      <c r="G12" s="17">
        <f>Internal!N15</f>
        <v>0</v>
      </c>
      <c r="H12" s="425">
        <v>0</v>
      </c>
      <c r="K12" s="4"/>
    </row>
    <row r="13" spans="2:11" ht="15" customHeight="1" x14ac:dyDescent="0.3">
      <c r="B13" s="3"/>
      <c r="K13" s="4"/>
    </row>
    <row r="14" spans="2:11" ht="15" customHeight="1" x14ac:dyDescent="0.3">
      <c r="B14" s="3"/>
      <c r="K14" s="4"/>
    </row>
    <row r="15" spans="2:11" ht="15" customHeight="1" x14ac:dyDescent="0.3">
      <c r="B15" s="3"/>
      <c r="K15" s="4"/>
    </row>
    <row r="16" spans="2:11" ht="15" customHeight="1" x14ac:dyDescent="0.3">
      <c r="B16" s="3"/>
      <c r="K16" s="4"/>
    </row>
    <row r="17" spans="2:11" ht="15" customHeight="1" x14ac:dyDescent="0.3">
      <c r="B17" s="5"/>
      <c r="C17" s="6"/>
      <c r="D17" s="6"/>
      <c r="E17" s="6"/>
      <c r="F17" s="6"/>
      <c r="G17" s="6"/>
      <c r="H17" s="6"/>
      <c r="I17" s="6"/>
      <c r="J17" s="6"/>
      <c r="K17" s="7"/>
    </row>
    <row r="18" spans="2:11" ht="15" customHeight="1" x14ac:dyDescent="0.3"/>
    <row r="19" spans="2:11" ht="15" customHeight="1" x14ac:dyDescent="0.3"/>
    <row r="20" spans="2:11" ht="15" customHeight="1" x14ac:dyDescent="0.3"/>
    <row r="21" spans="2:11" ht="15" customHeight="1" x14ac:dyDescent="0.3"/>
    <row r="22" spans="2:11" ht="15" customHeight="1" x14ac:dyDescent="0.3"/>
    <row r="23" spans="2:11" ht="15" customHeight="1" x14ac:dyDescent="0.3"/>
    <row r="24" spans="2:11" ht="15" customHeight="1" x14ac:dyDescent="0.3"/>
    <row r="25" spans="2:11" ht="15" customHeight="1" x14ac:dyDescent="0.3"/>
    <row r="26" spans="2:11" ht="15" customHeight="1" x14ac:dyDescent="0.3"/>
    <row r="27" spans="2:11" ht="15" customHeight="1" x14ac:dyDescent="0.3"/>
    <row r="28" spans="2:11" ht="15" customHeight="1" x14ac:dyDescent="0.3"/>
    <row r="29" spans="2:11" ht="15" customHeight="1" x14ac:dyDescent="0.3"/>
    <row r="30" spans="2:11" ht="15" customHeight="1" x14ac:dyDescent="0.3"/>
    <row r="31" spans="2:11" ht="15" customHeight="1" x14ac:dyDescent="0.3"/>
    <row r="32" spans="2:1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efe23fe-3364-485e-91c1-4c596886e0e9">
      <UserInfo>
        <DisplayName>Kimberly Dragoo</DisplayName>
        <AccountId>101</AccountId>
        <AccountType/>
      </UserInfo>
      <UserInfo>
        <DisplayName>Cindy Wilson</DisplayName>
        <AccountId>811</AccountId>
        <AccountType/>
      </UserInfo>
      <UserInfo>
        <DisplayName>Meagan Grafton</DisplayName>
        <AccountId>667</AccountId>
        <AccountType/>
      </UserInfo>
      <UserInfo>
        <DisplayName>John Kirby</DisplayName>
        <AccountId>3995</AccountId>
        <AccountType/>
      </UserInfo>
    </SharedWithUsers>
    <TaxCatchAll xmlns="defe23fe-3364-485e-91c1-4c596886e0e9" xsi:nil="true"/>
    <lcf76f155ced4ddcb4097134ff3c332f xmlns="de1799ee-e241-4c26-8ad6-ce0de49c00ff">
      <Terms xmlns="http://schemas.microsoft.com/office/infopath/2007/PartnerControls"/>
    </lcf76f155ced4ddcb4097134ff3c332f>
    <FileType xmlns="de1799ee-e241-4c26-8ad6-ce0de49c00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024C9DD1B7094094C32592CD2A19F6" ma:contentTypeVersion="14" ma:contentTypeDescription="Create a new document." ma:contentTypeScope="" ma:versionID="43e72259a43922fd7f6d2e8386a32b0f">
  <xsd:schema xmlns:xsd="http://www.w3.org/2001/XMLSchema" xmlns:xs="http://www.w3.org/2001/XMLSchema" xmlns:p="http://schemas.microsoft.com/office/2006/metadata/properties" xmlns:ns2="de1799ee-e241-4c26-8ad6-ce0de49c00ff" xmlns:ns3="defe23fe-3364-485e-91c1-4c596886e0e9" targetNamespace="http://schemas.microsoft.com/office/2006/metadata/properties" ma:root="true" ma:fieldsID="42b992fba090f271d909e44209165361" ns2:_="" ns3:_="">
    <xsd:import namespace="de1799ee-e241-4c26-8ad6-ce0de49c00ff"/>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1799ee-e241-4c26-8ad6-ce0de49c0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FileType" ma:index="21" nillable="true" ma:displayName="File Type" ma:format="Dropdown" ma:internalName="FileType">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FFA81-C28E-4D8D-A299-33E49FFFA5A0}">
  <ds:schemaRefs>
    <ds:schemaRef ds:uri="http://schemas.microsoft.com/sharepoint/v3/contenttype/forms"/>
  </ds:schemaRefs>
</ds:datastoreItem>
</file>

<file path=customXml/itemProps2.xml><?xml version="1.0" encoding="utf-8"?>
<ds:datastoreItem xmlns:ds="http://schemas.openxmlformats.org/officeDocument/2006/customXml" ds:itemID="{8AC6C13C-25E2-4C3C-9721-5BE95918C9CE}">
  <ds:schemaRefs>
    <ds:schemaRef ds:uri="http://schemas.microsoft.com/office/2006/documentManagement/types"/>
    <ds:schemaRef ds:uri="http://purl.org/dc/elements/1.1/"/>
    <ds:schemaRef ds:uri="defe23fe-3364-485e-91c1-4c596886e0e9"/>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de1799ee-e241-4c26-8ad6-ce0de49c00ff"/>
    <ds:schemaRef ds:uri="http://purl.org/dc/dcmitype/"/>
  </ds:schemaRefs>
</ds:datastoreItem>
</file>

<file path=customXml/itemProps3.xml><?xml version="1.0" encoding="utf-8"?>
<ds:datastoreItem xmlns:ds="http://schemas.openxmlformats.org/officeDocument/2006/customXml" ds:itemID="{7B183389-E5E7-45E9-BAB0-56EE78240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1799ee-e241-4c26-8ad6-ce0de49c00ff"/>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26</vt:i4>
      </vt:variant>
    </vt:vector>
  </HeadingPairs>
  <TitlesOfParts>
    <vt:vector size="75"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Evaluated Savings</vt:lpstr>
      <vt:lpstr>Not Used1</vt:lpstr>
      <vt:lpstr>Actual Expenses</vt:lpstr>
      <vt:lpstr>Rec2</vt:lpstr>
      <vt:lpstr>Savings Methodology</vt:lpstr>
      <vt:lpstr>Cost-Benefits</vt:lpstr>
      <vt:lpstr>Key Assumptions</vt:lpstr>
      <vt:lpstr>NEBs</vt:lpstr>
      <vt:lpstr>Other CB Test</vt:lpstr>
      <vt:lpstr>LCFC</vt:lpstr>
      <vt:lpstr>Not Used2</vt:lpstr>
      <vt:lpstr>Glossary</vt:lpstr>
      <vt:lpstr>Definition-Program Type</vt:lpstr>
      <vt:lpstr>Definition-Participants</vt:lpstr>
      <vt:lpstr>Definition-Res</vt:lpstr>
      <vt:lpstr>Definition-C&amp;I</vt:lpstr>
      <vt:lpstr>Definition-CS</vt:lpstr>
      <vt:lpstr>Cost</vt:lpstr>
      <vt:lpstr>List</vt:lpstr>
      <vt:lpstr>Prior Year Program</vt:lpstr>
      <vt:lpstr>Prior Year Portfolio</vt:lpstr>
      <vt:lpstr>Sheet1</vt:lpstr>
      <vt:lpstr>Tables</vt:lpstr>
      <vt:lpstr>Data</vt:lpstr>
      <vt:lpstr>Order</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John Kirby</cp:lastModifiedBy>
  <cp:revision/>
  <cp:lastPrinted>2025-04-23T13:24:26Z</cp:lastPrinted>
  <dcterms:created xsi:type="dcterms:W3CDTF">2010-09-07T19:03:37Z</dcterms:created>
  <dcterms:modified xsi:type="dcterms:W3CDTF">2026-05-01T21:46:05Z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0x010100BB024C9DD1B7094094C32592CD2A19F6</vt:lpwstr>
  </property>
  <property fmtid="{D5CDD505-2E9C-101B-9397-08002B2CF9AE}" pid="3" name="Order">
    <vt:r8>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_ColorTag">
    <vt:lpwstr/>
  </property>
  <property fmtid="{D5CDD505-2E9C-101B-9397-08002B2CF9AE}" pid="8" name="TriggerFlowInfo">
    <vt:lpwstr/>
  </property>
  <property fmtid="{D5CDD505-2E9C-101B-9397-08002B2CF9AE}" pid="9" name="_ColorHex">
    <vt:lpwstr/>
  </property>
  <property fmtid="{D5CDD505-2E9C-101B-9397-08002B2CF9AE}" pid="10" name="_Emoji">
    <vt:lpwstr/>
  </property>
  <property fmtid="{D5CDD505-2E9C-101B-9397-08002B2CF9AE}" pid="11" name="ComplianceAssetId">
    <vt:lpwstr/>
  </property>
  <property fmtid="{D5CDD505-2E9C-101B-9397-08002B2CF9AE}" pid="12" name="TemplateUrl">
    <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y fmtid="{D5CDD505-2E9C-101B-9397-08002B2CF9AE}" pid="15" name="MediaServiceImageTags">
    <vt:lpwstr/>
  </property>
</Properties>
</file>